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defaultThemeVersion="124226"/>
  <mc:AlternateContent xmlns:mc="http://schemas.openxmlformats.org/markup-compatibility/2006">
    <mc:Choice Requires="x15">
      <x15ac:absPath xmlns:x15ac="http://schemas.microsoft.com/office/spreadsheetml/2010/11/ac" url="I:\Projekte\Projekte Quartiersentwicklung\Breite_Straße\2_Projektierung\1_Vergabe\Aufgabenstellungen\6_Anlagen WBW\"/>
    </mc:Choice>
  </mc:AlternateContent>
  <xr:revisionPtr revIDLastSave="0" documentId="13_ncr:1_{0C8CBA78-0D23-48AE-AB83-C176ADB4496B}" xr6:coauthVersionLast="47" xr6:coauthVersionMax="47" xr10:uidLastSave="{00000000-0000-0000-0000-000000000000}"/>
  <bookViews>
    <workbookView xWindow="-108" yWindow="-108" windowWidth="30936" windowHeight="16896" tabRatio="911" firstSheet="22" activeTab="38" xr2:uid="{1B42FB7E-00F3-4CD7-8708-97D2EB298557}"/>
  </bookViews>
  <sheets>
    <sheet name="Deckblatt" sheetId="52" r:id="rId1"/>
    <sheet name="Überblick" sheetId="15" r:id="rId2"/>
    <sheet name="Hochbauplanung " sheetId="8" r:id="rId3"/>
    <sheet name="Berechnung - Hochbau" sheetId="7" state="hidden" r:id="rId4"/>
    <sheet name="Abwasser-, Wasser-, Gasanlagen" sheetId="11" r:id="rId5"/>
    <sheet name="Berechnung - Abwasser" sheetId="14" state="hidden" r:id="rId6"/>
    <sheet name="Wärmeversorgung" sheetId="17" r:id="rId7"/>
    <sheet name="Berechnung - Wärme" sheetId="18" state="hidden" r:id="rId8"/>
    <sheet name="Lufttechnische Anlagen" sheetId="19" r:id="rId9"/>
    <sheet name="Berechnung - Lufttechnik" sheetId="21" state="hidden" r:id="rId10"/>
    <sheet name="Starkstrom" sheetId="25" r:id="rId11"/>
    <sheet name="Fernmeldeanlagen" sheetId="27" r:id="rId12"/>
    <sheet name="Berechnung - Fernmeldeanlagen" sheetId="26" state="hidden" r:id="rId13"/>
    <sheet name="Berechnung Starkstrom" sheetId="24" state="hidden" r:id="rId14"/>
    <sheet name="Förderanlagen" sheetId="28" r:id="rId15"/>
    <sheet name="Berechnung - Förderanlagen" sheetId="30" state="hidden" r:id="rId16"/>
    <sheet name="Nutzerspezifische Anlagen" sheetId="31" r:id="rId17"/>
    <sheet name="Berechnung - Nutzeranlagen" sheetId="32" state="hidden" r:id="rId18"/>
    <sheet name="Gebäudeautomation" sheetId="35" r:id="rId19"/>
    <sheet name="Berechnung - Gebäudeautomation" sheetId="36" state="hidden" r:id="rId20"/>
    <sheet name="Bauphysik - Wärmeschutz" sheetId="45" r:id="rId21"/>
    <sheet name="Berechnung - Wärmeschutz" sheetId="44" state="hidden" r:id="rId22"/>
    <sheet name="Bauphysik - Bauakustik" sheetId="53" r:id="rId23"/>
    <sheet name="Berechnung - Bauakustik" sheetId="54" state="hidden" r:id="rId24"/>
    <sheet name="Berechnung - Raumakustik" sheetId="56" state="hidden" r:id="rId25"/>
    <sheet name="Bauphysik - Raumakustik" sheetId="55" r:id="rId26"/>
    <sheet name="Tragwerksplanung" sheetId="37" r:id="rId27"/>
    <sheet name="Berechnung - Tragswerksplanung" sheetId="38" state="hidden" r:id="rId28"/>
    <sheet name="Freianlagen" sheetId="34" r:id="rId29"/>
    <sheet name="Berechnung - Freianlagen" sheetId="33" state="hidden" r:id="rId30"/>
    <sheet name="Bebauungsplan" sheetId="58" r:id="rId31"/>
    <sheet name="Berechnung - Bebauungsplan" sheetId="59" state="hidden" r:id="rId32"/>
    <sheet name="Technische Ausrüstung" sheetId="61" r:id="rId33"/>
    <sheet name="Berechnung - Tech. Ausrüstung" sheetId="62" state="hidden" r:id="rId34"/>
    <sheet name="weitere Besondere Leistungen" sheetId="40" r:id="rId35"/>
    <sheet name="Berechnung besondere Leistungen" sheetId="41" state="hidden" r:id="rId36"/>
    <sheet name="Besondere Leistungen GÜ-Berater" sheetId="49" r:id="rId37"/>
    <sheet name="Berechnung - GÜ-Berater" sheetId="50" state="hidden" r:id="rId38"/>
    <sheet name="Auftragsänderungen &amp; -ergänzung" sheetId="46" r:id="rId39"/>
    <sheet name="Angebotszusammenfassung" sheetId="60" state="hidden" r:id="rId40"/>
    <sheet name="Berechnung Auftragsänderung" sheetId="47" state="hidden" r:id="rId41"/>
  </sheets>
  <definedNames>
    <definedName name="ak" localSheetId="23">'Berechnung - Bauakustik'!$B$1:$B$16</definedName>
    <definedName name="ak" localSheetId="29">'Berechnung - Freianlagen'!$B$1:$B$16</definedName>
    <definedName name="ak" localSheetId="37">'Berechnung - GÜ-Berater'!#REF!</definedName>
    <definedName name="ak" localSheetId="3">'Berechnung - Hochbau'!$B$1:$B$15</definedName>
    <definedName name="ak" localSheetId="24">'Berechnung - Raumakustik'!$B$1:$B$16</definedName>
    <definedName name="ak" localSheetId="27">'Berechnung - Tragswerksplanung'!$B$1:$B$16</definedName>
    <definedName name="ak" localSheetId="21">'Berechnung - Wärmeschutz'!$B$1:$B$16</definedName>
    <definedName name="ak" localSheetId="40">'Berechnung Auftragsänderung'!#REF!</definedName>
    <definedName name="ak" localSheetId="35">'Berechnung besondere Leistungen'!#REF!</definedName>
    <definedName name="Brutto">Deckblatt!$F$22</definedName>
    <definedName name="_xlnm.Print_Area" localSheetId="4">'Abwasser-, Wasser-, Gasanlagen'!$A$1:$U$288</definedName>
    <definedName name="_xlnm.Print_Area" localSheetId="38">'Auftragsänderungen &amp; -ergänzung'!$A$1:$U$115</definedName>
    <definedName name="_xlnm.Print_Area" localSheetId="22">'Bauphysik - Bauakustik'!$A$1:$U$159</definedName>
    <definedName name="_xlnm.Print_Area" localSheetId="25">'Bauphysik - Raumakustik'!$A$1:$U$159</definedName>
    <definedName name="_xlnm.Print_Area" localSheetId="20">'Bauphysik - Wärmeschutz'!$A$1:$U$159</definedName>
    <definedName name="_xlnm.Print_Area" localSheetId="36">'Besondere Leistungen GÜ-Berater'!$A$1:$U$249</definedName>
    <definedName name="_xlnm.Print_Area" localSheetId="11">Fernmeldeanlagen!$A$1:$U$291</definedName>
    <definedName name="_xlnm.Print_Area" localSheetId="14">Förderanlagen!$A$1:$U$289</definedName>
    <definedName name="_xlnm.Print_Area" localSheetId="28">Freianlagen!$A$1:$U$262</definedName>
    <definedName name="_xlnm.Print_Area" localSheetId="18">Gebäudeautomation!$A$1:$U$290</definedName>
    <definedName name="_xlnm.Print_Area" localSheetId="2">'Hochbauplanung '!$A$1:$U$320</definedName>
    <definedName name="_xlnm.Print_Area" localSheetId="8">'Lufttechnische Anlagen'!$A$31:$W$286</definedName>
    <definedName name="_xlnm.Print_Area" localSheetId="16">'Nutzerspezifische Anlagen'!$A$1:$U$290</definedName>
    <definedName name="_xlnm.Print_Area" localSheetId="10">Starkstrom!$A$1:$U$290</definedName>
    <definedName name="_xlnm.Print_Area" localSheetId="32">'Technische Ausrüstung'!$A$1:$U$290</definedName>
    <definedName name="_xlnm.Print_Area" localSheetId="26">Tragwerksplanung!$A$1:$U$189</definedName>
    <definedName name="_xlnm.Print_Area" localSheetId="1">Überblick!$A$2:$S$133</definedName>
    <definedName name="_xlnm.Print_Area" localSheetId="6">Wärmeversorgung!$A$31:$W$285</definedName>
    <definedName name="_xlnm.Print_Area" localSheetId="34">'weitere Besondere Leistungen'!$A$1:$U$390</definedName>
    <definedName name="Nachlass_Prozente">Deckblatt!$F$15</definedName>
    <definedName name="Nachlass_Prozenze">Deckblatt!$F$15</definedName>
    <definedName name="Netto">Deckblatt!$F$13</definedName>
    <definedName name="Netto_Nachlass">Deckblatt!$F$17</definedName>
    <definedName name="Ust">Deckblatt!$F$20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8" l="1"/>
  <c r="H8" i="37" l="1"/>
  <c r="J8" i="46" l="1"/>
  <c r="G65" i="62"/>
  <c r="G64" i="62"/>
  <c r="K62" i="62"/>
  <c r="I62" i="62"/>
  <c r="G62" i="62"/>
  <c r="N9" i="61"/>
  <c r="J9" i="61"/>
  <c r="F9" i="61"/>
  <c r="B143" i="62"/>
  <c r="B142" i="62"/>
  <c r="B141" i="62"/>
  <c r="B140" i="62"/>
  <c r="B139" i="62"/>
  <c r="B138" i="62"/>
  <c r="B137" i="62"/>
  <c r="B136" i="62"/>
  <c r="B135" i="62"/>
  <c r="D128" i="62"/>
  <c r="I44" i="62"/>
  <c r="F44" i="62"/>
  <c r="I43" i="62"/>
  <c r="F43" i="62"/>
  <c r="I42" i="62"/>
  <c r="F42" i="62"/>
  <c r="I41" i="62"/>
  <c r="F41" i="62"/>
  <c r="I40" i="62"/>
  <c r="F40" i="62"/>
  <c r="I39" i="62"/>
  <c r="F39" i="62"/>
  <c r="I38" i="62"/>
  <c r="F38" i="62"/>
  <c r="I37" i="62"/>
  <c r="F37" i="62"/>
  <c r="I36" i="62"/>
  <c r="F36" i="62"/>
  <c r="I35" i="62"/>
  <c r="F35" i="62"/>
  <c r="I34" i="62"/>
  <c r="F34" i="62"/>
  <c r="I33" i="62"/>
  <c r="F33" i="62"/>
  <c r="I32" i="62"/>
  <c r="F32" i="62"/>
  <c r="I31" i="62"/>
  <c r="F31" i="62"/>
  <c r="I30" i="62"/>
  <c r="F30" i="62"/>
  <c r="I29" i="62"/>
  <c r="F29" i="62"/>
  <c r="I28" i="62"/>
  <c r="F28" i="62"/>
  <c r="I27" i="62"/>
  <c r="F27" i="62"/>
  <c r="I26" i="62"/>
  <c r="F26" i="62"/>
  <c r="B289" i="61"/>
  <c r="B288" i="61"/>
  <c r="B287" i="61"/>
  <c r="B286" i="61"/>
  <c r="B285" i="61"/>
  <c r="B284" i="61"/>
  <c r="B283" i="61"/>
  <c r="B282" i="61"/>
  <c r="B281" i="61"/>
  <c r="G273" i="61"/>
  <c r="G267" i="61"/>
  <c r="G258" i="61"/>
  <c r="G252" i="61"/>
  <c r="R245" i="61"/>
  <c r="L245" i="61"/>
  <c r="Z244" i="61"/>
  <c r="AB243" i="61"/>
  <c r="AB242" i="61"/>
  <c r="V242" i="61"/>
  <c r="AB241" i="61"/>
  <c r="Z241" i="61"/>
  <c r="AB240" i="61"/>
  <c r="AB239" i="61"/>
  <c r="V239" i="61"/>
  <c r="AB238" i="61"/>
  <c r="AB237" i="61"/>
  <c r="AB236" i="61"/>
  <c r="Z236" i="61"/>
  <c r="Z245" i="61" s="1"/>
  <c r="V236" i="61"/>
  <c r="I236" i="61"/>
  <c r="AB235" i="61"/>
  <c r="L235" i="61"/>
  <c r="AB234" i="61"/>
  <c r="AB233" i="61"/>
  <c r="V233" i="61"/>
  <c r="AB232" i="61"/>
  <c r="Z232" i="61"/>
  <c r="AB231" i="61"/>
  <c r="AB230" i="61"/>
  <c r="Z230" i="61"/>
  <c r="V230" i="61"/>
  <c r="AB229" i="61"/>
  <c r="AB228" i="61"/>
  <c r="Z228" i="61"/>
  <c r="AB227" i="61"/>
  <c r="V227" i="61"/>
  <c r="AB226" i="61"/>
  <c r="AB225" i="61"/>
  <c r="AB224" i="61"/>
  <c r="Z224" i="61"/>
  <c r="V224" i="61"/>
  <c r="AB223" i="61"/>
  <c r="Z223" i="61"/>
  <c r="AB222" i="61"/>
  <c r="AB221" i="61"/>
  <c r="V221" i="61"/>
  <c r="AB220" i="61"/>
  <c r="AB219" i="61"/>
  <c r="Z219" i="61"/>
  <c r="AB218" i="61"/>
  <c r="Z218" i="61"/>
  <c r="V218" i="61"/>
  <c r="AB217" i="61"/>
  <c r="Z217" i="61"/>
  <c r="AB216" i="61"/>
  <c r="AB215" i="61"/>
  <c r="V215" i="61"/>
  <c r="AB214" i="61"/>
  <c r="AB213" i="61"/>
  <c r="Z213" i="61"/>
  <c r="AB212" i="61"/>
  <c r="V212" i="61"/>
  <c r="AB211" i="61"/>
  <c r="AB210" i="61"/>
  <c r="AB209" i="61"/>
  <c r="Z209" i="61"/>
  <c r="V209" i="61"/>
  <c r="AB208" i="61"/>
  <c r="Z208" i="61"/>
  <c r="AB207" i="61"/>
  <c r="AB206" i="61"/>
  <c r="V206" i="61"/>
  <c r="AB205" i="61"/>
  <c r="Z205" i="61"/>
  <c r="AB204" i="61"/>
  <c r="Z204" i="61"/>
  <c r="AB203" i="61"/>
  <c r="V203" i="61"/>
  <c r="AB202" i="61"/>
  <c r="Z202" i="61"/>
  <c r="AB201" i="61"/>
  <c r="Z201" i="61"/>
  <c r="AB200" i="61"/>
  <c r="V200" i="61"/>
  <c r="AB199" i="61"/>
  <c r="AB198" i="61"/>
  <c r="AB197" i="61"/>
  <c r="V197" i="61"/>
  <c r="AB196" i="61"/>
  <c r="AB195" i="61"/>
  <c r="AB194" i="61"/>
  <c r="Z194" i="61"/>
  <c r="Z235" i="61" s="1"/>
  <c r="V194" i="61"/>
  <c r="I194" i="61"/>
  <c r="AB193" i="61"/>
  <c r="L193" i="61"/>
  <c r="AB192" i="61"/>
  <c r="AB191" i="61"/>
  <c r="Z191" i="61"/>
  <c r="V191" i="61"/>
  <c r="AB190" i="61"/>
  <c r="AB189" i="61"/>
  <c r="Z189" i="61"/>
  <c r="AB188" i="61"/>
  <c r="V188" i="61"/>
  <c r="AB187" i="61"/>
  <c r="AB186" i="61"/>
  <c r="Z186" i="61"/>
  <c r="AB185" i="61"/>
  <c r="Z185" i="61"/>
  <c r="V185" i="61"/>
  <c r="AB184" i="61"/>
  <c r="AB183" i="61"/>
  <c r="AB182" i="61"/>
  <c r="V182" i="61"/>
  <c r="AB181" i="61"/>
  <c r="AB180" i="61"/>
  <c r="Z180" i="61"/>
  <c r="AB179" i="61"/>
  <c r="Z179" i="61"/>
  <c r="Z193" i="61" s="1"/>
  <c r="V179" i="61"/>
  <c r="I179" i="61"/>
  <c r="AB178" i="61"/>
  <c r="L178" i="61"/>
  <c r="AB177" i="61"/>
  <c r="Z177" i="61"/>
  <c r="V177" i="61"/>
  <c r="AB176" i="61"/>
  <c r="AB175" i="61"/>
  <c r="AB174" i="61"/>
  <c r="Z174" i="61"/>
  <c r="V174" i="61"/>
  <c r="AB173" i="61"/>
  <c r="AB172" i="61"/>
  <c r="AB171" i="61"/>
  <c r="Z171" i="61"/>
  <c r="AB170" i="61"/>
  <c r="V170" i="61"/>
  <c r="AB169" i="61"/>
  <c r="AB168" i="61"/>
  <c r="Z168" i="61"/>
  <c r="AB167" i="61"/>
  <c r="V167" i="61"/>
  <c r="AB166" i="61"/>
  <c r="AB165" i="61"/>
  <c r="AB164" i="61"/>
  <c r="AB163" i="61"/>
  <c r="AB162" i="61"/>
  <c r="AB161" i="61"/>
  <c r="AB160" i="61"/>
  <c r="AB159" i="61"/>
  <c r="AB158" i="61"/>
  <c r="AB157" i="61"/>
  <c r="Z157" i="61"/>
  <c r="V157" i="61"/>
  <c r="AB156" i="61"/>
  <c r="AB155" i="61"/>
  <c r="AB154" i="61"/>
  <c r="Z154" i="61"/>
  <c r="Z178" i="61" s="1"/>
  <c r="V154" i="61"/>
  <c r="I154" i="61"/>
  <c r="AB153" i="61"/>
  <c r="L153" i="61"/>
  <c r="AB152" i="61"/>
  <c r="AB151" i="61"/>
  <c r="AB150" i="61"/>
  <c r="Z150" i="61"/>
  <c r="V150" i="61"/>
  <c r="I150" i="61"/>
  <c r="AB149" i="61"/>
  <c r="AB148" i="61"/>
  <c r="V148" i="61"/>
  <c r="AB147" i="61"/>
  <c r="AB146" i="61"/>
  <c r="AB145" i="61"/>
  <c r="Z145" i="61"/>
  <c r="V145" i="61"/>
  <c r="I145" i="61"/>
  <c r="AB144" i="61"/>
  <c r="Z144" i="61"/>
  <c r="V144" i="61"/>
  <c r="I144" i="61"/>
  <c r="AB143" i="61"/>
  <c r="Z143" i="61"/>
  <c r="V143" i="61"/>
  <c r="I143" i="61"/>
  <c r="AB142" i="61"/>
  <c r="V142" i="61"/>
  <c r="AB141" i="61"/>
  <c r="AB140" i="61"/>
  <c r="AB139" i="61"/>
  <c r="V139" i="61"/>
  <c r="AB138" i="61"/>
  <c r="AB137" i="61"/>
  <c r="AB136" i="61"/>
  <c r="V136" i="61"/>
  <c r="AB135" i="61"/>
  <c r="AB134" i="61"/>
  <c r="AB133" i="61"/>
  <c r="Z133" i="61"/>
  <c r="V133" i="61"/>
  <c r="I133" i="61"/>
  <c r="AB132" i="61"/>
  <c r="AB131" i="61"/>
  <c r="V131" i="61"/>
  <c r="AB130" i="61"/>
  <c r="AB129" i="61"/>
  <c r="AB128" i="61"/>
  <c r="Z128" i="61"/>
  <c r="Z153" i="61" s="1"/>
  <c r="V128" i="61"/>
  <c r="I128" i="61"/>
  <c r="AB127" i="61"/>
  <c r="L127" i="61"/>
  <c r="AB126" i="61"/>
  <c r="AB125" i="61"/>
  <c r="V125" i="61"/>
  <c r="AB124" i="61"/>
  <c r="Z124" i="61"/>
  <c r="AB123" i="61"/>
  <c r="AB122" i="61"/>
  <c r="V122" i="61"/>
  <c r="AB121" i="61"/>
  <c r="AB120" i="61"/>
  <c r="AB119" i="61"/>
  <c r="Z119" i="61"/>
  <c r="Z127" i="61" s="1"/>
  <c r="V119" i="61"/>
  <c r="I119" i="61"/>
  <c r="AB118" i="61"/>
  <c r="AB117" i="61"/>
  <c r="AB116" i="61"/>
  <c r="AB115" i="61"/>
  <c r="L115" i="61"/>
  <c r="AB114" i="61"/>
  <c r="AB113" i="61"/>
  <c r="Z113" i="61"/>
  <c r="V113" i="61"/>
  <c r="AB112" i="61"/>
  <c r="AB111" i="61"/>
  <c r="Z111" i="61"/>
  <c r="AB110" i="61"/>
  <c r="V110" i="61"/>
  <c r="AB109" i="61"/>
  <c r="Z109" i="61"/>
  <c r="AB108" i="61"/>
  <c r="AB107" i="61"/>
  <c r="Z107" i="61"/>
  <c r="V107" i="61"/>
  <c r="AB106" i="61"/>
  <c r="AB105" i="61"/>
  <c r="AB104" i="61"/>
  <c r="V104" i="61"/>
  <c r="AB103" i="61"/>
  <c r="AB102" i="61"/>
  <c r="AB101" i="61"/>
  <c r="Z101" i="61"/>
  <c r="V101" i="61"/>
  <c r="AB100" i="61"/>
  <c r="AB99" i="61"/>
  <c r="AB98" i="61"/>
  <c r="V98" i="61"/>
  <c r="AB97" i="61"/>
  <c r="AB96" i="61"/>
  <c r="AB95" i="61"/>
  <c r="AB94" i="61"/>
  <c r="V94" i="61"/>
  <c r="AB93" i="61"/>
  <c r="AB92" i="61"/>
  <c r="AB91" i="61"/>
  <c r="V91" i="61"/>
  <c r="AB90" i="61"/>
  <c r="AB89" i="61"/>
  <c r="AB88" i="61"/>
  <c r="Z88" i="61"/>
  <c r="V88" i="61"/>
  <c r="AB87" i="61"/>
  <c r="Z87" i="61"/>
  <c r="AB86" i="61"/>
  <c r="AB85" i="61"/>
  <c r="V85" i="61"/>
  <c r="AB84" i="61"/>
  <c r="AB83" i="61"/>
  <c r="AB82" i="61"/>
  <c r="Z82" i="61"/>
  <c r="Z115" i="61" s="1"/>
  <c r="V82" i="61"/>
  <c r="I82" i="61"/>
  <c r="AB81" i="61"/>
  <c r="AB80" i="61"/>
  <c r="AB79" i="61"/>
  <c r="AB78" i="61"/>
  <c r="L78" i="61"/>
  <c r="AB77" i="61"/>
  <c r="AB76" i="61"/>
  <c r="Z76" i="61"/>
  <c r="V76" i="61"/>
  <c r="AB75" i="61"/>
  <c r="AB74" i="61"/>
  <c r="Z74" i="61"/>
  <c r="AB73" i="61"/>
  <c r="V73" i="61"/>
  <c r="AB72" i="61"/>
  <c r="AB71" i="61"/>
  <c r="Z71" i="61"/>
  <c r="AB70" i="61"/>
  <c r="V70" i="61"/>
  <c r="AB69" i="61"/>
  <c r="AB68" i="61"/>
  <c r="AB67" i="61"/>
  <c r="Z67" i="61"/>
  <c r="V67" i="61"/>
  <c r="AB66" i="61"/>
  <c r="AB65" i="61"/>
  <c r="Z65" i="61"/>
  <c r="AB64" i="61"/>
  <c r="V64" i="61"/>
  <c r="AB63" i="61"/>
  <c r="AB62" i="61"/>
  <c r="AB61" i="61"/>
  <c r="V61" i="61"/>
  <c r="AB60" i="61"/>
  <c r="AB59" i="61"/>
  <c r="AB58" i="61"/>
  <c r="V58" i="61"/>
  <c r="AB57" i="61"/>
  <c r="Z57" i="61"/>
  <c r="AB56" i="61"/>
  <c r="AB55" i="61"/>
  <c r="Z55" i="61"/>
  <c r="Z78" i="61" s="1"/>
  <c r="V55" i="61"/>
  <c r="I55" i="61"/>
  <c r="AB54" i="61"/>
  <c r="L54" i="61"/>
  <c r="AB53" i="61"/>
  <c r="V53" i="61"/>
  <c r="AB52" i="61"/>
  <c r="AB51" i="61"/>
  <c r="V51" i="61"/>
  <c r="AB50" i="61"/>
  <c r="V50" i="61"/>
  <c r="AB49" i="61"/>
  <c r="V49" i="61"/>
  <c r="AB48" i="61"/>
  <c r="AB47" i="61"/>
  <c r="V47" i="61"/>
  <c r="AB46" i="61"/>
  <c r="AB45" i="61"/>
  <c r="Z45" i="61"/>
  <c r="AB44" i="61"/>
  <c r="V44" i="61"/>
  <c r="AB43" i="61"/>
  <c r="AB42" i="61"/>
  <c r="Z42" i="61"/>
  <c r="AB41" i="61"/>
  <c r="AB40" i="61"/>
  <c r="AB39" i="61"/>
  <c r="AB245" i="61" s="1"/>
  <c r="Z39" i="61"/>
  <c r="Z54" i="61" s="1"/>
  <c r="V39" i="61"/>
  <c r="T39" i="61"/>
  <c r="I39" i="61"/>
  <c r="R8" i="61"/>
  <c r="N8" i="61"/>
  <c r="J8" i="61"/>
  <c r="F8" i="61"/>
  <c r="S4" i="61"/>
  <c r="S3" i="61"/>
  <c r="S2" i="61"/>
  <c r="B1" i="61"/>
  <c r="P35" i="15"/>
  <c r="P34" i="15"/>
  <c r="B6" i="52"/>
  <c r="P135" i="62" l="1"/>
  <c r="P281" i="61" s="1"/>
  <c r="O135" i="62"/>
  <c r="O281" i="61" s="1"/>
  <c r="N135" i="62"/>
  <c r="N281" i="61" s="1"/>
  <c r="M135" i="62"/>
  <c r="M281" i="61" s="1"/>
  <c r="L135" i="62"/>
  <c r="L281" i="61" s="1"/>
  <c r="K135" i="62"/>
  <c r="K281" i="61" s="1"/>
  <c r="J135" i="62"/>
  <c r="J281" i="61" s="1"/>
  <c r="I135" i="62"/>
  <c r="I281" i="61" s="1"/>
  <c r="H135" i="62"/>
  <c r="H281" i="61" s="1"/>
  <c r="G135" i="62"/>
  <c r="G281" i="61" s="1"/>
  <c r="F135" i="62"/>
  <c r="F281" i="61" s="1"/>
  <c r="E135" i="62"/>
  <c r="E281" i="61" s="1"/>
  <c r="D135" i="62"/>
  <c r="D281" i="61" s="1"/>
  <c r="P136" i="62"/>
  <c r="P282" i="61" s="1"/>
  <c r="O136" i="62"/>
  <c r="O282" i="61" s="1"/>
  <c r="N136" i="62"/>
  <c r="N282" i="61" s="1"/>
  <c r="M136" i="62"/>
  <c r="M282" i="61" s="1"/>
  <c r="L136" i="62"/>
  <c r="L282" i="61" s="1"/>
  <c r="K136" i="62"/>
  <c r="K282" i="61" s="1"/>
  <c r="J136" i="62"/>
  <c r="J282" i="61" s="1"/>
  <c r="I136" i="62"/>
  <c r="I282" i="61" s="1"/>
  <c r="H136" i="62"/>
  <c r="H282" i="61" s="1"/>
  <c r="G136" i="62"/>
  <c r="G282" i="61" s="1"/>
  <c r="F136" i="62"/>
  <c r="F282" i="61" s="1"/>
  <c r="E136" i="62"/>
  <c r="E282" i="61" s="1"/>
  <c r="D136" i="62"/>
  <c r="D282" i="61" s="1"/>
  <c r="C136" i="62"/>
  <c r="C282" i="61" s="1"/>
  <c r="Q282" i="61" s="1"/>
  <c r="P137" i="62"/>
  <c r="P283" i="61" s="1"/>
  <c r="O137" i="62"/>
  <c r="O283" i="61" s="1"/>
  <c r="N137" i="62"/>
  <c r="N283" i="61" s="1"/>
  <c r="M137" i="62"/>
  <c r="M283" i="61" s="1"/>
  <c r="L137" i="62"/>
  <c r="L283" i="61" s="1"/>
  <c r="K137" i="62"/>
  <c r="K283" i="61" s="1"/>
  <c r="J137" i="62"/>
  <c r="J283" i="61" s="1"/>
  <c r="I137" i="62"/>
  <c r="I283" i="61" s="1"/>
  <c r="H137" i="62"/>
  <c r="H283" i="61" s="1"/>
  <c r="G137" i="62"/>
  <c r="G283" i="61" s="1"/>
  <c r="F137" i="62"/>
  <c r="F283" i="61" s="1"/>
  <c r="E137" i="62"/>
  <c r="E283" i="61" s="1"/>
  <c r="D137" i="62"/>
  <c r="D283" i="61" s="1"/>
  <c r="C137" i="62"/>
  <c r="C283" i="61" s="1"/>
  <c r="Q283" i="61" s="1"/>
  <c r="E109" i="62"/>
  <c r="H254" i="61"/>
  <c r="E125" i="62"/>
  <c r="E130" i="62" s="1"/>
  <c r="H76" i="62"/>
  <c r="H70" i="62"/>
  <c r="J76" i="62"/>
  <c r="J70" i="62"/>
  <c r="L76" i="62"/>
  <c r="L70" i="62"/>
  <c r="K105" i="62"/>
  <c r="I105" i="62"/>
  <c r="G105" i="62"/>
  <c r="L88" i="62"/>
  <c r="J88" i="62"/>
  <c r="H88" i="62"/>
  <c r="Q136" i="62"/>
  <c r="Q137" i="62"/>
  <c r="B278" i="61"/>
  <c r="B263" i="61"/>
  <c r="B248" i="61"/>
  <c r="R35" i="61"/>
  <c r="R23" i="61"/>
  <c r="S8" i="61"/>
  <c r="V115" i="15" s="1"/>
  <c r="V246" i="61"/>
  <c r="S125" i="15" s="1"/>
  <c r="I245" i="61"/>
  <c r="I37" i="21"/>
  <c r="H129" i="8"/>
  <c r="D3" i="60"/>
  <c r="L8" i="46"/>
  <c r="J11" i="60"/>
  <c r="J10" i="60"/>
  <c r="N26" i="60"/>
  <c r="J24" i="60"/>
  <c r="J23" i="60"/>
  <c r="J22" i="60"/>
  <c r="J21" i="60"/>
  <c r="J20" i="60"/>
  <c r="J19" i="60"/>
  <c r="J18" i="60"/>
  <c r="J17" i="60"/>
  <c r="J16" i="60"/>
  <c r="J15" i="60"/>
  <c r="J14" i="60"/>
  <c r="J13" i="60"/>
  <c r="P26" i="60"/>
  <c r="F26" i="60" s="1"/>
  <c r="J12" i="60"/>
  <c r="L116" i="40"/>
  <c r="L133" i="40"/>
  <c r="L145" i="40"/>
  <c r="L164" i="40"/>
  <c r="L351" i="40"/>
  <c r="L332" i="40"/>
  <c r="L182" i="40"/>
  <c r="L137" i="40"/>
  <c r="L140" i="49"/>
  <c r="AC62" i="8"/>
  <c r="AC63" i="8"/>
  <c r="AC64" i="8"/>
  <c r="AC65" i="8"/>
  <c r="AC66" i="8"/>
  <c r="AC67" i="8"/>
  <c r="AC68" i="8"/>
  <c r="AC69" i="8"/>
  <c r="AC70" i="8"/>
  <c r="AC71" i="8"/>
  <c r="AC72" i="8"/>
  <c r="AC73" i="8"/>
  <c r="AC74" i="8"/>
  <c r="AC75" i="8"/>
  <c r="AC76" i="8"/>
  <c r="AC77" i="8"/>
  <c r="AC78" i="8"/>
  <c r="AC79" i="8"/>
  <c r="AC80" i="8"/>
  <c r="AC81" i="8"/>
  <c r="AC82" i="8"/>
  <c r="AC83" i="8"/>
  <c r="AC84" i="8"/>
  <c r="AC85" i="8"/>
  <c r="AC86" i="8"/>
  <c r="AC87" i="8"/>
  <c r="AC88" i="8"/>
  <c r="AC89" i="8"/>
  <c r="AC90" i="8"/>
  <c r="AC91" i="8"/>
  <c r="AC92" i="8"/>
  <c r="AC93" i="8"/>
  <c r="AC94" i="8"/>
  <c r="AC95" i="8"/>
  <c r="AC96" i="8"/>
  <c r="AC97" i="8"/>
  <c r="AC98" i="8"/>
  <c r="AC99" i="8"/>
  <c r="AC100" i="8"/>
  <c r="AC101" i="8"/>
  <c r="AC102" i="8"/>
  <c r="AC103" i="8"/>
  <c r="AC104" i="8"/>
  <c r="AC105" i="8"/>
  <c r="AC106" i="8"/>
  <c r="AC107" i="8"/>
  <c r="AC108" i="8"/>
  <c r="AC109" i="8"/>
  <c r="AC110" i="8"/>
  <c r="AC111" i="8"/>
  <c r="AC112" i="8"/>
  <c r="AC113" i="8"/>
  <c r="AC114" i="8"/>
  <c r="AC115" i="8"/>
  <c r="AC116" i="8"/>
  <c r="AC117" i="8"/>
  <c r="AC118" i="8"/>
  <c r="AC119" i="8"/>
  <c r="AC120" i="8"/>
  <c r="AC121" i="8"/>
  <c r="AC122" i="8"/>
  <c r="AC123" i="8"/>
  <c r="AC124" i="8"/>
  <c r="AC125" i="8"/>
  <c r="AC126" i="8"/>
  <c r="AC127" i="8"/>
  <c r="AC128" i="8"/>
  <c r="AC129" i="8"/>
  <c r="AC130" i="8"/>
  <c r="AC131" i="8"/>
  <c r="AC132" i="8"/>
  <c r="AC133" i="8"/>
  <c r="AC134" i="8"/>
  <c r="AC135" i="8"/>
  <c r="AC136" i="8"/>
  <c r="AC137" i="8"/>
  <c r="AC138" i="8"/>
  <c r="AC139" i="8"/>
  <c r="AC140" i="8"/>
  <c r="AC141" i="8"/>
  <c r="AC142" i="8"/>
  <c r="AC143" i="8"/>
  <c r="AC144" i="8"/>
  <c r="AC145" i="8"/>
  <c r="AC146" i="8"/>
  <c r="AC147" i="8"/>
  <c r="AC148" i="8"/>
  <c r="AC149" i="8"/>
  <c r="AC150" i="8"/>
  <c r="AC151" i="8"/>
  <c r="AC152" i="8"/>
  <c r="AC153" i="8"/>
  <c r="AC154" i="8"/>
  <c r="AC155" i="8"/>
  <c r="AC156" i="8"/>
  <c r="AC157" i="8"/>
  <c r="AC158" i="8"/>
  <c r="AC159" i="8"/>
  <c r="AC160" i="8"/>
  <c r="AC161" i="8"/>
  <c r="AC162" i="8"/>
  <c r="AC163" i="8"/>
  <c r="AC164" i="8"/>
  <c r="AC165" i="8"/>
  <c r="AC166" i="8"/>
  <c r="AC167" i="8"/>
  <c r="AC168" i="8"/>
  <c r="AC169" i="8"/>
  <c r="AC170" i="8"/>
  <c r="AC171" i="8"/>
  <c r="AC172" i="8"/>
  <c r="AC173" i="8"/>
  <c r="AC174" i="8"/>
  <c r="AC175" i="8"/>
  <c r="AC176" i="8"/>
  <c r="AC177" i="8"/>
  <c r="AC178" i="8"/>
  <c r="AC179" i="8"/>
  <c r="AC180" i="8"/>
  <c r="AC181" i="8"/>
  <c r="AC182" i="8"/>
  <c r="AC183" i="8"/>
  <c r="AC184" i="8"/>
  <c r="AC185" i="8"/>
  <c r="AC186" i="8"/>
  <c r="AC187" i="8"/>
  <c r="AC188" i="8"/>
  <c r="AC189" i="8"/>
  <c r="AC190" i="8"/>
  <c r="AC191" i="8"/>
  <c r="AC192" i="8"/>
  <c r="AC193" i="8"/>
  <c r="AC194" i="8"/>
  <c r="AC195" i="8"/>
  <c r="AC196" i="8"/>
  <c r="AC197" i="8"/>
  <c r="AC198" i="8"/>
  <c r="AC199" i="8"/>
  <c r="AC200" i="8"/>
  <c r="AC201" i="8"/>
  <c r="AC202" i="8"/>
  <c r="AC203" i="8"/>
  <c r="AC204" i="8"/>
  <c r="AC205" i="8"/>
  <c r="AC206" i="8"/>
  <c r="AC207" i="8"/>
  <c r="AC208" i="8"/>
  <c r="AC209" i="8"/>
  <c r="AC210" i="8"/>
  <c r="AC211" i="8"/>
  <c r="AC212" i="8"/>
  <c r="AC213" i="8"/>
  <c r="AC214" i="8"/>
  <c r="AC215" i="8"/>
  <c r="AC216" i="8"/>
  <c r="AC217" i="8"/>
  <c r="AC218" i="8"/>
  <c r="AC219" i="8"/>
  <c r="AC220" i="8"/>
  <c r="AC221" i="8"/>
  <c r="AC222" i="8"/>
  <c r="AC223" i="8"/>
  <c r="AC224" i="8"/>
  <c r="AC225" i="8"/>
  <c r="AC226" i="8"/>
  <c r="AC227" i="8"/>
  <c r="AC228" i="8"/>
  <c r="AC229" i="8"/>
  <c r="AC230" i="8"/>
  <c r="AC231" i="8"/>
  <c r="AC232" i="8"/>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AC267" i="8"/>
  <c r="AC268" i="8"/>
  <c r="AC269" i="8"/>
  <c r="AC270" i="8"/>
  <c r="AC271" i="8"/>
  <c r="AC61" i="8"/>
  <c r="AC273" i="8" s="1"/>
  <c r="V73" i="8"/>
  <c r="V64" i="8"/>
  <c r="V63" i="8"/>
  <c r="V62" i="8"/>
  <c r="V61" i="8"/>
  <c r="V79" i="8"/>
  <c r="D2" i="60"/>
  <c r="K88" i="62" l="1"/>
  <c r="K74" i="62"/>
  <c r="L74" i="62" s="1"/>
  <c r="K73" i="62"/>
  <c r="L73" i="62" s="1"/>
  <c r="K72" i="62"/>
  <c r="K80" i="62"/>
  <c r="L80" i="62" s="1"/>
  <c r="K79" i="62"/>
  <c r="L79" i="62" s="1"/>
  <c r="K78" i="62"/>
  <c r="I88" i="62"/>
  <c r="I74" i="62"/>
  <c r="J74" i="62" s="1"/>
  <c r="I73" i="62"/>
  <c r="J73" i="62" s="1"/>
  <c r="I72" i="62"/>
  <c r="I80" i="62"/>
  <c r="J80" i="62" s="1"/>
  <c r="I79" i="62"/>
  <c r="J79" i="62" s="1"/>
  <c r="I78" i="62"/>
  <c r="G88" i="62"/>
  <c r="G74" i="62"/>
  <c r="H74" i="62" s="1"/>
  <c r="G73" i="62"/>
  <c r="H73" i="62" s="1"/>
  <c r="G72" i="62"/>
  <c r="G80" i="62"/>
  <c r="H80" i="62" s="1"/>
  <c r="G79" i="62"/>
  <c r="H79" i="62" s="1"/>
  <c r="G78" i="62"/>
  <c r="L94" i="62"/>
  <c r="K94" i="62"/>
  <c r="L96" i="62"/>
  <c r="K96" i="62"/>
  <c r="J94" i="62"/>
  <c r="I94" i="62"/>
  <c r="J96" i="62"/>
  <c r="I96" i="62"/>
  <c r="H94" i="62"/>
  <c r="G94" i="62"/>
  <c r="H96" i="62"/>
  <c r="G96" i="62"/>
  <c r="B139" i="33"/>
  <c r="AB203" i="35"/>
  <c r="AB203" i="31"/>
  <c r="AB203" i="28"/>
  <c r="AB204" i="27"/>
  <c r="AB204" i="25"/>
  <c r="AB203" i="19"/>
  <c r="AB204" i="19"/>
  <c r="R8" i="19"/>
  <c r="L235" i="19"/>
  <c r="B110" i="59"/>
  <c r="D128" i="32"/>
  <c r="D128" i="30"/>
  <c r="D128" i="24"/>
  <c r="D128" i="18"/>
  <c r="K4" i="46"/>
  <c r="L4" i="49"/>
  <c r="S4" i="34"/>
  <c r="L4" i="40"/>
  <c r="S4" i="37"/>
  <c r="S4" i="55"/>
  <c r="S4" i="53"/>
  <c r="S4" i="45"/>
  <c r="S4" i="35"/>
  <c r="S4" i="31"/>
  <c r="S4" i="28"/>
  <c r="S4" i="27"/>
  <c r="S4" i="25"/>
  <c r="S4" i="19"/>
  <c r="S4" i="17"/>
  <c r="S4" i="11"/>
  <c r="S4" i="8"/>
  <c r="K3" i="46"/>
  <c r="L3" i="49"/>
  <c r="L3" i="40"/>
  <c r="S3" i="37"/>
  <c r="S3" i="34"/>
  <c r="S3" i="55"/>
  <c r="S3" i="53"/>
  <c r="S3" i="45"/>
  <c r="S3" i="35"/>
  <c r="S3" i="31"/>
  <c r="S3" i="28"/>
  <c r="S3" i="27"/>
  <c r="S3" i="25"/>
  <c r="S3" i="19"/>
  <c r="S3" i="17"/>
  <c r="S3" i="11"/>
  <c r="S3" i="8"/>
  <c r="K2" i="46"/>
  <c r="L2" i="49"/>
  <c r="L2" i="40"/>
  <c r="S2" i="34"/>
  <c r="S2" i="37"/>
  <c r="S2" i="55"/>
  <c r="S2" i="53"/>
  <c r="S2" i="45"/>
  <c r="S2" i="35"/>
  <c r="S2" i="31"/>
  <c r="S2" i="28"/>
  <c r="S2" i="27"/>
  <c r="S2" i="25"/>
  <c r="S2" i="17"/>
  <c r="S2" i="11"/>
  <c r="S2" i="8"/>
  <c r="S2" i="19"/>
  <c r="S3" i="58"/>
  <c r="S2" i="58"/>
  <c r="S1" i="58"/>
  <c r="V36" i="58"/>
  <c r="V37" i="58"/>
  <c r="V38" i="58"/>
  <c r="V39" i="58"/>
  <c r="V40" i="58"/>
  <c r="V41" i="58"/>
  <c r="V42" i="58"/>
  <c r="V43" i="58"/>
  <c r="V44" i="58"/>
  <c r="V45" i="58"/>
  <c r="V46" i="58"/>
  <c r="V47" i="58"/>
  <c r="V48" i="58"/>
  <c r="V49" i="58"/>
  <c r="V50" i="58"/>
  <c r="V51" i="58"/>
  <c r="V52" i="58"/>
  <c r="V53" i="58"/>
  <c r="V54" i="58"/>
  <c r="V55" i="58"/>
  <c r="V56" i="58"/>
  <c r="V57" i="58"/>
  <c r="V58" i="58"/>
  <c r="V59" i="58"/>
  <c r="V60" i="58"/>
  <c r="V61" i="58"/>
  <c r="V62" i="58"/>
  <c r="V63" i="58"/>
  <c r="V64" i="58"/>
  <c r="V65" i="58"/>
  <c r="V66" i="58"/>
  <c r="V67" i="58"/>
  <c r="V68" i="58"/>
  <c r="V69" i="58"/>
  <c r="V70" i="58"/>
  <c r="V71" i="58"/>
  <c r="V72" i="58"/>
  <c r="V73" i="58"/>
  <c r="V74" i="58"/>
  <c r="V75" i="58"/>
  <c r="V76" i="58"/>
  <c r="V77" i="58"/>
  <c r="V78" i="58"/>
  <c r="V79" i="58"/>
  <c r="AB36" i="58"/>
  <c r="AB37" i="58"/>
  <c r="AB38" i="58"/>
  <c r="AB39" i="58"/>
  <c r="AB40" i="58"/>
  <c r="AB41" i="58"/>
  <c r="AB42" i="58"/>
  <c r="AB43" i="58"/>
  <c r="AB44" i="58"/>
  <c r="AB45" i="58"/>
  <c r="AB46" i="58"/>
  <c r="AB47" i="58"/>
  <c r="AB48" i="58"/>
  <c r="AB49" i="58"/>
  <c r="AB50" i="58"/>
  <c r="AB51" i="58"/>
  <c r="AB52" i="58"/>
  <c r="AB53" i="58"/>
  <c r="AB54" i="58"/>
  <c r="AB55" i="58"/>
  <c r="AB56" i="58"/>
  <c r="AB57" i="58"/>
  <c r="AB58" i="58"/>
  <c r="AB59" i="58"/>
  <c r="AB60" i="58"/>
  <c r="AB61" i="58"/>
  <c r="AB62" i="58"/>
  <c r="AB63" i="58"/>
  <c r="AB64" i="58"/>
  <c r="AB65" i="58"/>
  <c r="AB66" i="58"/>
  <c r="AB67" i="58"/>
  <c r="AB68" i="58"/>
  <c r="AB69" i="58"/>
  <c r="AB70" i="58"/>
  <c r="AB71" i="58"/>
  <c r="AB72" i="58"/>
  <c r="AB73" i="58"/>
  <c r="AB74" i="58"/>
  <c r="AB75" i="58"/>
  <c r="AB76" i="58"/>
  <c r="AB77" i="58"/>
  <c r="AB78" i="58"/>
  <c r="AB79" i="58"/>
  <c r="AB80" i="58"/>
  <c r="B109" i="59"/>
  <c r="B108" i="59"/>
  <c r="B107" i="59"/>
  <c r="B106" i="59"/>
  <c r="B105" i="59"/>
  <c r="B104" i="59"/>
  <c r="E104" i="59" s="1"/>
  <c r="E131" i="58" s="1"/>
  <c r="B103" i="59"/>
  <c r="B102" i="59"/>
  <c r="AB88" i="58"/>
  <c r="V88" i="58"/>
  <c r="AB87" i="58"/>
  <c r="AB86" i="58"/>
  <c r="V86" i="58"/>
  <c r="AB85" i="58"/>
  <c r="AB84" i="58"/>
  <c r="V84" i="58"/>
  <c r="AB83" i="58"/>
  <c r="AB82" i="58"/>
  <c r="X82" i="58"/>
  <c r="W86" i="58" s="1"/>
  <c r="W82" i="58"/>
  <c r="V82" i="58"/>
  <c r="AB81" i="58"/>
  <c r="V80" i="58"/>
  <c r="W69" i="58"/>
  <c r="X66" i="58"/>
  <c r="W79" i="58" s="1"/>
  <c r="W66" i="58"/>
  <c r="X36" i="58"/>
  <c r="W63" i="58" s="1"/>
  <c r="B137" i="58"/>
  <c r="B136" i="58"/>
  <c r="B135" i="58"/>
  <c r="B134" i="58"/>
  <c r="B133" i="58"/>
  <c r="B132" i="58"/>
  <c r="B131" i="58"/>
  <c r="B130" i="58"/>
  <c r="B129" i="58"/>
  <c r="K39" i="59"/>
  <c r="I39" i="59"/>
  <c r="G121" i="58"/>
  <c r="G106" i="58"/>
  <c r="B1" i="58"/>
  <c r="B126" i="58" s="1"/>
  <c r="G115" i="58"/>
  <c r="D103" i="59"/>
  <c r="D130" i="58" s="1"/>
  <c r="D104" i="59"/>
  <c r="D131" i="58" s="1"/>
  <c r="G44" i="59"/>
  <c r="G43" i="59"/>
  <c r="G39" i="59"/>
  <c r="L95" i="59"/>
  <c r="L94" i="59"/>
  <c r="L93" i="59"/>
  <c r="L92" i="59"/>
  <c r="I51" i="59"/>
  <c r="J49" i="59"/>
  <c r="I67" i="59" s="1"/>
  <c r="J27" i="59"/>
  <c r="G27" i="59"/>
  <c r="J26" i="59"/>
  <c r="G26" i="59"/>
  <c r="J25" i="59"/>
  <c r="G25" i="59"/>
  <c r="J24" i="59"/>
  <c r="G24" i="59"/>
  <c r="J23" i="59"/>
  <c r="G23" i="59"/>
  <c r="J22" i="59"/>
  <c r="G22" i="59"/>
  <c r="J21" i="59"/>
  <c r="G21" i="59"/>
  <c r="J20" i="59"/>
  <c r="G20" i="59"/>
  <c r="J19" i="59"/>
  <c r="G19" i="59"/>
  <c r="J18" i="59"/>
  <c r="G18" i="59"/>
  <c r="J17" i="59"/>
  <c r="G17" i="59"/>
  <c r="J16" i="59"/>
  <c r="G16" i="59"/>
  <c r="J15" i="59"/>
  <c r="G15" i="59"/>
  <c r="J14" i="59"/>
  <c r="G14" i="59"/>
  <c r="J13" i="59"/>
  <c r="G13" i="59"/>
  <c r="J12" i="59"/>
  <c r="G12" i="59"/>
  <c r="J11" i="59"/>
  <c r="G11" i="59"/>
  <c r="J10" i="59"/>
  <c r="G10" i="59"/>
  <c r="J9" i="59"/>
  <c r="G9" i="59"/>
  <c r="J8" i="59"/>
  <c r="G8" i="59"/>
  <c r="G100" i="58"/>
  <c r="R89" i="58"/>
  <c r="H102" i="58" s="1"/>
  <c r="L89" i="58"/>
  <c r="L81" i="58"/>
  <c r="L65" i="58"/>
  <c r="R7" i="58"/>
  <c r="F7" i="58"/>
  <c r="V114" i="15" s="1"/>
  <c r="A121" i="15"/>
  <c r="A103" i="15"/>
  <c r="A85" i="15"/>
  <c r="A55" i="15"/>
  <c r="A51" i="15"/>
  <c r="A42" i="15"/>
  <c r="A37" i="15"/>
  <c r="A32" i="15"/>
  <c r="A27" i="15"/>
  <c r="J25" i="15"/>
  <c r="J24" i="15"/>
  <c r="J23" i="15"/>
  <c r="J22" i="15"/>
  <c r="J21" i="15"/>
  <c r="J19" i="15"/>
  <c r="J26" i="15" s="1"/>
  <c r="S85" i="15" s="1"/>
  <c r="T85" i="15" s="1"/>
  <c r="A17" i="15"/>
  <c r="B17" i="15" s="1"/>
  <c r="L78" i="62" l="1"/>
  <c r="L86" i="62" s="1"/>
  <c r="K86" i="62"/>
  <c r="L72" i="62"/>
  <c r="L85" i="62" s="1"/>
  <c r="L93" i="62" s="1"/>
  <c r="K85" i="62"/>
  <c r="K93" i="62" s="1"/>
  <c r="J78" i="62"/>
  <c r="J86" i="62" s="1"/>
  <c r="I86" i="62"/>
  <c r="J72" i="62"/>
  <c r="J85" i="62" s="1"/>
  <c r="J93" i="62" s="1"/>
  <c r="I85" i="62"/>
  <c r="I93" i="62" s="1"/>
  <c r="H78" i="62"/>
  <c r="H86" i="62" s="1"/>
  <c r="G86" i="62"/>
  <c r="H72" i="62"/>
  <c r="H85" i="62" s="1"/>
  <c r="H93" i="62" s="1"/>
  <c r="G85" i="62"/>
  <c r="G93" i="62" s="1"/>
  <c r="N24" i="60"/>
  <c r="B96" i="58"/>
  <c r="AB90" i="58"/>
  <c r="S7" i="58" s="1"/>
  <c r="B111" i="58"/>
  <c r="C104" i="59"/>
  <c r="E102" i="59"/>
  <c r="E129" i="58" s="1"/>
  <c r="C103" i="59"/>
  <c r="C130" i="58" s="1"/>
  <c r="W38" i="58"/>
  <c r="W40" i="58"/>
  <c r="W42" i="58"/>
  <c r="W45" i="58"/>
  <c r="W71" i="58"/>
  <c r="W73" i="58"/>
  <c r="W75" i="58"/>
  <c r="W77" i="58"/>
  <c r="W84" i="58"/>
  <c r="W89" i="58" s="1"/>
  <c r="I82" i="58" s="1"/>
  <c r="W36" i="58"/>
  <c r="W48" i="58"/>
  <c r="W50" i="58"/>
  <c r="W53" i="58"/>
  <c r="W55" i="58"/>
  <c r="W57" i="58"/>
  <c r="W59" i="58"/>
  <c r="W61" i="58"/>
  <c r="I74" i="59"/>
  <c r="J74" i="59"/>
  <c r="R20" i="58"/>
  <c r="V90" i="58" s="1"/>
  <c r="S123" i="15" s="1"/>
  <c r="R32" i="58"/>
  <c r="K51" i="59"/>
  <c r="I52" i="59"/>
  <c r="K52" i="59"/>
  <c r="I53" i="59"/>
  <c r="K53" i="59"/>
  <c r="H55" i="59" a="1"/>
  <c r="H55" i="59" s="1"/>
  <c r="G57" i="59" s="1"/>
  <c r="H57" i="59" s="1"/>
  <c r="J55" i="59"/>
  <c r="J57" i="59"/>
  <c r="L57" i="59"/>
  <c r="J58" i="59"/>
  <c r="L58" i="59"/>
  <c r="J59" i="59"/>
  <c r="L59" i="59"/>
  <c r="J65" i="59"/>
  <c r="L65" i="59"/>
  <c r="H67" i="59"/>
  <c r="J67" i="59"/>
  <c r="L67" i="59"/>
  <c r="G85" i="59"/>
  <c r="H49" i="59"/>
  <c r="G67" i="59" s="1"/>
  <c r="L49" i="59"/>
  <c r="K67" i="59" s="1"/>
  <c r="J51" i="59"/>
  <c r="L51" i="59"/>
  <c r="J52" i="59"/>
  <c r="L52" i="59"/>
  <c r="J53" i="59"/>
  <c r="J64" i="59" s="1"/>
  <c r="J73" i="59" s="1"/>
  <c r="L53" i="59"/>
  <c r="L64" i="59" s="1"/>
  <c r="L73" i="59" s="1"/>
  <c r="L55" i="59" a="1"/>
  <c r="L55" i="59" s="1"/>
  <c r="I57" i="59"/>
  <c r="K57" i="59"/>
  <c r="I58" i="59"/>
  <c r="K58" i="59"/>
  <c r="I59" i="59"/>
  <c r="K59" i="59"/>
  <c r="K65" i="59" s="1"/>
  <c r="I64" i="59"/>
  <c r="I73" i="59" s="1"/>
  <c r="K64" i="59"/>
  <c r="K73" i="59" s="1"/>
  <c r="I65" i="59"/>
  <c r="K87" i="62" l="1"/>
  <c r="K95" i="62" s="1"/>
  <c r="L98" i="62" s="1"/>
  <c r="L105" i="62" s="1"/>
  <c r="N19" i="61" s="1"/>
  <c r="L87" i="62"/>
  <c r="L95" i="62" s="1"/>
  <c r="L102" i="62" s="1"/>
  <c r="I87" i="62"/>
  <c r="I95" i="62" s="1"/>
  <c r="J98" i="62" s="1"/>
  <c r="J105" i="62" s="1"/>
  <c r="J19" i="61" s="1"/>
  <c r="J87" i="62"/>
  <c r="J95" i="62" s="1"/>
  <c r="J102" i="62" s="1"/>
  <c r="G87" i="62"/>
  <c r="G95" i="62" s="1"/>
  <c r="H98" i="62" s="1"/>
  <c r="H105" i="62" s="1"/>
  <c r="F19" i="61" s="1"/>
  <c r="I35" i="61" s="1"/>
  <c r="H87" i="62"/>
  <c r="H95" i="62" s="1"/>
  <c r="H102" i="62" s="1"/>
  <c r="W81" i="58"/>
  <c r="I66" i="58" s="1"/>
  <c r="Q104" i="59"/>
  <c r="C131" i="58"/>
  <c r="W65" i="58"/>
  <c r="I36" i="58" s="1"/>
  <c r="I89" i="58" s="1"/>
  <c r="G52" i="59"/>
  <c r="H52" i="59" s="1"/>
  <c r="G51" i="59"/>
  <c r="H51" i="59" s="1"/>
  <c r="G58" i="59"/>
  <c r="H58" i="59" s="1"/>
  <c r="G59" i="59"/>
  <c r="G53" i="59"/>
  <c r="K66" i="59"/>
  <c r="K75" i="59" s="1"/>
  <c r="K74" i="59"/>
  <c r="L74" i="59"/>
  <c r="G74" i="59"/>
  <c r="H74" i="59"/>
  <c r="L66" i="59"/>
  <c r="L75" i="59" s="1"/>
  <c r="G76" i="59"/>
  <c r="H76" i="59"/>
  <c r="I66" i="59"/>
  <c r="I75" i="59" s="1"/>
  <c r="K76" i="59"/>
  <c r="L78" i="59" s="1"/>
  <c r="L76" i="59"/>
  <c r="L82" i="59" s="1"/>
  <c r="J66" i="59"/>
  <c r="J75" i="59" s="1"/>
  <c r="I76" i="59"/>
  <c r="J78" i="59" s="1"/>
  <c r="J76" i="59"/>
  <c r="J82" i="59" s="1"/>
  <c r="L101" i="62" l="1"/>
  <c r="L100" i="62"/>
  <c r="L99" i="62"/>
  <c r="J101" i="62"/>
  <c r="J100" i="62"/>
  <c r="J99" i="62"/>
  <c r="H101" i="62"/>
  <c r="H100" i="62"/>
  <c r="H99" i="62"/>
  <c r="J55" i="61"/>
  <c r="J39" i="61"/>
  <c r="I78" i="61"/>
  <c r="G65" i="59"/>
  <c r="H59" i="59"/>
  <c r="H65" i="59" s="1"/>
  <c r="H53" i="59"/>
  <c r="H64" i="59" s="1"/>
  <c r="H73" i="59" s="1"/>
  <c r="G64" i="59"/>
  <c r="G73" i="59" s="1"/>
  <c r="J81" i="59"/>
  <c r="J79" i="59"/>
  <c r="J80" i="59"/>
  <c r="J85" i="59"/>
  <c r="L80" i="59"/>
  <c r="L81" i="59"/>
  <c r="L79" i="59"/>
  <c r="L85" i="59"/>
  <c r="C143" i="62" l="1"/>
  <c r="C289" i="61" s="1"/>
  <c r="C142" i="62"/>
  <c r="C288" i="61" s="1"/>
  <c r="C141" i="62"/>
  <c r="C287" i="61" s="1"/>
  <c r="C140" i="62"/>
  <c r="C286" i="61" s="1"/>
  <c r="C139" i="62"/>
  <c r="C285" i="61" s="1"/>
  <c r="C138" i="62"/>
  <c r="C284" i="61" s="1"/>
  <c r="D143" i="62"/>
  <c r="D289" i="61" s="1"/>
  <c r="D142" i="62"/>
  <c r="D288" i="61" s="1"/>
  <c r="D141" i="62"/>
  <c r="D287" i="61" s="1"/>
  <c r="D140" i="62"/>
  <c r="D286" i="61" s="1"/>
  <c r="D139" i="62"/>
  <c r="D285" i="61" s="1"/>
  <c r="D138" i="62"/>
  <c r="D284" i="61" s="1"/>
  <c r="J82" i="61"/>
  <c r="I115" i="61"/>
  <c r="C135" i="62"/>
  <c r="C109" i="62"/>
  <c r="H66" i="59"/>
  <c r="H75" i="59" s="1"/>
  <c r="H82" i="59"/>
  <c r="H85" i="59" s="1"/>
  <c r="F16" i="58" s="1"/>
  <c r="G66" i="59"/>
  <c r="G75" i="59" s="1"/>
  <c r="H78" i="59" s="1"/>
  <c r="E143" i="62" l="1"/>
  <c r="E142" i="62"/>
  <c r="E141" i="62"/>
  <c r="E140" i="62"/>
  <c r="E139" i="62"/>
  <c r="E138" i="62"/>
  <c r="G109" i="62"/>
  <c r="C281" i="61"/>
  <c r="Q281" i="61" s="1"/>
  <c r="Q135" i="62"/>
  <c r="J133" i="61"/>
  <c r="J143" i="61"/>
  <c r="J144" i="61"/>
  <c r="J145" i="61"/>
  <c r="J150" i="61"/>
  <c r="J194" i="61"/>
  <c r="J236" i="61"/>
  <c r="J179" i="61"/>
  <c r="J154" i="61"/>
  <c r="J128" i="61"/>
  <c r="J119" i="61"/>
  <c r="I32" i="58"/>
  <c r="H79" i="59"/>
  <c r="H80" i="59"/>
  <c r="H81" i="59"/>
  <c r="J66" i="58"/>
  <c r="D102" i="59" s="1"/>
  <c r="D129" i="58" s="1"/>
  <c r="J36" i="58"/>
  <c r="C102" i="59" s="1"/>
  <c r="J82" i="58"/>
  <c r="E103" i="59" s="1"/>
  <c r="F143" i="62" l="1"/>
  <c r="F289" i="61" s="1"/>
  <c r="F142" i="62"/>
  <c r="F288" i="61" s="1"/>
  <c r="F141" i="62"/>
  <c r="F287" i="61" s="1"/>
  <c r="F140" i="62"/>
  <c r="F286" i="61" s="1"/>
  <c r="F139" i="62"/>
  <c r="F285" i="61" s="1"/>
  <c r="F138" i="62"/>
  <c r="F284" i="61" s="1"/>
  <c r="G143" i="62"/>
  <c r="G289" i="61" s="1"/>
  <c r="G142" i="62"/>
  <c r="G288" i="61" s="1"/>
  <c r="G141" i="62"/>
  <c r="G287" i="61" s="1"/>
  <c r="G140" i="62"/>
  <c r="G286" i="61" s="1"/>
  <c r="G139" i="62"/>
  <c r="G285" i="61" s="1"/>
  <c r="G138" i="62"/>
  <c r="G284" i="61" s="1"/>
  <c r="M143" i="62"/>
  <c r="M289" i="61" s="1"/>
  <c r="M142" i="62"/>
  <c r="M288" i="61" s="1"/>
  <c r="M141" i="62"/>
  <c r="M287" i="61" s="1"/>
  <c r="M140" i="62"/>
  <c r="M286" i="61" s="1"/>
  <c r="M139" i="62"/>
  <c r="M285" i="61" s="1"/>
  <c r="M138" i="62"/>
  <c r="M284" i="61" s="1"/>
  <c r="N143" i="62"/>
  <c r="N289" i="61" s="1"/>
  <c r="N142" i="62"/>
  <c r="N288" i="61" s="1"/>
  <c r="N141" i="62"/>
  <c r="N287" i="61" s="1"/>
  <c r="N140" i="62"/>
  <c r="N286" i="61" s="1"/>
  <c r="N139" i="62"/>
  <c r="N285" i="61" s="1"/>
  <c r="N138" i="62"/>
  <c r="N284" i="61" s="1"/>
  <c r="P143" i="62"/>
  <c r="P289" i="61" s="1"/>
  <c r="P142" i="62"/>
  <c r="P288" i="61" s="1"/>
  <c r="P141" i="62"/>
  <c r="P287" i="61" s="1"/>
  <c r="P140" i="62"/>
  <c r="P286" i="61" s="1"/>
  <c r="P139" i="62"/>
  <c r="P285" i="61" s="1"/>
  <c r="P138" i="62"/>
  <c r="P284" i="61" s="1"/>
  <c r="O143" i="62"/>
  <c r="O289" i="61" s="1"/>
  <c r="O142" i="62"/>
  <c r="O288" i="61" s="1"/>
  <c r="O141" i="62"/>
  <c r="O287" i="61" s="1"/>
  <c r="O140" i="62"/>
  <c r="O286" i="61" s="1"/>
  <c r="O139" i="62"/>
  <c r="O285" i="61" s="1"/>
  <c r="O138" i="62"/>
  <c r="O284" i="61" s="1"/>
  <c r="L143" i="62"/>
  <c r="L289" i="61" s="1"/>
  <c r="L142" i="62"/>
  <c r="L288" i="61" s="1"/>
  <c r="L141" i="62"/>
  <c r="L287" i="61" s="1"/>
  <c r="L140" i="62"/>
  <c r="L286" i="61" s="1"/>
  <c r="L139" i="62"/>
  <c r="L285" i="61" s="1"/>
  <c r="L138" i="62"/>
  <c r="L284" i="61" s="1"/>
  <c r="K143" i="62"/>
  <c r="K289" i="61" s="1"/>
  <c r="K142" i="62"/>
  <c r="K288" i="61" s="1"/>
  <c r="K141" i="62"/>
  <c r="K287" i="61" s="1"/>
  <c r="K140" i="62"/>
  <c r="K286" i="61" s="1"/>
  <c r="K139" i="62"/>
  <c r="K285" i="61" s="1"/>
  <c r="K138" i="62"/>
  <c r="K284" i="61" s="1"/>
  <c r="J143" i="62"/>
  <c r="J289" i="61" s="1"/>
  <c r="J142" i="62"/>
  <c r="J288" i="61" s="1"/>
  <c r="J141" i="62"/>
  <c r="J287" i="61" s="1"/>
  <c r="J140" i="62"/>
  <c r="J286" i="61" s="1"/>
  <c r="J139" i="62"/>
  <c r="J285" i="61" s="1"/>
  <c r="J138" i="62"/>
  <c r="J284" i="61" s="1"/>
  <c r="I143" i="62"/>
  <c r="I289" i="61" s="1"/>
  <c r="I142" i="62"/>
  <c r="I288" i="61" s="1"/>
  <c r="I141" i="62"/>
  <c r="I287" i="61" s="1"/>
  <c r="I140" i="62"/>
  <c r="I286" i="61" s="1"/>
  <c r="I139" i="62"/>
  <c r="I285" i="61" s="1"/>
  <c r="I138" i="62"/>
  <c r="I284" i="61" s="1"/>
  <c r="H143" i="62"/>
  <c r="H289" i="61" s="1"/>
  <c r="H142" i="62"/>
  <c r="H288" i="61" s="1"/>
  <c r="H141" i="62"/>
  <c r="H287" i="61" s="1"/>
  <c r="H140" i="62"/>
  <c r="H286" i="61" s="1"/>
  <c r="H139" i="62"/>
  <c r="H285" i="61" s="1"/>
  <c r="H138" i="62"/>
  <c r="H284" i="61" s="1"/>
  <c r="E284" i="61"/>
  <c r="Q284" i="61" s="1"/>
  <c r="Q138" i="62"/>
  <c r="E285" i="61"/>
  <c r="Q285" i="61" s="1"/>
  <c r="Q139" i="62"/>
  <c r="E286" i="61"/>
  <c r="Q286" i="61" s="1"/>
  <c r="Q140" i="62"/>
  <c r="E287" i="61"/>
  <c r="Q287" i="61" s="1"/>
  <c r="Q141" i="62"/>
  <c r="E288" i="61"/>
  <c r="Q288" i="61" s="1"/>
  <c r="Q142" i="62"/>
  <c r="E289" i="61"/>
  <c r="Q143" i="62"/>
  <c r="J245" i="61"/>
  <c r="H250" i="61" s="1"/>
  <c r="E130" i="58"/>
  <c r="Q103" i="59"/>
  <c r="C129" i="59"/>
  <c r="C129" i="58"/>
  <c r="Q102" i="59"/>
  <c r="E106" i="59"/>
  <c r="E133" i="58" s="1"/>
  <c r="E108" i="59"/>
  <c r="E135" i="58" s="1"/>
  <c r="E110" i="59"/>
  <c r="E137" i="58" s="1"/>
  <c r="E109" i="59"/>
  <c r="E136" i="58" s="1"/>
  <c r="E107" i="59"/>
  <c r="E134" i="58" s="1"/>
  <c r="E105" i="59"/>
  <c r="E132" i="58" s="1"/>
  <c r="C105" i="59"/>
  <c r="C107" i="59"/>
  <c r="C109" i="59"/>
  <c r="C110" i="59"/>
  <c r="C108" i="59"/>
  <c r="C106" i="59"/>
  <c r="D105" i="59"/>
  <c r="D132" i="58" s="1"/>
  <c r="D106" i="59"/>
  <c r="D133" i="58" s="1"/>
  <c r="D107" i="59"/>
  <c r="D134" i="58" s="1"/>
  <c r="D108" i="59"/>
  <c r="D135" i="58" s="1"/>
  <c r="D109" i="59"/>
  <c r="D136" i="58" s="1"/>
  <c r="D110" i="59"/>
  <c r="D137" i="58" s="1"/>
  <c r="J89" i="58"/>
  <c r="H98" i="58" s="1"/>
  <c r="Q144" i="62" l="1"/>
  <c r="H252" i="61"/>
  <c r="H256" i="61"/>
  <c r="K252" i="61"/>
  <c r="H100" i="58"/>
  <c r="L24" i="60"/>
  <c r="P24" i="60" s="1"/>
  <c r="Q106" i="59"/>
  <c r="C133" i="58"/>
  <c r="Q108" i="59"/>
  <c r="C135" i="58"/>
  <c r="C137" i="58"/>
  <c r="Q110" i="59"/>
  <c r="C136" i="58"/>
  <c r="Q109" i="59"/>
  <c r="C134" i="58"/>
  <c r="Q107" i="59"/>
  <c r="C132" i="58"/>
  <c r="Q105" i="59"/>
  <c r="T1" i="8"/>
  <c r="J10" i="46"/>
  <c r="J12" i="46"/>
  <c r="J14" i="46"/>
  <c r="J16" i="46"/>
  <c r="J18" i="46"/>
  <c r="J20" i="46"/>
  <c r="J22" i="46"/>
  <c r="J24" i="46"/>
  <c r="J26" i="46"/>
  <c r="J28" i="46"/>
  <c r="J30" i="46"/>
  <c r="J32" i="46"/>
  <c r="J34" i="46"/>
  <c r="J36" i="46"/>
  <c r="J38" i="46"/>
  <c r="J40" i="46"/>
  <c r="J42" i="46"/>
  <c r="J44" i="46"/>
  <c r="J46" i="46"/>
  <c r="J48" i="46"/>
  <c r="J50" i="46"/>
  <c r="J52" i="46"/>
  <c r="J54" i="46"/>
  <c r="J56" i="46"/>
  <c r="J58" i="46"/>
  <c r="J60" i="46"/>
  <c r="J62" i="46"/>
  <c r="J64" i="46"/>
  <c r="J66" i="46"/>
  <c r="J68" i="46"/>
  <c r="J70" i="46"/>
  <c r="J72" i="46"/>
  <c r="J74" i="46"/>
  <c r="M207" i="40"/>
  <c r="M220" i="40"/>
  <c r="M233" i="40"/>
  <c r="M246" i="40"/>
  <c r="M249" i="40"/>
  <c r="M257" i="40"/>
  <c r="M292" i="40"/>
  <c r="M297" i="40"/>
  <c r="M345" i="40"/>
  <c r="M342" i="40"/>
  <c r="M339" i="40"/>
  <c r="M336" i="40"/>
  <c r="M349" i="40"/>
  <c r="M302" i="40"/>
  <c r="M304" i="40"/>
  <c r="M306" i="40"/>
  <c r="M308" i="40"/>
  <c r="M310" i="40"/>
  <c r="M312" i="40"/>
  <c r="M314" i="40"/>
  <c r="M316" i="40"/>
  <c r="M318" i="40"/>
  <c r="M320" i="40"/>
  <c r="M322" i="40"/>
  <c r="M324" i="40"/>
  <c r="M326" i="40"/>
  <c r="M328" i="40"/>
  <c r="M330" i="40"/>
  <c r="M300" i="40"/>
  <c r="M295" i="40"/>
  <c r="M278" i="40"/>
  <c r="M280" i="40"/>
  <c r="M282" i="40"/>
  <c r="M284" i="40"/>
  <c r="M286" i="40"/>
  <c r="M288" i="40"/>
  <c r="M290" i="40"/>
  <c r="M264" i="40"/>
  <c r="M266" i="40"/>
  <c r="M268" i="40"/>
  <c r="M270" i="40"/>
  <c r="M272" i="40"/>
  <c r="M274" i="40"/>
  <c r="M276" i="40"/>
  <c r="M262" i="40"/>
  <c r="M255" i="40"/>
  <c r="M253" i="40"/>
  <c r="M242" i="40"/>
  <c r="M244" i="40"/>
  <c r="M240" i="40"/>
  <c r="M231" i="40"/>
  <c r="M225" i="40"/>
  <c r="M227" i="40"/>
  <c r="M229" i="40"/>
  <c r="M223" i="40"/>
  <c r="M212" i="40"/>
  <c r="M214" i="40"/>
  <c r="M216" i="40"/>
  <c r="M218" i="40"/>
  <c r="M210" i="40"/>
  <c r="M205" i="40"/>
  <c r="M203" i="40"/>
  <c r="M200" i="40"/>
  <c r="M195" i="40"/>
  <c r="M186" i="40"/>
  <c r="M191" i="40"/>
  <c r="M193" i="40"/>
  <c r="M189" i="40"/>
  <c r="M174" i="40"/>
  <c r="M176" i="40"/>
  <c r="M178" i="40"/>
  <c r="M180" i="40"/>
  <c r="M172" i="40"/>
  <c r="M168" i="40"/>
  <c r="M149" i="40"/>
  <c r="M154" i="40"/>
  <c r="M156" i="40"/>
  <c r="M158" i="40"/>
  <c r="M160" i="40"/>
  <c r="M162" i="40"/>
  <c r="M152" i="40"/>
  <c r="M139" i="40"/>
  <c r="M141" i="40"/>
  <c r="M143" i="40"/>
  <c r="M137" i="40"/>
  <c r="M125" i="40"/>
  <c r="M127" i="40"/>
  <c r="M129" i="40"/>
  <c r="M131" i="40"/>
  <c r="M123" i="40"/>
  <c r="M120" i="40"/>
  <c r="M102" i="40"/>
  <c r="M104" i="40"/>
  <c r="M106" i="40"/>
  <c r="M112" i="40"/>
  <c r="M114" i="40"/>
  <c r="M86" i="40"/>
  <c r="M88" i="40"/>
  <c r="M90" i="40"/>
  <c r="M92" i="40"/>
  <c r="M94" i="40"/>
  <c r="M96" i="40"/>
  <c r="M98" i="40"/>
  <c r="M100" i="40"/>
  <c r="M76" i="40"/>
  <c r="M78" i="40"/>
  <c r="M80" i="40"/>
  <c r="M82" i="40"/>
  <c r="M84" i="40"/>
  <c r="M10" i="40"/>
  <c r="M12" i="40"/>
  <c r="M14" i="40"/>
  <c r="M16" i="40"/>
  <c r="M18" i="40"/>
  <c r="M20" i="40"/>
  <c r="M22" i="40"/>
  <c r="M24" i="40"/>
  <c r="M26" i="40"/>
  <c r="M28" i="40"/>
  <c r="M30" i="40"/>
  <c r="M32" i="40"/>
  <c r="M34" i="40"/>
  <c r="M36" i="40"/>
  <c r="M38" i="40"/>
  <c r="M40" i="40"/>
  <c r="M42" i="40"/>
  <c r="M44" i="40"/>
  <c r="M46" i="40"/>
  <c r="M48" i="40"/>
  <c r="M50" i="40"/>
  <c r="M52" i="40"/>
  <c r="M54" i="40"/>
  <c r="M56" i="40"/>
  <c r="M58" i="40"/>
  <c r="M60" i="40"/>
  <c r="M62" i="40"/>
  <c r="M64" i="40"/>
  <c r="M66" i="40"/>
  <c r="M68" i="40"/>
  <c r="T48" i="34"/>
  <c r="T37" i="34"/>
  <c r="T46" i="37"/>
  <c r="T39" i="37"/>
  <c r="T44" i="55"/>
  <c r="T37" i="55"/>
  <c r="T44" i="53"/>
  <c r="T37" i="53"/>
  <c r="T44" i="45"/>
  <c r="T37" i="45"/>
  <c r="T55" i="35"/>
  <c r="T39" i="35"/>
  <c r="T55" i="31"/>
  <c r="T154" i="28"/>
  <c r="T55" i="28"/>
  <c r="T55" i="27"/>
  <c r="T39" i="27"/>
  <c r="T55" i="25"/>
  <c r="T39" i="25"/>
  <c r="T55" i="19"/>
  <c r="C110" i="21" s="1"/>
  <c r="T39" i="19"/>
  <c r="M85" i="49"/>
  <c r="B133" i="15"/>
  <c r="B132" i="15"/>
  <c r="B131" i="15"/>
  <c r="B130" i="15"/>
  <c r="B129" i="15"/>
  <c r="B128" i="15"/>
  <c r="B127" i="15"/>
  <c r="B126" i="15"/>
  <c r="B125" i="15"/>
  <c r="N130" i="15"/>
  <c r="T154" i="61" s="1"/>
  <c r="N131" i="15"/>
  <c r="T179" i="61" s="1"/>
  <c r="N132" i="15"/>
  <c r="T194" i="61" s="1"/>
  <c r="N133" i="15"/>
  <c r="T236" i="61" s="1"/>
  <c r="N126" i="15"/>
  <c r="T55" i="61" s="1"/>
  <c r="N127" i="15"/>
  <c r="T82" i="61" s="1"/>
  <c r="N128" i="15"/>
  <c r="T119" i="61" s="1"/>
  <c r="N129" i="15"/>
  <c r="N125" i="15"/>
  <c r="B30" i="15"/>
  <c r="B85" i="15"/>
  <c r="L1" i="46" l="1"/>
  <c r="T1" i="61"/>
  <c r="E122" i="62"/>
  <c r="C122" i="62"/>
  <c r="G122" i="62" s="1"/>
  <c r="E121" i="62"/>
  <c r="C121" i="62"/>
  <c r="G121" i="62" s="1"/>
  <c r="E120" i="62"/>
  <c r="C120" i="62"/>
  <c r="G120" i="62" s="1"/>
  <c r="E119" i="62"/>
  <c r="C119" i="62"/>
  <c r="G119" i="62" s="1"/>
  <c r="T150" i="61"/>
  <c r="T145" i="61"/>
  <c r="T144" i="61"/>
  <c r="T143" i="61"/>
  <c r="T133" i="61"/>
  <c r="T128" i="61"/>
  <c r="E112" i="62"/>
  <c r="C112" i="62"/>
  <c r="G112" i="62" s="1"/>
  <c r="E111" i="62"/>
  <c r="C111" i="62"/>
  <c r="G111" i="62" s="1"/>
  <c r="E110" i="62"/>
  <c r="C110" i="62"/>
  <c r="H258" i="61"/>
  <c r="H260" i="61" s="1"/>
  <c r="H104" i="58"/>
  <c r="H106" i="58" s="1"/>
  <c r="H108" i="58" s="1"/>
  <c r="T205" i="34"/>
  <c r="T127" i="37"/>
  <c r="T103" i="55"/>
  <c r="T103" i="53"/>
  <c r="T96" i="53"/>
  <c r="T103" i="45"/>
  <c r="T235" i="35"/>
  <c r="T193" i="35"/>
  <c r="T235" i="31"/>
  <c r="T193" i="31"/>
  <c r="T235" i="28"/>
  <c r="T193" i="28"/>
  <c r="T178" i="28"/>
  <c r="T236" i="27"/>
  <c r="T194" i="27"/>
  <c r="T179" i="27"/>
  <c r="T154" i="27"/>
  <c r="T150" i="27"/>
  <c r="T145" i="27"/>
  <c r="T144" i="27"/>
  <c r="T143" i="27"/>
  <c r="T133" i="27"/>
  <c r="T128" i="27"/>
  <c r="T236" i="25"/>
  <c r="T194" i="25"/>
  <c r="T179" i="25"/>
  <c r="T154" i="25"/>
  <c r="T150" i="25"/>
  <c r="T145" i="25"/>
  <c r="T144" i="25"/>
  <c r="T143" i="25"/>
  <c r="T133" i="25"/>
  <c r="T128" i="25"/>
  <c r="T236" i="19"/>
  <c r="C122" i="21" s="1"/>
  <c r="T194" i="19"/>
  <c r="C121" i="21" s="1"/>
  <c r="T179" i="19"/>
  <c r="C120" i="21" s="1"/>
  <c r="T154" i="19"/>
  <c r="C119" i="21" s="1"/>
  <c r="T150" i="19"/>
  <c r="C118" i="21" s="1"/>
  <c r="T145" i="19"/>
  <c r="C117" i="21" s="1"/>
  <c r="T144" i="19"/>
  <c r="C116" i="21" s="1"/>
  <c r="T143" i="19"/>
  <c r="C115" i="21" s="1"/>
  <c r="T133" i="19"/>
  <c r="C114" i="21" s="1"/>
  <c r="T128" i="19"/>
  <c r="C113" i="21" s="1"/>
  <c r="T174" i="34"/>
  <c r="T158" i="34"/>
  <c r="T142" i="34"/>
  <c r="T139" i="34"/>
  <c r="T138" i="34"/>
  <c r="T129" i="34"/>
  <c r="T127" i="34"/>
  <c r="T125" i="34"/>
  <c r="T121" i="34"/>
  <c r="T103" i="34"/>
  <c r="T76" i="34"/>
  <c r="T124" i="37"/>
  <c r="T120" i="37"/>
  <c r="T116" i="37"/>
  <c r="T114" i="37"/>
  <c r="T111" i="37"/>
  <c r="T93" i="37"/>
  <c r="T68" i="37"/>
  <c r="T96" i="55"/>
  <c r="J99" i="56" s="1"/>
  <c r="T92" i="55"/>
  <c r="T89" i="55"/>
  <c r="J97" i="56" s="1"/>
  <c r="T77" i="55"/>
  <c r="T60" i="55"/>
  <c r="T92" i="53"/>
  <c r="T89" i="53"/>
  <c r="J97" i="54" s="1"/>
  <c r="T77" i="53"/>
  <c r="T60" i="53"/>
  <c r="T96" i="45"/>
  <c r="T92" i="45"/>
  <c r="T89" i="45"/>
  <c r="J97" i="44" s="1"/>
  <c r="T77" i="45"/>
  <c r="T60" i="45"/>
  <c r="T178" i="35"/>
  <c r="T154" i="35"/>
  <c r="T150" i="35"/>
  <c r="T145" i="35"/>
  <c r="T144" i="35"/>
  <c r="T143" i="35"/>
  <c r="T133" i="35"/>
  <c r="T128" i="35"/>
  <c r="T119" i="35"/>
  <c r="T82" i="35"/>
  <c r="T178" i="31"/>
  <c r="T154" i="31"/>
  <c r="T150" i="31"/>
  <c r="T145" i="31"/>
  <c r="T144" i="31"/>
  <c r="T143" i="31"/>
  <c r="T133" i="31"/>
  <c r="T128" i="31"/>
  <c r="T119" i="31"/>
  <c r="T82" i="31"/>
  <c r="T150" i="28"/>
  <c r="T145" i="28"/>
  <c r="T144" i="28"/>
  <c r="T143" i="28"/>
  <c r="T133" i="28"/>
  <c r="T128" i="28"/>
  <c r="T119" i="28"/>
  <c r="T82" i="28"/>
  <c r="T119" i="27"/>
  <c r="T82" i="27"/>
  <c r="T119" i="25"/>
  <c r="T82" i="25"/>
  <c r="T119" i="19"/>
  <c r="C112" i="21" s="1"/>
  <c r="T82" i="19"/>
  <c r="C111" i="21" s="1"/>
  <c r="T82" i="11"/>
  <c r="T66" i="58"/>
  <c r="T235" i="11"/>
  <c r="T82" i="58"/>
  <c r="T61" i="8"/>
  <c r="T36" i="58"/>
  <c r="T39" i="28"/>
  <c r="T55" i="17"/>
  <c r="T119" i="17"/>
  <c r="T133" i="17"/>
  <c r="T144" i="17"/>
  <c r="T150" i="17"/>
  <c r="T193" i="17"/>
  <c r="T154" i="17"/>
  <c r="T39" i="17"/>
  <c r="T82" i="17"/>
  <c r="T128" i="17"/>
  <c r="T143" i="17"/>
  <c r="T145" i="17"/>
  <c r="T178" i="17"/>
  <c r="T235" i="17"/>
  <c r="M8" i="40"/>
  <c r="T39" i="31"/>
  <c r="M13" i="49"/>
  <c r="M26" i="49"/>
  <c r="M18" i="49"/>
  <c r="M21" i="49"/>
  <c r="M9" i="49"/>
  <c r="T1" i="17"/>
  <c r="T1" i="25"/>
  <c r="T1" i="28"/>
  <c r="T1" i="35"/>
  <c r="T1" i="53"/>
  <c r="T1" i="37"/>
  <c r="M1" i="40"/>
  <c r="O1" i="49"/>
  <c r="T1" i="11"/>
  <c r="T1" i="19"/>
  <c r="T1" i="27"/>
  <c r="T1" i="31"/>
  <c r="T1" i="45"/>
  <c r="T1" i="55"/>
  <c r="T1" i="34"/>
  <c r="T55" i="11"/>
  <c r="T77" i="8"/>
  <c r="T39" i="11"/>
  <c r="T105" i="8"/>
  <c r="T143" i="8"/>
  <c r="T172" i="8"/>
  <c r="T215" i="8"/>
  <c r="T119" i="11"/>
  <c r="T133" i="11"/>
  <c r="E114" i="14" s="1"/>
  <c r="T144" i="11"/>
  <c r="T150" i="11"/>
  <c r="T178" i="11"/>
  <c r="T133" i="8"/>
  <c r="T198" i="8"/>
  <c r="T263" i="8"/>
  <c r="T128" i="11"/>
  <c r="T143" i="11"/>
  <c r="T145" i="11"/>
  <c r="T154" i="11"/>
  <c r="T193" i="11"/>
  <c r="M204" i="49"/>
  <c r="M83" i="49"/>
  <c r="M123" i="49"/>
  <c r="M201" i="49"/>
  <c r="M197" i="49"/>
  <c r="M191" i="49"/>
  <c r="M175" i="49"/>
  <c r="M169" i="49"/>
  <c r="M158" i="49"/>
  <c r="M153" i="49"/>
  <c r="M157" i="49"/>
  <c r="M140" i="49"/>
  <c r="M132" i="49"/>
  <c r="M116" i="49"/>
  <c r="M109" i="49"/>
  <c r="M106" i="49"/>
  <c r="M97" i="49"/>
  <c r="M93" i="49"/>
  <c r="M87" i="49"/>
  <c r="M73" i="49"/>
  <c r="M65" i="49"/>
  <c r="M57" i="49"/>
  <c r="M52" i="49"/>
  <c r="M45" i="49"/>
  <c r="M81" i="49"/>
  <c r="M185" i="49"/>
  <c r="M189" i="49"/>
  <c r="M170" i="49"/>
  <c r="M154" i="49"/>
  <c r="M39" i="49"/>
  <c r="M30" i="49"/>
  <c r="M200" i="49"/>
  <c r="M192" i="49"/>
  <c r="M179" i="49"/>
  <c r="M172" i="49"/>
  <c r="M164" i="49"/>
  <c r="M151" i="49"/>
  <c r="M156" i="49"/>
  <c r="M148" i="49"/>
  <c r="M136" i="49"/>
  <c r="M127" i="49"/>
  <c r="M112" i="49"/>
  <c r="M108" i="49"/>
  <c r="M103" i="49"/>
  <c r="M94" i="49"/>
  <c r="M90" i="49"/>
  <c r="M78" i="49"/>
  <c r="M68" i="49"/>
  <c r="M60" i="49"/>
  <c r="M54" i="49"/>
  <c r="M50" i="49"/>
  <c r="M28" i="49"/>
  <c r="M149" i="49"/>
  <c r="M187" i="49"/>
  <c r="M183" i="49"/>
  <c r="M162" i="49"/>
  <c r="M76" i="49"/>
  <c r="M35" i="49"/>
  <c r="M33" i="49"/>
  <c r="P36" i="15"/>
  <c r="S88" i="15" s="1"/>
  <c r="T88" i="15" s="1"/>
  <c r="B319" i="8"/>
  <c r="C143" i="21"/>
  <c r="D143" i="21"/>
  <c r="E143" i="21"/>
  <c r="F143" i="21"/>
  <c r="G143" i="21"/>
  <c r="H143" i="21"/>
  <c r="I143" i="21"/>
  <c r="J143" i="21"/>
  <c r="K143" i="21"/>
  <c r="L143" i="21"/>
  <c r="M143" i="21"/>
  <c r="N143" i="21"/>
  <c r="O143" i="21"/>
  <c r="P143" i="21"/>
  <c r="AB38" i="34"/>
  <c r="AB39" i="34"/>
  <c r="AB40" i="34"/>
  <c r="AB41" i="34"/>
  <c r="AB42" i="34"/>
  <c r="AB43" i="34"/>
  <c r="AB44" i="34"/>
  <c r="AB45" i="34"/>
  <c r="AB46" i="34"/>
  <c r="AB47" i="34"/>
  <c r="AB48" i="34"/>
  <c r="AB49" i="34"/>
  <c r="AB50" i="34"/>
  <c r="AB51" i="34"/>
  <c r="AB52" i="34"/>
  <c r="AB53" i="34"/>
  <c r="AB54" i="34"/>
  <c r="AB55" i="34"/>
  <c r="AB56" i="34"/>
  <c r="AB57" i="34"/>
  <c r="AB58" i="34"/>
  <c r="AB59" i="34"/>
  <c r="AB60" i="34"/>
  <c r="AB61" i="34"/>
  <c r="AB62" i="34"/>
  <c r="AB63" i="34"/>
  <c r="AB64" i="34"/>
  <c r="AB65" i="34"/>
  <c r="AB66" i="34"/>
  <c r="AB67" i="34"/>
  <c r="AB68" i="34"/>
  <c r="AB69" i="34"/>
  <c r="AB70" i="34"/>
  <c r="AB71" i="34"/>
  <c r="AB72" i="34"/>
  <c r="AB73" i="34"/>
  <c r="AB74" i="34"/>
  <c r="AB75" i="34"/>
  <c r="AB76" i="34"/>
  <c r="AB77" i="34"/>
  <c r="AB78" i="34"/>
  <c r="AB79" i="34"/>
  <c r="AB80" i="34"/>
  <c r="AB81" i="34"/>
  <c r="AB82" i="34"/>
  <c r="AB83" i="34"/>
  <c r="AB84" i="34"/>
  <c r="AB85" i="34"/>
  <c r="AB86" i="34"/>
  <c r="AB87" i="34"/>
  <c r="AB88" i="34"/>
  <c r="AB89" i="34"/>
  <c r="AB90" i="34"/>
  <c r="AB91" i="34"/>
  <c r="AB92" i="34"/>
  <c r="AB93" i="34"/>
  <c r="AB94" i="34"/>
  <c r="AB95" i="34"/>
  <c r="AB96" i="34"/>
  <c r="AB97" i="34"/>
  <c r="AB98" i="34"/>
  <c r="AB99" i="34"/>
  <c r="AB100" i="34"/>
  <c r="AB101" i="34"/>
  <c r="AB102" i="34"/>
  <c r="AB103" i="34"/>
  <c r="AB104" i="34"/>
  <c r="AB105" i="34"/>
  <c r="AB106" i="34"/>
  <c r="AB107" i="34"/>
  <c r="AB108" i="34"/>
  <c r="AB109" i="34"/>
  <c r="AB110" i="34"/>
  <c r="AB111" i="34"/>
  <c r="AB112" i="34"/>
  <c r="AB113" i="34"/>
  <c r="AB114" i="34"/>
  <c r="AB115" i="34"/>
  <c r="AB116" i="34"/>
  <c r="AB117" i="34"/>
  <c r="AB118" i="34"/>
  <c r="AB119" i="34"/>
  <c r="AB120" i="34"/>
  <c r="AB121" i="34"/>
  <c r="AB122" i="34"/>
  <c r="AB123" i="34"/>
  <c r="AB124" i="34"/>
  <c r="AB125" i="34"/>
  <c r="AB126" i="34"/>
  <c r="AB127" i="34"/>
  <c r="AB128" i="34"/>
  <c r="AB129" i="34"/>
  <c r="AB130" i="34"/>
  <c r="AB131" i="34"/>
  <c r="AB132" i="34"/>
  <c r="AB133" i="34"/>
  <c r="AB134" i="34"/>
  <c r="AB135" i="34"/>
  <c r="AB136" i="34"/>
  <c r="AB137" i="34"/>
  <c r="AB138" i="34"/>
  <c r="AB139" i="34"/>
  <c r="AB140" i="34"/>
  <c r="AB141" i="34"/>
  <c r="AB142" i="34"/>
  <c r="AB143" i="34"/>
  <c r="AB144" i="34"/>
  <c r="AB145" i="34"/>
  <c r="AB146" i="34"/>
  <c r="AB147" i="34"/>
  <c r="AB148" i="34"/>
  <c r="AB149" i="34"/>
  <c r="AB150" i="34"/>
  <c r="AB151" i="34"/>
  <c r="AB152" i="34"/>
  <c r="AB153" i="34"/>
  <c r="AB154" i="34"/>
  <c r="AB155" i="34"/>
  <c r="AB156" i="34"/>
  <c r="AB157" i="34"/>
  <c r="AB158" i="34"/>
  <c r="AB159" i="34"/>
  <c r="AB160" i="34"/>
  <c r="AB161" i="34"/>
  <c r="AB162" i="34"/>
  <c r="AB163" i="34"/>
  <c r="AB164" i="34"/>
  <c r="AB165" i="34"/>
  <c r="AB166" i="34"/>
  <c r="AB167" i="34"/>
  <c r="AB168" i="34"/>
  <c r="AB169" i="34"/>
  <c r="AB170" i="34"/>
  <c r="AB171" i="34"/>
  <c r="AB172" i="34"/>
  <c r="AB173" i="34"/>
  <c r="AB174" i="34"/>
  <c r="AB175" i="34"/>
  <c r="AB176" i="34"/>
  <c r="AB177" i="34"/>
  <c r="AB178" i="34"/>
  <c r="AB179" i="34"/>
  <c r="AB180" i="34"/>
  <c r="AB181" i="34"/>
  <c r="AB182" i="34"/>
  <c r="AB183" i="34"/>
  <c r="AB184" i="34"/>
  <c r="AB185" i="34"/>
  <c r="AB186" i="34"/>
  <c r="AB187" i="34"/>
  <c r="AB188" i="34"/>
  <c r="AB189" i="34"/>
  <c r="AB190" i="34"/>
  <c r="AB191" i="34"/>
  <c r="AB192" i="34"/>
  <c r="AB193" i="34"/>
  <c r="AB194" i="34"/>
  <c r="AB195" i="34"/>
  <c r="AB196" i="34"/>
  <c r="AB197" i="34"/>
  <c r="AB198" i="34"/>
  <c r="AB199" i="34"/>
  <c r="AB200" i="34"/>
  <c r="AB201" i="34"/>
  <c r="AB202" i="34"/>
  <c r="AB203" i="34"/>
  <c r="AB204" i="34"/>
  <c r="AB205" i="34"/>
  <c r="AB206" i="34"/>
  <c r="AB207" i="34"/>
  <c r="AB208" i="34"/>
  <c r="AB209" i="34"/>
  <c r="AB210" i="34"/>
  <c r="AB211" i="34"/>
  <c r="AB212" i="34"/>
  <c r="AB213" i="34"/>
  <c r="AB37" i="34"/>
  <c r="AB111" i="37"/>
  <c r="AB112" i="37"/>
  <c r="AB113" i="37"/>
  <c r="AB114" i="37"/>
  <c r="AB115" i="37"/>
  <c r="AB116" i="37"/>
  <c r="AB117" i="37"/>
  <c r="AB118" i="37"/>
  <c r="AB119" i="37"/>
  <c r="AB120" i="37"/>
  <c r="AB121" i="37"/>
  <c r="AB122" i="37"/>
  <c r="AB123" i="37"/>
  <c r="AB124" i="37"/>
  <c r="AB125" i="37"/>
  <c r="AB126" i="37"/>
  <c r="AB127" i="37"/>
  <c r="AB128" i="37"/>
  <c r="AB129" i="37"/>
  <c r="AB130" i="37"/>
  <c r="AB131" i="37"/>
  <c r="AB132" i="37"/>
  <c r="AB133" i="37"/>
  <c r="AB134" i="37"/>
  <c r="AB135" i="37"/>
  <c r="AB136" i="37"/>
  <c r="AB137" i="37"/>
  <c r="AB110" i="37"/>
  <c r="AB109" i="37"/>
  <c r="AB108" i="37"/>
  <c r="AB107" i="37"/>
  <c r="AB106" i="37"/>
  <c r="AB105" i="37"/>
  <c r="AB104" i="37"/>
  <c r="AB103" i="37"/>
  <c r="AB102" i="37"/>
  <c r="AB101" i="37"/>
  <c r="AB100" i="37"/>
  <c r="AB99" i="37"/>
  <c r="AB98" i="37"/>
  <c r="AB97" i="37"/>
  <c r="AB96" i="37"/>
  <c r="AB95" i="37"/>
  <c r="AB94" i="37"/>
  <c r="AB93" i="37"/>
  <c r="AB92" i="37"/>
  <c r="AB91" i="37"/>
  <c r="AB90" i="37"/>
  <c r="AB89" i="37"/>
  <c r="AB88" i="37"/>
  <c r="AB87" i="37"/>
  <c r="AB86" i="37"/>
  <c r="AB85" i="37"/>
  <c r="AB84" i="37"/>
  <c r="AB83" i="37"/>
  <c r="AB82" i="37"/>
  <c r="AB81" i="37"/>
  <c r="AB80" i="37"/>
  <c r="AB79" i="37"/>
  <c r="AB78" i="37"/>
  <c r="AB77" i="37"/>
  <c r="AB76" i="37"/>
  <c r="AB75" i="37"/>
  <c r="AB74" i="37"/>
  <c r="AB73" i="37"/>
  <c r="AB72" i="37"/>
  <c r="AB71" i="37"/>
  <c r="AB70" i="37"/>
  <c r="AB69" i="37"/>
  <c r="AB68" i="37"/>
  <c r="AB67" i="37"/>
  <c r="AB66" i="37"/>
  <c r="AB65" i="37"/>
  <c r="AB64" i="37"/>
  <c r="AB63" i="37"/>
  <c r="AB62" i="37"/>
  <c r="AB61" i="37"/>
  <c r="AB60" i="37"/>
  <c r="AB59" i="37"/>
  <c r="AB58" i="37"/>
  <c r="AB57" i="37"/>
  <c r="AB56" i="37"/>
  <c r="AB55" i="37"/>
  <c r="AB54" i="37"/>
  <c r="AB53" i="37"/>
  <c r="AB52" i="37"/>
  <c r="AB51" i="37"/>
  <c r="AB50" i="37"/>
  <c r="AB49" i="37"/>
  <c r="AB48" i="37"/>
  <c r="AB47" i="37"/>
  <c r="AB46" i="37"/>
  <c r="AB45" i="37"/>
  <c r="AB44" i="37"/>
  <c r="AB43" i="37"/>
  <c r="AB42" i="37"/>
  <c r="AB41" i="37"/>
  <c r="AB40" i="37"/>
  <c r="AB39" i="37"/>
  <c r="AB108" i="55"/>
  <c r="AB107" i="55"/>
  <c r="AB106" i="55"/>
  <c r="AB105" i="55"/>
  <c r="AB104" i="55"/>
  <c r="AB103" i="55"/>
  <c r="AB102" i="55"/>
  <c r="AB101" i="55"/>
  <c r="AB100" i="55"/>
  <c r="AB99" i="55"/>
  <c r="AB98" i="55"/>
  <c r="AB97" i="55"/>
  <c r="AB96" i="55"/>
  <c r="AB95" i="55"/>
  <c r="AB94" i="55"/>
  <c r="AB93" i="55"/>
  <c r="AB92" i="55"/>
  <c r="AB91" i="55"/>
  <c r="AB90" i="55"/>
  <c r="AB89" i="55"/>
  <c r="AB88" i="55"/>
  <c r="AB87" i="55"/>
  <c r="AB86" i="55"/>
  <c r="AB85" i="55"/>
  <c r="AB84" i="55"/>
  <c r="AB83" i="55"/>
  <c r="AB82" i="55"/>
  <c r="AB81" i="55"/>
  <c r="AB80" i="55"/>
  <c r="AB79" i="55"/>
  <c r="AB78" i="55"/>
  <c r="AB77" i="55"/>
  <c r="AB76" i="55"/>
  <c r="AB75" i="55"/>
  <c r="AB74" i="55"/>
  <c r="AB73" i="55"/>
  <c r="AB72" i="55"/>
  <c r="AB71" i="55"/>
  <c r="AB70" i="55"/>
  <c r="AB69" i="55"/>
  <c r="AB68" i="55"/>
  <c r="AB67" i="55"/>
  <c r="AB66" i="55"/>
  <c r="AB65" i="55"/>
  <c r="AB64" i="55"/>
  <c r="AB63" i="55"/>
  <c r="AB62" i="55"/>
  <c r="AB61" i="55"/>
  <c r="AB60" i="55"/>
  <c r="AB59" i="55"/>
  <c r="AB58" i="55"/>
  <c r="AB57" i="55"/>
  <c r="AB56" i="55"/>
  <c r="AB55" i="55"/>
  <c r="AB54" i="55"/>
  <c r="AB53" i="55"/>
  <c r="AB52" i="55"/>
  <c r="AB51" i="55"/>
  <c r="AB50" i="55"/>
  <c r="AB49" i="55"/>
  <c r="AB48" i="55"/>
  <c r="AB47" i="55"/>
  <c r="AB46" i="55"/>
  <c r="AB45" i="55"/>
  <c r="AB44" i="55"/>
  <c r="AB43" i="55"/>
  <c r="AB42" i="55"/>
  <c r="AB41" i="55"/>
  <c r="AB40" i="55"/>
  <c r="AB39" i="55"/>
  <c r="AB38" i="55"/>
  <c r="AB37" i="55"/>
  <c r="AB110" i="55" s="1"/>
  <c r="AB108" i="53"/>
  <c r="AB107" i="53"/>
  <c r="AB106" i="53"/>
  <c r="AB105" i="53"/>
  <c r="AB104" i="53"/>
  <c r="AB103" i="53"/>
  <c r="AB102" i="53"/>
  <c r="AB101" i="53"/>
  <c r="AB100" i="53"/>
  <c r="AB99" i="53"/>
  <c r="AB98" i="53"/>
  <c r="AB97" i="53"/>
  <c r="AB96" i="53"/>
  <c r="AB95" i="53"/>
  <c r="AB94" i="53"/>
  <c r="AB93" i="53"/>
  <c r="AB92" i="53"/>
  <c r="AB91" i="53"/>
  <c r="AB90" i="53"/>
  <c r="AB89" i="53"/>
  <c r="AB88" i="53"/>
  <c r="AB87" i="53"/>
  <c r="AB86" i="53"/>
  <c r="AB85" i="53"/>
  <c r="AB84" i="53"/>
  <c r="AB83" i="53"/>
  <c r="AB82" i="53"/>
  <c r="AB81" i="53"/>
  <c r="AB80" i="53"/>
  <c r="AB79" i="53"/>
  <c r="AB78" i="53"/>
  <c r="AB77" i="53"/>
  <c r="AB76" i="53"/>
  <c r="AB75" i="53"/>
  <c r="AB74" i="53"/>
  <c r="AB73" i="53"/>
  <c r="AB72" i="53"/>
  <c r="AB71" i="53"/>
  <c r="AB70" i="53"/>
  <c r="AB69" i="53"/>
  <c r="AB68" i="53"/>
  <c r="AB67" i="53"/>
  <c r="AB66" i="53"/>
  <c r="AB65" i="53"/>
  <c r="AB64" i="53"/>
  <c r="AB63" i="53"/>
  <c r="AB62" i="53"/>
  <c r="AB61" i="53"/>
  <c r="AB60" i="53"/>
  <c r="AB59" i="53"/>
  <c r="AB58" i="53"/>
  <c r="AB57" i="53"/>
  <c r="AB56" i="53"/>
  <c r="AB55" i="53"/>
  <c r="AB54" i="53"/>
  <c r="AB53" i="53"/>
  <c r="AB52" i="53"/>
  <c r="AB51" i="53"/>
  <c r="AB50" i="53"/>
  <c r="AB49" i="53"/>
  <c r="AB48" i="53"/>
  <c r="AB47" i="53"/>
  <c r="AB46" i="53"/>
  <c r="AB45" i="53"/>
  <c r="AB44" i="53"/>
  <c r="AB43" i="53"/>
  <c r="AB42" i="53"/>
  <c r="AB41" i="53"/>
  <c r="AB40" i="53"/>
  <c r="AB39" i="53"/>
  <c r="AB38" i="53"/>
  <c r="AB37" i="53"/>
  <c r="AB110" i="53" s="1"/>
  <c r="AB38" i="45"/>
  <c r="AB39" i="45"/>
  <c r="AB40" i="45"/>
  <c r="AB41" i="45"/>
  <c r="AB42" i="45"/>
  <c r="AB43" i="45"/>
  <c r="AB44" i="45"/>
  <c r="AB45" i="45"/>
  <c r="AB46" i="45"/>
  <c r="AB47" i="45"/>
  <c r="AB48" i="45"/>
  <c r="AB49" i="45"/>
  <c r="AB50" i="45"/>
  <c r="AB51" i="45"/>
  <c r="AB52" i="45"/>
  <c r="AB53" i="45"/>
  <c r="AB54" i="45"/>
  <c r="AB55" i="45"/>
  <c r="AB56" i="45"/>
  <c r="AB57" i="45"/>
  <c r="AB58" i="45"/>
  <c r="AB59" i="45"/>
  <c r="AB60" i="45"/>
  <c r="AB61" i="45"/>
  <c r="AB62" i="45"/>
  <c r="AB63" i="45"/>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99" i="45"/>
  <c r="AB100" i="45"/>
  <c r="AB101" i="45"/>
  <c r="AB102" i="45"/>
  <c r="AB103" i="45"/>
  <c r="AB104" i="45"/>
  <c r="AB105" i="45"/>
  <c r="AB106" i="45"/>
  <c r="AB107" i="45"/>
  <c r="AB108" i="45"/>
  <c r="AB37" i="45"/>
  <c r="AB243" i="35"/>
  <c r="AB242" i="35"/>
  <c r="AB241" i="35"/>
  <c r="AB240" i="35"/>
  <c r="AB239" i="35"/>
  <c r="AB238" i="35"/>
  <c r="AB237" i="35"/>
  <c r="AB236" i="35"/>
  <c r="AB235" i="35"/>
  <c r="AB234" i="35"/>
  <c r="AB233" i="35"/>
  <c r="AB232" i="35"/>
  <c r="AB231" i="35"/>
  <c r="AB230" i="35"/>
  <c r="AB229" i="35"/>
  <c r="AB228" i="35"/>
  <c r="AB227" i="35"/>
  <c r="AB226" i="35"/>
  <c r="AB225" i="35"/>
  <c r="AB224" i="35"/>
  <c r="AB223" i="35"/>
  <c r="AB222" i="35"/>
  <c r="AB221" i="35"/>
  <c r="AB220" i="35"/>
  <c r="AB219" i="35"/>
  <c r="AB218" i="35"/>
  <c r="AB217" i="35"/>
  <c r="AB216" i="35"/>
  <c r="AB215" i="35"/>
  <c r="AB214" i="35"/>
  <c r="AB213" i="35"/>
  <c r="AB212" i="35"/>
  <c r="AB211" i="35"/>
  <c r="AB210" i="35"/>
  <c r="AB209" i="35"/>
  <c r="AB208" i="35"/>
  <c r="AB207" i="35"/>
  <c r="AB206" i="35"/>
  <c r="AB205" i="35"/>
  <c r="AB204" i="35"/>
  <c r="AB202" i="35"/>
  <c r="AB201" i="35"/>
  <c r="AB200" i="35"/>
  <c r="AB199" i="35"/>
  <c r="AB198" i="35"/>
  <c r="AB197" i="35"/>
  <c r="AB196" i="35"/>
  <c r="AB195" i="35"/>
  <c r="AB194" i="35"/>
  <c r="AB193" i="35"/>
  <c r="AB192" i="35"/>
  <c r="AB191" i="35"/>
  <c r="AB190" i="35"/>
  <c r="AB189" i="35"/>
  <c r="AB188" i="35"/>
  <c r="AB187" i="35"/>
  <c r="AB186" i="35"/>
  <c r="AB185" i="35"/>
  <c r="AB184" i="35"/>
  <c r="AB183" i="35"/>
  <c r="AB182" i="35"/>
  <c r="AB181" i="35"/>
  <c r="AB180" i="35"/>
  <c r="AB179" i="35"/>
  <c r="AB178" i="35"/>
  <c r="AB177" i="35"/>
  <c r="AB176" i="35"/>
  <c r="AB175" i="35"/>
  <c r="AB174" i="35"/>
  <c r="AB173" i="35"/>
  <c r="AB172" i="35"/>
  <c r="AB171" i="35"/>
  <c r="AB170" i="35"/>
  <c r="AB169" i="35"/>
  <c r="AB168" i="35"/>
  <c r="AB167" i="35"/>
  <c r="AB166" i="35"/>
  <c r="AB165" i="35"/>
  <c r="AB164" i="35"/>
  <c r="AB163" i="35"/>
  <c r="AB162" i="35"/>
  <c r="AB161" i="35"/>
  <c r="AB160" i="35"/>
  <c r="AB159" i="35"/>
  <c r="AB158" i="35"/>
  <c r="AB157" i="35"/>
  <c r="AB156" i="35"/>
  <c r="AB155" i="35"/>
  <c r="AB154" i="35"/>
  <c r="AB153" i="35"/>
  <c r="AB152" i="35"/>
  <c r="AB151" i="35"/>
  <c r="AB150" i="35"/>
  <c r="AB149" i="35"/>
  <c r="AB148" i="35"/>
  <c r="AB147" i="35"/>
  <c r="AB146" i="35"/>
  <c r="AB145" i="35"/>
  <c r="AB144" i="35"/>
  <c r="AB143" i="35"/>
  <c r="AB142" i="35"/>
  <c r="AB141" i="35"/>
  <c r="AB140" i="35"/>
  <c r="AB139" i="35"/>
  <c r="AB138" i="35"/>
  <c r="AB137" i="35"/>
  <c r="AB136" i="35"/>
  <c r="AB135" i="35"/>
  <c r="AB134" i="35"/>
  <c r="AB133" i="35"/>
  <c r="AB132" i="35"/>
  <c r="AB131" i="35"/>
  <c r="AB130" i="35"/>
  <c r="AB129" i="35"/>
  <c r="AB128" i="35"/>
  <c r="AB127" i="35"/>
  <c r="AB126" i="35"/>
  <c r="AB125" i="35"/>
  <c r="AB124" i="35"/>
  <c r="AB123" i="35"/>
  <c r="AB122" i="35"/>
  <c r="AB121" i="35"/>
  <c r="AB120" i="35"/>
  <c r="AB119" i="35"/>
  <c r="AB118" i="35"/>
  <c r="AB117" i="35"/>
  <c r="AB116" i="35"/>
  <c r="AB115" i="35"/>
  <c r="AB114" i="35"/>
  <c r="AB113" i="35"/>
  <c r="AB112" i="35"/>
  <c r="AB111" i="35"/>
  <c r="AB110" i="35"/>
  <c r="AB109" i="35"/>
  <c r="AB108" i="35"/>
  <c r="AB107" i="35"/>
  <c r="AB106" i="35"/>
  <c r="AB105" i="35"/>
  <c r="AB104" i="35"/>
  <c r="AB103" i="35"/>
  <c r="AB102" i="35"/>
  <c r="AB101" i="35"/>
  <c r="AB100" i="35"/>
  <c r="AB99" i="35"/>
  <c r="AB98" i="35"/>
  <c r="AB97" i="35"/>
  <c r="AB96" i="35"/>
  <c r="AB95" i="35"/>
  <c r="AB94" i="35"/>
  <c r="AB93" i="35"/>
  <c r="AB92" i="35"/>
  <c r="AB91" i="35"/>
  <c r="AB90" i="35"/>
  <c r="AB89" i="35"/>
  <c r="AB88" i="35"/>
  <c r="AB87" i="35"/>
  <c r="AB86" i="35"/>
  <c r="AB85" i="35"/>
  <c r="AB84" i="35"/>
  <c r="AB83" i="35"/>
  <c r="AB82" i="35"/>
  <c r="AB81" i="35"/>
  <c r="AB80" i="35"/>
  <c r="AB79" i="35"/>
  <c r="AB78" i="35"/>
  <c r="AB77" i="35"/>
  <c r="AB76" i="35"/>
  <c r="AB75" i="35"/>
  <c r="AB74" i="35"/>
  <c r="AB73" i="35"/>
  <c r="AB72" i="35"/>
  <c r="AB71" i="35"/>
  <c r="AB70" i="35"/>
  <c r="AB69" i="35"/>
  <c r="AB68" i="35"/>
  <c r="AB67" i="35"/>
  <c r="AB66" i="35"/>
  <c r="AB65" i="35"/>
  <c r="AB64" i="35"/>
  <c r="AB63" i="35"/>
  <c r="AB62" i="35"/>
  <c r="AB61" i="35"/>
  <c r="AB60" i="35"/>
  <c r="AB59" i="35"/>
  <c r="AB58" i="35"/>
  <c r="AB57" i="35"/>
  <c r="AB56" i="35"/>
  <c r="AB55" i="35"/>
  <c r="AB54" i="35"/>
  <c r="AB53" i="35"/>
  <c r="AB52" i="35"/>
  <c r="AB51" i="35"/>
  <c r="AB50" i="35"/>
  <c r="AB49" i="35"/>
  <c r="AB48" i="35"/>
  <c r="AB47" i="35"/>
  <c r="AB46" i="35"/>
  <c r="AB45" i="35"/>
  <c r="AB44" i="35"/>
  <c r="AB43" i="35"/>
  <c r="AB42" i="35"/>
  <c r="AB41" i="35"/>
  <c r="AB40" i="35"/>
  <c r="AB39" i="35"/>
  <c r="AB243" i="31"/>
  <c r="AB242" i="31"/>
  <c r="AB241" i="31"/>
  <c r="AB240" i="31"/>
  <c r="AB239" i="31"/>
  <c r="AB238" i="31"/>
  <c r="AB237" i="31"/>
  <c r="AB236" i="31"/>
  <c r="AB235" i="31"/>
  <c r="AB234" i="31"/>
  <c r="AB233" i="31"/>
  <c r="AB232" i="31"/>
  <c r="AB231" i="31"/>
  <c r="AB230" i="31"/>
  <c r="AB229" i="31"/>
  <c r="AB228" i="31"/>
  <c r="AB227" i="31"/>
  <c r="AB226" i="31"/>
  <c r="AB225" i="31"/>
  <c r="AB224" i="31"/>
  <c r="AB223" i="31"/>
  <c r="AB222" i="31"/>
  <c r="AB221" i="31"/>
  <c r="AB220" i="31"/>
  <c r="AB219" i="31"/>
  <c r="AB218" i="31"/>
  <c r="AB217" i="31"/>
  <c r="AB216" i="31"/>
  <c r="AB215" i="31"/>
  <c r="AB214" i="31"/>
  <c r="AB213" i="31"/>
  <c r="AB212" i="31"/>
  <c r="AB211" i="31"/>
  <c r="AB210" i="31"/>
  <c r="AB209" i="31"/>
  <c r="AB208" i="31"/>
  <c r="AB207" i="31"/>
  <c r="AB206" i="31"/>
  <c r="AB205" i="31"/>
  <c r="AB204" i="31"/>
  <c r="AB202" i="31"/>
  <c r="AB201" i="31"/>
  <c r="AB200" i="31"/>
  <c r="AB199" i="31"/>
  <c r="AB198" i="31"/>
  <c r="AB197" i="31"/>
  <c r="AB196" i="31"/>
  <c r="AB195" i="31"/>
  <c r="AB194" i="31"/>
  <c r="AB193" i="31"/>
  <c r="AB192" i="31"/>
  <c r="AB191" i="31"/>
  <c r="AB190"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5" i="31"/>
  <c r="AB164" i="31"/>
  <c r="AB163" i="31"/>
  <c r="AB162" i="31"/>
  <c r="AB161" i="31"/>
  <c r="AB160" i="31"/>
  <c r="AB159" i="31"/>
  <c r="AB158" i="31"/>
  <c r="AB157" i="31"/>
  <c r="AB156" i="31"/>
  <c r="AB155" i="31"/>
  <c r="AB154" i="31"/>
  <c r="AB153" i="31"/>
  <c r="AB152" i="31"/>
  <c r="AB151" i="31"/>
  <c r="AB150" i="31"/>
  <c r="AB149" i="31"/>
  <c r="AB148" i="31"/>
  <c r="AB147" i="31"/>
  <c r="AB146" i="31"/>
  <c r="AB145" i="31"/>
  <c r="AB144" i="31"/>
  <c r="AB143" i="31"/>
  <c r="AB142" i="31"/>
  <c r="AB141"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245" i="31" s="1"/>
  <c r="AB243" i="28"/>
  <c r="AB242" i="28"/>
  <c r="AB241" i="28"/>
  <c r="AB240" i="28"/>
  <c r="AB239" i="28"/>
  <c r="AB238" i="28"/>
  <c r="AB237" i="28"/>
  <c r="AB236" i="28"/>
  <c r="AB235" i="28"/>
  <c r="AB234" i="28"/>
  <c r="AB233" i="28"/>
  <c r="AB232" i="28"/>
  <c r="AB231" i="28"/>
  <c r="AB230" i="28"/>
  <c r="AB229" i="28"/>
  <c r="AB228" i="28"/>
  <c r="AB227" i="28"/>
  <c r="AB226" i="28"/>
  <c r="AB225" i="28"/>
  <c r="AB224" i="28"/>
  <c r="AB223" i="28"/>
  <c r="AB222" i="28"/>
  <c r="AB221" i="28"/>
  <c r="AB220" i="28"/>
  <c r="AB219" i="28"/>
  <c r="AB218" i="28"/>
  <c r="AB217" i="28"/>
  <c r="AB216" i="28"/>
  <c r="AB215" i="28"/>
  <c r="AB214" i="28"/>
  <c r="AB213" i="28"/>
  <c r="AB212" i="28"/>
  <c r="AB211" i="28"/>
  <c r="AB210" i="28"/>
  <c r="AB209" i="28"/>
  <c r="AB208" i="28"/>
  <c r="AB207" i="28"/>
  <c r="AB206" i="28"/>
  <c r="AB205" i="28"/>
  <c r="AB204" i="28"/>
  <c r="AB202" i="28"/>
  <c r="AB201" i="28"/>
  <c r="AB200" i="28"/>
  <c r="AB199" i="28"/>
  <c r="AB198" i="28"/>
  <c r="AB197" i="28"/>
  <c r="AB196" i="28"/>
  <c r="AB195" i="28"/>
  <c r="AB194" i="28"/>
  <c r="AB193" i="28"/>
  <c r="AB192" i="28"/>
  <c r="AB191" i="28"/>
  <c r="AB190" i="28"/>
  <c r="AB189" i="28"/>
  <c r="AB188" i="28"/>
  <c r="AB187" i="28"/>
  <c r="AB186" i="28"/>
  <c r="AB185" i="28"/>
  <c r="AB184" i="28"/>
  <c r="AB183" i="28"/>
  <c r="AB182" i="28"/>
  <c r="AB181" i="28"/>
  <c r="AB180" i="28"/>
  <c r="AB179" i="28"/>
  <c r="AB178" i="28"/>
  <c r="AB177" i="28"/>
  <c r="AB176" i="28"/>
  <c r="AB175" i="28"/>
  <c r="AB174" i="28"/>
  <c r="AB173" i="28"/>
  <c r="AB172" i="28"/>
  <c r="AB171" i="28"/>
  <c r="AB170" i="28"/>
  <c r="AB169" i="28"/>
  <c r="AB168" i="28"/>
  <c r="AB167" i="28"/>
  <c r="AB166" i="28"/>
  <c r="AB165" i="28"/>
  <c r="AB164" i="28"/>
  <c r="AB163" i="28"/>
  <c r="AB162" i="28"/>
  <c r="AB161" i="28"/>
  <c r="AB160" i="28"/>
  <c r="AB159" i="28"/>
  <c r="AB158" i="28"/>
  <c r="AB157" i="28"/>
  <c r="AB156" i="28"/>
  <c r="AB155" i="28"/>
  <c r="AB154" i="28"/>
  <c r="AB153" i="28"/>
  <c r="AB152" i="28"/>
  <c r="AB151" i="28"/>
  <c r="AB150" i="28"/>
  <c r="AB149" i="28"/>
  <c r="AB148" i="28"/>
  <c r="AB147" i="28"/>
  <c r="AB146" i="28"/>
  <c r="AB145" i="28"/>
  <c r="AB144" i="28"/>
  <c r="AB143" i="28"/>
  <c r="AB142" i="28"/>
  <c r="AB141" i="28"/>
  <c r="AB140" i="28"/>
  <c r="AB139" i="28"/>
  <c r="AB138" i="28"/>
  <c r="AB137" i="28"/>
  <c r="AB136" i="28"/>
  <c r="AB135" i="28"/>
  <c r="AB134" i="28"/>
  <c r="AB133" i="28"/>
  <c r="AB132" i="28"/>
  <c r="AB131" i="28"/>
  <c r="AB130" i="28"/>
  <c r="AB129" i="28"/>
  <c r="AB128" i="28"/>
  <c r="AB127" i="28"/>
  <c r="AB126" i="28"/>
  <c r="AB125" i="28"/>
  <c r="AB124" i="28"/>
  <c r="AB123" i="28"/>
  <c r="AB122" i="28"/>
  <c r="AB121" i="28"/>
  <c r="AB120" i="28"/>
  <c r="AB119" i="28"/>
  <c r="AB118" i="28"/>
  <c r="AB117" i="28"/>
  <c r="AB116" i="28"/>
  <c r="AB115" i="28"/>
  <c r="AB114" i="28"/>
  <c r="AB113" i="28"/>
  <c r="AB112" i="28"/>
  <c r="AB111" i="28"/>
  <c r="AB110" i="28"/>
  <c r="AB109" i="28"/>
  <c r="AB108" i="28"/>
  <c r="AB107" i="28"/>
  <c r="AB106" i="28"/>
  <c r="AB105" i="28"/>
  <c r="AB104" i="28"/>
  <c r="AB103" i="28"/>
  <c r="AB102" i="28"/>
  <c r="AB101" i="28"/>
  <c r="AB100" i="28"/>
  <c r="AB99" i="28"/>
  <c r="AB98" i="28"/>
  <c r="AB97" i="28"/>
  <c r="AB96" i="28"/>
  <c r="AB95" i="28"/>
  <c r="AB94" i="28"/>
  <c r="AB93" i="28"/>
  <c r="AB92" i="28"/>
  <c r="AB91" i="28"/>
  <c r="AB90" i="28"/>
  <c r="AB89" i="28"/>
  <c r="AB88" i="28"/>
  <c r="AB87" i="28"/>
  <c r="AB86" i="28"/>
  <c r="AB85" i="28"/>
  <c r="AB84" i="28"/>
  <c r="AB83" i="28"/>
  <c r="AB82" i="28"/>
  <c r="AB81" i="28"/>
  <c r="AB80" i="28"/>
  <c r="AB79" i="28"/>
  <c r="AB78" i="28"/>
  <c r="AB77" i="28"/>
  <c r="AB76" i="28"/>
  <c r="AB75" i="28"/>
  <c r="AB74" i="28"/>
  <c r="AB73" i="28"/>
  <c r="AB72" i="28"/>
  <c r="AB71" i="28"/>
  <c r="AB70" i="28"/>
  <c r="AB69" i="28"/>
  <c r="AB68" i="28"/>
  <c r="AB67" i="28"/>
  <c r="AB66" i="28"/>
  <c r="AB65" i="28"/>
  <c r="AB64" i="28"/>
  <c r="AB63" i="28"/>
  <c r="AB62" i="28"/>
  <c r="AB61" i="28"/>
  <c r="AB60" i="28"/>
  <c r="AB59" i="28"/>
  <c r="AB58" i="28"/>
  <c r="AB57" i="28"/>
  <c r="AB56" i="28"/>
  <c r="AB55" i="28"/>
  <c r="AB54" i="28"/>
  <c r="AB53" i="28"/>
  <c r="AB52" i="28"/>
  <c r="AB51" i="28"/>
  <c r="AB50" i="28"/>
  <c r="AB49" i="28"/>
  <c r="AB48" i="28"/>
  <c r="AB47" i="28"/>
  <c r="AB46" i="28"/>
  <c r="AB45" i="28"/>
  <c r="AB44" i="28"/>
  <c r="AB43" i="28"/>
  <c r="AB42" i="28"/>
  <c r="AB41" i="28"/>
  <c r="AB40" i="28"/>
  <c r="AB39" i="28"/>
  <c r="AB245" i="28" s="1"/>
  <c r="AB243" i="27"/>
  <c r="AB242" i="27"/>
  <c r="AB241" i="27"/>
  <c r="AB240" i="27"/>
  <c r="AB239" i="27"/>
  <c r="AB238" i="27"/>
  <c r="AB237" i="27"/>
  <c r="AB236" i="27"/>
  <c r="AB235" i="27"/>
  <c r="AB234" i="27"/>
  <c r="AB233" i="27"/>
  <c r="AB232" i="27"/>
  <c r="AB231" i="27"/>
  <c r="AB230" i="27"/>
  <c r="AB229" i="27"/>
  <c r="AB228" i="27"/>
  <c r="AB227" i="27"/>
  <c r="AB226" i="27"/>
  <c r="AB225" i="27"/>
  <c r="AB224" i="27"/>
  <c r="AB223" i="27"/>
  <c r="AB222" i="27"/>
  <c r="AB221" i="27"/>
  <c r="AB220" i="27"/>
  <c r="AB219" i="27"/>
  <c r="AB218" i="27"/>
  <c r="AB217" i="27"/>
  <c r="AB216" i="27"/>
  <c r="AB215" i="27"/>
  <c r="AB214" i="27"/>
  <c r="AB213" i="27"/>
  <c r="AB212" i="27"/>
  <c r="AB211" i="27"/>
  <c r="AB210" i="27"/>
  <c r="AB209" i="27"/>
  <c r="AB208" i="27"/>
  <c r="AB207" i="27"/>
  <c r="AB206" i="27"/>
  <c r="AB205" i="27"/>
  <c r="AB203" i="27"/>
  <c r="AB202" i="27"/>
  <c r="AB201" i="27"/>
  <c r="AB200" i="27"/>
  <c r="AB199" i="27"/>
  <c r="AB198" i="27"/>
  <c r="AB197" i="27"/>
  <c r="AB196" i="27"/>
  <c r="AB195" i="27"/>
  <c r="AB194" i="27"/>
  <c r="AB193" i="27"/>
  <c r="AB192" i="27"/>
  <c r="AB191" i="27"/>
  <c r="AB190" i="27"/>
  <c r="AB189" i="27"/>
  <c r="AB188" i="27"/>
  <c r="AB187" i="27"/>
  <c r="AB186" i="27"/>
  <c r="AB185" i="27"/>
  <c r="AB184" i="27"/>
  <c r="AB183" i="27"/>
  <c r="AB182" i="27"/>
  <c r="AB181" i="27"/>
  <c r="AB180" i="27"/>
  <c r="AB179" i="27"/>
  <c r="AB178" i="27"/>
  <c r="AB177" i="27"/>
  <c r="AB176" i="27"/>
  <c r="AB175" i="27"/>
  <c r="AB174" i="27"/>
  <c r="AB173" i="27"/>
  <c r="AB172" i="27"/>
  <c r="AB171" i="27"/>
  <c r="AB170" i="27"/>
  <c r="AB169" i="27"/>
  <c r="AB168" i="27"/>
  <c r="AB167" i="27"/>
  <c r="AB166" i="27"/>
  <c r="AB165" i="27"/>
  <c r="AB164" i="27"/>
  <c r="AB163" i="27"/>
  <c r="AB162" i="27"/>
  <c r="AB161" i="27"/>
  <c r="AB160" i="27"/>
  <c r="AB159" i="27"/>
  <c r="AB158" i="27"/>
  <c r="AB157" i="27"/>
  <c r="AB156" i="27"/>
  <c r="AB155" i="27"/>
  <c r="AB154" i="27"/>
  <c r="AB153" i="27"/>
  <c r="AB152" i="27"/>
  <c r="AB151" i="27"/>
  <c r="AB150" i="27"/>
  <c r="AB149" i="27"/>
  <c r="AB148" i="27"/>
  <c r="AB147" i="27"/>
  <c r="AB146" i="27"/>
  <c r="AB145" i="27"/>
  <c r="AB144" i="27"/>
  <c r="AB143" i="27"/>
  <c r="AB142" i="27"/>
  <c r="AB141" i="27"/>
  <c r="AB140" i="27"/>
  <c r="AB139" i="27"/>
  <c r="AB138" i="27"/>
  <c r="AB137" i="27"/>
  <c r="AB136" i="27"/>
  <c r="AB135" i="27"/>
  <c r="AB134" i="27"/>
  <c r="AB133" i="27"/>
  <c r="AB132" i="27"/>
  <c r="AB131" i="27"/>
  <c r="AB130" i="27"/>
  <c r="AB129" i="27"/>
  <c r="AB128" i="27"/>
  <c r="AB127" i="27"/>
  <c r="AB126" i="27"/>
  <c r="AB125" i="27"/>
  <c r="AB124" i="27"/>
  <c r="AB123" i="27"/>
  <c r="AB122" i="27"/>
  <c r="AB121" i="27"/>
  <c r="AB120" i="27"/>
  <c r="AB119" i="27"/>
  <c r="AB118" i="27"/>
  <c r="AB117" i="27"/>
  <c r="AB116" i="27"/>
  <c r="AB115" i="27"/>
  <c r="AB114" i="27"/>
  <c r="AB113" i="27"/>
  <c r="AB112" i="27"/>
  <c r="AB111" i="27"/>
  <c r="AB110" i="27"/>
  <c r="AB109" i="27"/>
  <c r="AB108" i="27"/>
  <c r="AB107" i="27"/>
  <c r="AB106" i="27"/>
  <c r="AB105" i="27"/>
  <c r="AB104" i="27"/>
  <c r="AB103" i="27"/>
  <c r="AB102" i="27"/>
  <c r="AB101" i="27"/>
  <c r="AB100" i="27"/>
  <c r="AB99" i="27"/>
  <c r="AB98" i="27"/>
  <c r="AB97" i="27"/>
  <c r="AB96" i="27"/>
  <c r="AB95" i="27"/>
  <c r="AB94" i="27"/>
  <c r="AB93" i="27"/>
  <c r="AB92" i="27"/>
  <c r="AB91" i="27"/>
  <c r="AB90" i="27"/>
  <c r="AB89" i="27"/>
  <c r="AB88" i="27"/>
  <c r="AB87" i="27"/>
  <c r="AB86" i="27"/>
  <c r="AB85" i="27"/>
  <c r="AB84" i="27"/>
  <c r="AB83" i="27"/>
  <c r="AB82" i="27"/>
  <c r="AB81" i="27"/>
  <c r="AB80" i="27"/>
  <c r="AB79" i="27"/>
  <c r="AB78" i="27"/>
  <c r="AB77" i="27"/>
  <c r="AB76" i="27"/>
  <c r="AB75" i="27"/>
  <c r="AB74" i="27"/>
  <c r="AB73" i="27"/>
  <c r="AB72" i="27"/>
  <c r="AB71" i="27"/>
  <c r="AB70" i="27"/>
  <c r="AB69" i="27"/>
  <c r="AB68" i="27"/>
  <c r="AB67" i="27"/>
  <c r="AB66" i="27"/>
  <c r="AB65" i="27"/>
  <c r="AB64" i="27"/>
  <c r="AB63" i="27"/>
  <c r="AB62" i="27"/>
  <c r="AB61" i="27"/>
  <c r="AB60" i="27"/>
  <c r="AB59" i="27"/>
  <c r="AB58" i="27"/>
  <c r="AB57" i="27"/>
  <c r="AB56" i="27"/>
  <c r="AB55" i="27"/>
  <c r="AB54" i="27"/>
  <c r="AB53" i="27"/>
  <c r="AB52" i="27"/>
  <c r="AB51" i="27"/>
  <c r="AB50" i="27"/>
  <c r="AB49" i="27"/>
  <c r="AB48" i="27"/>
  <c r="AB47" i="27"/>
  <c r="AB46" i="27"/>
  <c r="AB45" i="27"/>
  <c r="AB44" i="27"/>
  <c r="AB43" i="27"/>
  <c r="AB42" i="27"/>
  <c r="AB41" i="27"/>
  <c r="AB40" i="27"/>
  <c r="AB39" i="27"/>
  <c r="AB245" i="27" s="1"/>
  <c r="AB243" i="25"/>
  <c r="AB242" i="25"/>
  <c r="AB241" i="25"/>
  <c r="AB240" i="25"/>
  <c r="AB239" i="25"/>
  <c r="AB238" i="25"/>
  <c r="AB237" i="25"/>
  <c r="AB236" i="25"/>
  <c r="AB235" i="25"/>
  <c r="AB234" i="25"/>
  <c r="AB233" i="25"/>
  <c r="AB232" i="25"/>
  <c r="AB231" i="25"/>
  <c r="AB230" i="25"/>
  <c r="AB229" i="25"/>
  <c r="AB228" i="25"/>
  <c r="AB227" i="25"/>
  <c r="AB226" i="25"/>
  <c r="AB225" i="25"/>
  <c r="AB224" i="25"/>
  <c r="AB223" i="25"/>
  <c r="AB222" i="25"/>
  <c r="AB221" i="25"/>
  <c r="AB220" i="25"/>
  <c r="AB219" i="25"/>
  <c r="AB218" i="25"/>
  <c r="AB217" i="25"/>
  <c r="AB216" i="25"/>
  <c r="AB215" i="25"/>
  <c r="AB214" i="25"/>
  <c r="AB213" i="25"/>
  <c r="AB212" i="25"/>
  <c r="AB211" i="25"/>
  <c r="AB210" i="25"/>
  <c r="AB209" i="25"/>
  <c r="AB208" i="25"/>
  <c r="AB207" i="25"/>
  <c r="AB206" i="25"/>
  <c r="AB205" i="25"/>
  <c r="AB203" i="25"/>
  <c r="AB202" i="25"/>
  <c r="AB201" i="25"/>
  <c r="AB200" i="25"/>
  <c r="AB199" i="25"/>
  <c r="AB198" i="25"/>
  <c r="AB197" i="25"/>
  <c r="AB196" i="25"/>
  <c r="AB195" i="25"/>
  <c r="AB194" i="25"/>
  <c r="AB193" i="25"/>
  <c r="AB192" i="25"/>
  <c r="AB191" i="25"/>
  <c r="AB190" i="25"/>
  <c r="AB189" i="25"/>
  <c r="AB188" i="25"/>
  <c r="AB187" i="25"/>
  <c r="AB186" i="25"/>
  <c r="AB185" i="25"/>
  <c r="AB184" i="25"/>
  <c r="AB183" i="25"/>
  <c r="AB182" i="25"/>
  <c r="AB181" i="25"/>
  <c r="AB180" i="25"/>
  <c r="AB179" i="25"/>
  <c r="AB178" i="25"/>
  <c r="AB177" i="25"/>
  <c r="AB176" i="25"/>
  <c r="AB175" i="25"/>
  <c r="AB174" i="25"/>
  <c r="AB173" i="25"/>
  <c r="AB172" i="25"/>
  <c r="AB171" i="25"/>
  <c r="AB170" i="25"/>
  <c r="AB169" i="25"/>
  <c r="AB168" i="25"/>
  <c r="AB167" i="25"/>
  <c r="AB166" i="25"/>
  <c r="AB165" i="25"/>
  <c r="AB164" i="25"/>
  <c r="AB163" i="25"/>
  <c r="AB162" i="25"/>
  <c r="AB161" i="25"/>
  <c r="AB160" i="25"/>
  <c r="AB159" i="25"/>
  <c r="AB158" i="25"/>
  <c r="AB157" i="25"/>
  <c r="AB156" i="25"/>
  <c r="AB155" i="25"/>
  <c r="AB154" i="25"/>
  <c r="AB153" i="25"/>
  <c r="AB152" i="25"/>
  <c r="AB151" i="25"/>
  <c r="AB150" i="25"/>
  <c r="AB149" i="25"/>
  <c r="AB148" i="25"/>
  <c r="AB147" i="25"/>
  <c r="AB146" i="25"/>
  <c r="AB145" i="25"/>
  <c r="AB144" i="25"/>
  <c r="AB143" i="25"/>
  <c r="AB142" i="25"/>
  <c r="AB141" i="25"/>
  <c r="AB140" i="25"/>
  <c r="AB139" i="25"/>
  <c r="AB138" i="25"/>
  <c r="AB137" i="25"/>
  <c r="AB136" i="25"/>
  <c r="AB135" i="25"/>
  <c r="AB134" i="25"/>
  <c r="AB133" i="25"/>
  <c r="AB132" i="25"/>
  <c r="AB131" i="25"/>
  <c r="AB130" i="25"/>
  <c r="AB129" i="25"/>
  <c r="AB128" i="25"/>
  <c r="AB127" i="25"/>
  <c r="AB126" i="25"/>
  <c r="AB125" i="25"/>
  <c r="AB124" i="25"/>
  <c r="AB123" i="25"/>
  <c r="AB122" i="25"/>
  <c r="AB121" i="25"/>
  <c r="AB120" i="25"/>
  <c r="AB119" i="25"/>
  <c r="AB118" i="25"/>
  <c r="AB117" i="25"/>
  <c r="AB116" i="25"/>
  <c r="AB115" i="25"/>
  <c r="AB114" i="25"/>
  <c r="AB113" i="25"/>
  <c r="AB112" i="25"/>
  <c r="AB111" i="25"/>
  <c r="AB110" i="25"/>
  <c r="AB109" i="25"/>
  <c r="AB108" i="25"/>
  <c r="AB107" i="25"/>
  <c r="AB106" i="25"/>
  <c r="AB105" i="25"/>
  <c r="AB104" i="25"/>
  <c r="AB103" i="25"/>
  <c r="AB102" i="25"/>
  <c r="AB101" i="25"/>
  <c r="AB100" i="25"/>
  <c r="AB99" i="25"/>
  <c r="AB98" i="25"/>
  <c r="AB97" i="25"/>
  <c r="AB96" i="25"/>
  <c r="AB95" i="25"/>
  <c r="AB94" i="25"/>
  <c r="AB93" i="25"/>
  <c r="AB92" i="25"/>
  <c r="AB91" i="25"/>
  <c r="AB90" i="25"/>
  <c r="AB89" i="25"/>
  <c r="AB88" i="25"/>
  <c r="AB87" i="25"/>
  <c r="AB86" i="25"/>
  <c r="AB85" i="25"/>
  <c r="AB84" i="25"/>
  <c r="AB83" i="25"/>
  <c r="AB82" i="25"/>
  <c r="AB81" i="25"/>
  <c r="AB80" i="25"/>
  <c r="AB79" i="25"/>
  <c r="AB78" i="25"/>
  <c r="AB77" i="25"/>
  <c r="AB76" i="25"/>
  <c r="AB75" i="25"/>
  <c r="AB74" i="25"/>
  <c r="AB73" i="25"/>
  <c r="AB72" i="25"/>
  <c r="AB71" i="25"/>
  <c r="AB70" i="25"/>
  <c r="AB69" i="25"/>
  <c r="AB68" i="25"/>
  <c r="AB67" i="25"/>
  <c r="AB66" i="25"/>
  <c r="AB65" i="25"/>
  <c r="AB64" i="25"/>
  <c r="AB63" i="25"/>
  <c r="AB62" i="25"/>
  <c r="AB61" i="25"/>
  <c r="AB60" i="25"/>
  <c r="AB59" i="25"/>
  <c r="AB58" i="25"/>
  <c r="AB57" i="25"/>
  <c r="AB56" i="25"/>
  <c r="AB55" i="25"/>
  <c r="AB54" i="25"/>
  <c r="AB53" i="25"/>
  <c r="AB52" i="25"/>
  <c r="AB51" i="25"/>
  <c r="AB50" i="25"/>
  <c r="AB49" i="25"/>
  <c r="AB48" i="25"/>
  <c r="AB47" i="25"/>
  <c r="AB46" i="25"/>
  <c r="AB45" i="25"/>
  <c r="AB44" i="25"/>
  <c r="AB43" i="25"/>
  <c r="AB42" i="25"/>
  <c r="AB41" i="25"/>
  <c r="AB40" i="25"/>
  <c r="AB39" i="25"/>
  <c r="AB245" i="25" s="1"/>
  <c r="AB243" i="19"/>
  <c r="AB242" i="19"/>
  <c r="AB241" i="19"/>
  <c r="AB240" i="19"/>
  <c r="AB239" i="19"/>
  <c r="AB238" i="19"/>
  <c r="AB237" i="19"/>
  <c r="AB236" i="19"/>
  <c r="AB235" i="19"/>
  <c r="AB234" i="19"/>
  <c r="AB233" i="19"/>
  <c r="AB232" i="19"/>
  <c r="AB231" i="19"/>
  <c r="AB230" i="19"/>
  <c r="AB229" i="19"/>
  <c r="AB228" i="19"/>
  <c r="AB227" i="19"/>
  <c r="AB226" i="19"/>
  <c r="AB225" i="19"/>
  <c r="AB224" i="19"/>
  <c r="AB223" i="19"/>
  <c r="AB222" i="19"/>
  <c r="AB221" i="19"/>
  <c r="AB220" i="19"/>
  <c r="AB219" i="19"/>
  <c r="AB218" i="19"/>
  <c r="AB217" i="19"/>
  <c r="AB216" i="19"/>
  <c r="AB215" i="19"/>
  <c r="AB214" i="19"/>
  <c r="AB213" i="19"/>
  <c r="AB212" i="19"/>
  <c r="AB211" i="19"/>
  <c r="AB210" i="19"/>
  <c r="AB209" i="19"/>
  <c r="AB208" i="19"/>
  <c r="AB207" i="19"/>
  <c r="AB206" i="19"/>
  <c r="AB205" i="19"/>
  <c r="AB202" i="19"/>
  <c r="AB201" i="19"/>
  <c r="AB200" i="19"/>
  <c r="AB199" i="19"/>
  <c r="AB198" i="19"/>
  <c r="AB197" i="19"/>
  <c r="AB196" i="19"/>
  <c r="AB195" i="19"/>
  <c r="AB194" i="19"/>
  <c r="AB193" i="19"/>
  <c r="AB192" i="19"/>
  <c r="AB191" i="19"/>
  <c r="AB190" i="19"/>
  <c r="AB189" i="19"/>
  <c r="AB188" i="19"/>
  <c r="AB187" i="19"/>
  <c r="AB186" i="19"/>
  <c r="AB185" i="19"/>
  <c r="AB184" i="19"/>
  <c r="AB183" i="19"/>
  <c r="AB182" i="19"/>
  <c r="AB181" i="19"/>
  <c r="AB180" i="19"/>
  <c r="AB179" i="19"/>
  <c r="AB178" i="19"/>
  <c r="AB177" i="19"/>
  <c r="AB176" i="19"/>
  <c r="AB175" i="19"/>
  <c r="AB174" i="19"/>
  <c r="AB173" i="19"/>
  <c r="AB172" i="19"/>
  <c r="AB171" i="19"/>
  <c r="AB170" i="19"/>
  <c r="AB169" i="19"/>
  <c r="AB168" i="19"/>
  <c r="AB167" i="19"/>
  <c r="AB166" i="19"/>
  <c r="AB165" i="19"/>
  <c r="AB164" i="19"/>
  <c r="AB163" i="19"/>
  <c r="AB162" i="19"/>
  <c r="AB161" i="19"/>
  <c r="AB160" i="19"/>
  <c r="AB159" i="19"/>
  <c r="AB158" i="19"/>
  <c r="AB157" i="19"/>
  <c r="AB156" i="19"/>
  <c r="AB155" i="19"/>
  <c r="AB154" i="19"/>
  <c r="AB153" i="19"/>
  <c r="AB152" i="19"/>
  <c r="AB151" i="19"/>
  <c r="AB150" i="19"/>
  <c r="AB149" i="19"/>
  <c r="AB148" i="19"/>
  <c r="AB147" i="19"/>
  <c r="AB146" i="19"/>
  <c r="AB145" i="19"/>
  <c r="AB144" i="19"/>
  <c r="AB143" i="19"/>
  <c r="AB142" i="19"/>
  <c r="AB141" i="19"/>
  <c r="AB140" i="19"/>
  <c r="AB139" i="19"/>
  <c r="AB138" i="19"/>
  <c r="AB137" i="19"/>
  <c r="AB136" i="19"/>
  <c r="AB135" i="19"/>
  <c r="AB134" i="19"/>
  <c r="AB133" i="19"/>
  <c r="AB132" i="19"/>
  <c r="AB131" i="19"/>
  <c r="AB130" i="19"/>
  <c r="AB129" i="19"/>
  <c r="AB128" i="19"/>
  <c r="AB127" i="19"/>
  <c r="AB126" i="19"/>
  <c r="AB125" i="19"/>
  <c r="AB124" i="19"/>
  <c r="AB123" i="19"/>
  <c r="AB122" i="19"/>
  <c r="AB121" i="19"/>
  <c r="AB120" i="19"/>
  <c r="AB119" i="19"/>
  <c r="AB118" i="19"/>
  <c r="AB117" i="19"/>
  <c r="AB116" i="19"/>
  <c r="AB115" i="19"/>
  <c r="AB114" i="19"/>
  <c r="AB113" i="19"/>
  <c r="AB112" i="19"/>
  <c r="AB111" i="19"/>
  <c r="AB110" i="19"/>
  <c r="AB109" i="19"/>
  <c r="AB108" i="19"/>
  <c r="AB107" i="19"/>
  <c r="AB106" i="19"/>
  <c r="AB105" i="19"/>
  <c r="AB104" i="19"/>
  <c r="AB103" i="19"/>
  <c r="AB102" i="19"/>
  <c r="AB101" i="19"/>
  <c r="AB100" i="19"/>
  <c r="AB99" i="19"/>
  <c r="AB98" i="19"/>
  <c r="AB97" i="19"/>
  <c r="AB96" i="19"/>
  <c r="AB95" i="19"/>
  <c r="AB94" i="19"/>
  <c r="AB93" i="19"/>
  <c r="AB92" i="19"/>
  <c r="AB91" i="19"/>
  <c r="AB90" i="19"/>
  <c r="AB89" i="19"/>
  <c r="AB88" i="19"/>
  <c r="AB87" i="19"/>
  <c r="AB86" i="19"/>
  <c r="AB85" i="19"/>
  <c r="AB84" i="19"/>
  <c r="AB83" i="19"/>
  <c r="AB82" i="19"/>
  <c r="AB81" i="19"/>
  <c r="AB80" i="19"/>
  <c r="AB79" i="19"/>
  <c r="AB78" i="19"/>
  <c r="AB77" i="19"/>
  <c r="AB76" i="19"/>
  <c r="AB75" i="19"/>
  <c r="AB74" i="19"/>
  <c r="AB73" i="19"/>
  <c r="AB72" i="19"/>
  <c r="AB71" i="19"/>
  <c r="AB70" i="19"/>
  <c r="AB69" i="19"/>
  <c r="AB68" i="19"/>
  <c r="AB67" i="19"/>
  <c r="AB66" i="19"/>
  <c r="AB65" i="19"/>
  <c r="AB64" i="19"/>
  <c r="AB63" i="19"/>
  <c r="AB62" i="19"/>
  <c r="AB61" i="19"/>
  <c r="AB60" i="19"/>
  <c r="AB59" i="19"/>
  <c r="AB58" i="19"/>
  <c r="AB57" i="19"/>
  <c r="AB56" i="19"/>
  <c r="AB55" i="19"/>
  <c r="AB54" i="19"/>
  <c r="AB53" i="19"/>
  <c r="AB52" i="19"/>
  <c r="AB51" i="19"/>
  <c r="AB50" i="19"/>
  <c r="AB49" i="19"/>
  <c r="AB48" i="19"/>
  <c r="AB47" i="19"/>
  <c r="AB46" i="19"/>
  <c r="AB45" i="19"/>
  <c r="AB44" i="19"/>
  <c r="AB43" i="19"/>
  <c r="AB42" i="19"/>
  <c r="AB41" i="19"/>
  <c r="AB40" i="19"/>
  <c r="AB39" i="19"/>
  <c r="AB245" i="19" s="1"/>
  <c r="S8" i="19" s="1"/>
  <c r="AB243" i="17"/>
  <c r="AB242" i="17"/>
  <c r="AB241" i="17"/>
  <c r="AB240" i="17"/>
  <c r="AB239" i="17"/>
  <c r="AB238" i="17"/>
  <c r="AB237" i="17"/>
  <c r="AB236" i="17"/>
  <c r="AB235" i="17"/>
  <c r="AB234" i="17"/>
  <c r="AB233" i="17"/>
  <c r="AB232" i="17"/>
  <c r="AB231" i="17"/>
  <c r="AB230" i="17"/>
  <c r="AB229" i="17"/>
  <c r="AB228" i="17"/>
  <c r="AB227" i="17"/>
  <c r="AB226" i="17"/>
  <c r="AB225" i="17"/>
  <c r="AB224" i="17"/>
  <c r="AB223" i="17"/>
  <c r="AB222" i="17"/>
  <c r="AB221" i="17"/>
  <c r="AB220" i="17"/>
  <c r="AB219" i="17"/>
  <c r="AB218" i="17"/>
  <c r="AB217" i="17"/>
  <c r="AB216" i="17"/>
  <c r="AB215" i="17"/>
  <c r="AB214" i="17"/>
  <c r="AB213" i="17"/>
  <c r="AB212" i="17"/>
  <c r="AB211" i="17"/>
  <c r="AB210" i="17"/>
  <c r="AB209" i="17"/>
  <c r="AB208" i="17"/>
  <c r="AB207" i="17"/>
  <c r="AB206" i="17"/>
  <c r="AB205" i="17"/>
  <c r="AB204" i="17"/>
  <c r="AB203" i="17"/>
  <c r="AB202" i="17"/>
  <c r="AB201" i="17"/>
  <c r="AB200" i="17"/>
  <c r="AB199" i="17"/>
  <c r="AB198" i="17"/>
  <c r="AB197" i="17"/>
  <c r="AB196" i="17"/>
  <c r="AB195" i="17"/>
  <c r="AB194" i="17"/>
  <c r="AB193" i="17"/>
  <c r="AB192" i="17"/>
  <c r="AB191" i="17"/>
  <c r="AB190" i="17"/>
  <c r="AB189" i="17"/>
  <c r="AB188" i="17"/>
  <c r="AB187" i="17"/>
  <c r="AB186" i="17"/>
  <c r="AB185" i="17"/>
  <c r="AB184" i="17"/>
  <c r="AB183" i="17"/>
  <c r="AB182" i="17"/>
  <c r="AB181" i="17"/>
  <c r="AB180" i="17"/>
  <c r="AB179" i="17"/>
  <c r="AB178" i="17"/>
  <c r="AB177" i="17"/>
  <c r="AB176" i="17"/>
  <c r="AB175" i="17"/>
  <c r="AB174" i="17"/>
  <c r="AB173" i="17"/>
  <c r="AB172" i="17"/>
  <c r="AB171" i="17"/>
  <c r="AB170" i="17"/>
  <c r="AB169" i="17"/>
  <c r="AB168" i="17"/>
  <c r="AB167" i="17"/>
  <c r="AB166" i="17"/>
  <c r="AB165" i="17"/>
  <c r="AB164" i="17"/>
  <c r="AB163" i="17"/>
  <c r="AB162" i="17"/>
  <c r="AB161" i="17"/>
  <c r="AB160" i="17"/>
  <c r="AB159" i="17"/>
  <c r="AB158" i="17"/>
  <c r="AB157" i="17"/>
  <c r="AB156" i="17"/>
  <c r="AB155" i="17"/>
  <c r="AB154" i="17"/>
  <c r="AB153" i="17"/>
  <c r="AB152" i="17"/>
  <c r="AB151" i="17"/>
  <c r="AB150" i="17"/>
  <c r="AB149" i="17"/>
  <c r="AB148" i="17"/>
  <c r="AB147" i="17"/>
  <c r="AB146" i="17"/>
  <c r="AB145" i="17"/>
  <c r="AB144" i="17"/>
  <c r="AB143" i="17"/>
  <c r="AB142" i="17"/>
  <c r="AB141" i="17"/>
  <c r="AB140" i="17"/>
  <c r="AB139" i="17"/>
  <c r="AB138" i="17"/>
  <c r="AB137" i="17"/>
  <c r="AB136" i="17"/>
  <c r="AB135" i="17"/>
  <c r="AB134" i="17"/>
  <c r="AB133" i="17"/>
  <c r="AB132" i="17"/>
  <c r="AB131" i="17"/>
  <c r="AB130" i="17"/>
  <c r="AB129" i="17"/>
  <c r="AB128" i="17"/>
  <c r="AB127" i="17"/>
  <c r="AB126" i="17"/>
  <c r="AB125" i="17"/>
  <c r="AB124" i="17"/>
  <c r="AB123" i="17"/>
  <c r="AB122" i="17"/>
  <c r="AB121" i="17"/>
  <c r="AB120" i="17"/>
  <c r="AB119" i="17"/>
  <c r="AB118" i="17"/>
  <c r="AB117" i="17"/>
  <c r="AB116" i="17"/>
  <c r="AB115" i="17"/>
  <c r="AB114" i="17"/>
  <c r="AB113" i="17"/>
  <c r="AB112" i="17"/>
  <c r="AB111" i="17"/>
  <c r="AB110" i="17"/>
  <c r="AB109" i="17"/>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AB40" i="17"/>
  <c r="AB39" i="17"/>
  <c r="AB245" i="17" s="1"/>
  <c r="R8" i="11"/>
  <c r="AC272" i="8"/>
  <c r="L74" i="46"/>
  <c r="L72" i="46"/>
  <c r="L70" i="46"/>
  <c r="L68" i="46"/>
  <c r="L66" i="46"/>
  <c r="L64" i="46"/>
  <c r="L62" i="46"/>
  <c r="L60" i="46"/>
  <c r="L58" i="46"/>
  <c r="L56" i="46"/>
  <c r="L54" i="46"/>
  <c r="L52" i="46"/>
  <c r="L50" i="46"/>
  <c r="L48" i="46"/>
  <c r="L46" i="46"/>
  <c r="L44" i="46"/>
  <c r="L42" i="46"/>
  <c r="L40" i="46"/>
  <c r="L38" i="46"/>
  <c r="L36" i="46"/>
  <c r="L34" i="46"/>
  <c r="L32" i="46"/>
  <c r="L30" i="46"/>
  <c r="L28" i="46"/>
  <c r="L26" i="46"/>
  <c r="L24" i="46"/>
  <c r="L22" i="46"/>
  <c r="L20" i="46"/>
  <c r="L18" i="46"/>
  <c r="L16" i="46"/>
  <c r="L14" i="46"/>
  <c r="L12" i="46"/>
  <c r="L10" i="46"/>
  <c r="O187" i="49"/>
  <c r="P10" i="49"/>
  <c r="P11" i="49"/>
  <c r="P12" i="49"/>
  <c r="P13" i="49"/>
  <c r="P14" i="49"/>
  <c r="P15" i="49"/>
  <c r="P16" i="49"/>
  <c r="P17" i="49"/>
  <c r="P18" i="49"/>
  <c r="P19" i="49"/>
  <c r="P20" i="49"/>
  <c r="P21" i="49"/>
  <c r="P22" i="49"/>
  <c r="P23" i="49"/>
  <c r="P24" i="49"/>
  <c r="P25" i="49"/>
  <c r="P26" i="49"/>
  <c r="P27" i="49"/>
  <c r="P28" i="49"/>
  <c r="P29" i="49"/>
  <c r="P30" i="49"/>
  <c r="P31" i="49"/>
  <c r="P32" i="49"/>
  <c r="P33" i="49"/>
  <c r="P34" i="49"/>
  <c r="P35" i="49"/>
  <c r="P36" i="49"/>
  <c r="P37" i="49"/>
  <c r="P38" i="49"/>
  <c r="P39" i="49"/>
  <c r="P40" i="49"/>
  <c r="P41" i="49"/>
  <c r="P42" i="49"/>
  <c r="P43" i="49"/>
  <c r="P44" i="49"/>
  <c r="P45" i="49"/>
  <c r="P46" i="49"/>
  <c r="P47" i="49"/>
  <c r="P48" i="49"/>
  <c r="P49" i="49"/>
  <c r="P50" i="49"/>
  <c r="P51" i="49"/>
  <c r="P52" i="49"/>
  <c r="P53" i="49"/>
  <c r="P54" i="49"/>
  <c r="P55" i="49"/>
  <c r="P56" i="49"/>
  <c r="P57" i="49"/>
  <c r="P58" i="49"/>
  <c r="P59" i="49"/>
  <c r="P60" i="49"/>
  <c r="P61" i="49"/>
  <c r="P62" i="49"/>
  <c r="P63" i="49"/>
  <c r="P64" i="49"/>
  <c r="P65" i="49"/>
  <c r="P66" i="49"/>
  <c r="P67" i="49"/>
  <c r="P68" i="49"/>
  <c r="P69" i="49"/>
  <c r="P70" i="49"/>
  <c r="P71" i="49"/>
  <c r="P72" i="49"/>
  <c r="P73" i="49"/>
  <c r="P74" i="49"/>
  <c r="P75" i="49"/>
  <c r="P76" i="49"/>
  <c r="P77" i="49"/>
  <c r="P78" i="49"/>
  <c r="P79" i="49"/>
  <c r="P80" i="49"/>
  <c r="P81" i="49"/>
  <c r="P82" i="49"/>
  <c r="P83" i="49"/>
  <c r="P84" i="49"/>
  <c r="P85" i="49"/>
  <c r="P86" i="49"/>
  <c r="P87" i="49"/>
  <c r="P88" i="49"/>
  <c r="P89" i="49"/>
  <c r="P90" i="49"/>
  <c r="P91" i="49"/>
  <c r="P92" i="49"/>
  <c r="P93" i="49"/>
  <c r="P94" i="49"/>
  <c r="P9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9" i="49"/>
  <c r="P152" i="40"/>
  <c r="P74" i="40"/>
  <c r="P255" i="40"/>
  <c r="P10" i="40"/>
  <c r="P12" i="40"/>
  <c r="P14" i="40"/>
  <c r="P16" i="40"/>
  <c r="P18" i="40"/>
  <c r="P20" i="40"/>
  <c r="P22" i="40"/>
  <c r="P24" i="40"/>
  <c r="P26" i="40"/>
  <c r="P28" i="40"/>
  <c r="P30" i="40"/>
  <c r="P32" i="40"/>
  <c r="P34" i="40"/>
  <c r="P36" i="40"/>
  <c r="P38" i="40"/>
  <c r="P40" i="40"/>
  <c r="P42" i="40"/>
  <c r="P44" i="40"/>
  <c r="P46" i="40"/>
  <c r="P48" i="40"/>
  <c r="P50" i="40"/>
  <c r="P52" i="40"/>
  <c r="P54" i="40"/>
  <c r="P56" i="40"/>
  <c r="P58" i="40"/>
  <c r="P60" i="40"/>
  <c r="P62" i="40"/>
  <c r="P64" i="40"/>
  <c r="P66" i="40"/>
  <c r="P68" i="40"/>
  <c r="P76" i="40"/>
  <c r="P78" i="40"/>
  <c r="P80" i="40"/>
  <c r="P82" i="40"/>
  <c r="P84" i="40"/>
  <c r="P86" i="40"/>
  <c r="P88" i="40"/>
  <c r="P90" i="40"/>
  <c r="P92" i="40"/>
  <c r="P94" i="40"/>
  <c r="P96" i="40"/>
  <c r="P98" i="40"/>
  <c r="P100" i="40"/>
  <c r="P102" i="40"/>
  <c r="P104" i="40"/>
  <c r="P106" i="40"/>
  <c r="P108" i="40"/>
  <c r="P110" i="40"/>
  <c r="P112" i="40"/>
  <c r="P114" i="40"/>
  <c r="P120" i="40"/>
  <c r="P123" i="40"/>
  <c r="P125" i="40"/>
  <c r="P127" i="40"/>
  <c r="P129" i="40"/>
  <c r="P131" i="40"/>
  <c r="P137" i="40"/>
  <c r="P139" i="40"/>
  <c r="P141" i="40"/>
  <c r="P143" i="40"/>
  <c r="P149" i="40"/>
  <c r="P154" i="40"/>
  <c r="P156" i="40"/>
  <c r="P158" i="40"/>
  <c r="P160" i="40"/>
  <c r="P162" i="40"/>
  <c r="P168" i="40"/>
  <c r="P172" i="40"/>
  <c r="P174" i="40"/>
  <c r="P176" i="40"/>
  <c r="P178" i="40"/>
  <c r="P180" i="40"/>
  <c r="P186" i="40"/>
  <c r="P189" i="40"/>
  <c r="P191" i="40"/>
  <c r="P193" i="40"/>
  <c r="P195" i="40"/>
  <c r="P200" i="40"/>
  <c r="P203" i="40"/>
  <c r="P205" i="40"/>
  <c r="P207" i="40"/>
  <c r="P210" i="40"/>
  <c r="P212" i="40"/>
  <c r="P214" i="40"/>
  <c r="P216" i="40"/>
  <c r="P218" i="40"/>
  <c r="P220" i="40"/>
  <c r="P223" i="40"/>
  <c r="P225" i="40"/>
  <c r="P227" i="40"/>
  <c r="P229" i="40"/>
  <c r="P231" i="40"/>
  <c r="P233" i="40"/>
  <c r="P240" i="40"/>
  <c r="P242" i="40"/>
  <c r="P244" i="40"/>
  <c r="P246" i="40"/>
  <c r="P249" i="40"/>
  <c r="P253" i="40"/>
  <c r="P257" i="40"/>
  <c r="P262" i="40"/>
  <c r="P264" i="40"/>
  <c r="P266" i="40"/>
  <c r="P268" i="40"/>
  <c r="P270" i="40"/>
  <c r="P272" i="40"/>
  <c r="P274" i="40"/>
  <c r="P276" i="40"/>
  <c r="P278" i="40"/>
  <c r="P280" i="40"/>
  <c r="P282" i="40"/>
  <c r="P284" i="40"/>
  <c r="P286" i="40"/>
  <c r="P288" i="40"/>
  <c r="P290" i="40"/>
  <c r="P292" i="40"/>
  <c r="P295" i="40"/>
  <c r="P297" i="40"/>
  <c r="P300" i="40"/>
  <c r="P302" i="40"/>
  <c r="P304" i="40"/>
  <c r="P306" i="40"/>
  <c r="P308" i="40"/>
  <c r="P310" i="40"/>
  <c r="P312" i="40"/>
  <c r="P314" i="40"/>
  <c r="P316" i="40"/>
  <c r="P318" i="40"/>
  <c r="P320" i="40"/>
  <c r="P322" i="40"/>
  <c r="P324" i="40"/>
  <c r="P326" i="40"/>
  <c r="P328" i="40"/>
  <c r="P330" i="40"/>
  <c r="P336" i="40"/>
  <c r="P339" i="40"/>
  <c r="P342" i="40"/>
  <c r="P345" i="40"/>
  <c r="P349" i="40"/>
  <c r="P8" i="40"/>
  <c r="E78" i="15"/>
  <c r="B121" i="15"/>
  <c r="O349" i="40"/>
  <c r="O345" i="40"/>
  <c r="O342" i="40"/>
  <c r="O339" i="40"/>
  <c r="O336" i="40"/>
  <c r="R8" i="25"/>
  <c r="P48" i="15"/>
  <c r="P46" i="15"/>
  <c r="P45" i="15"/>
  <c r="F10" i="8"/>
  <c r="E113" i="62" l="1"/>
  <c r="C113" i="62"/>
  <c r="G113" i="62" s="1"/>
  <c r="E114" i="62"/>
  <c r="C114" i="62"/>
  <c r="G114" i="62" s="1"/>
  <c r="E115" i="62"/>
  <c r="C115" i="62"/>
  <c r="G115" i="62" s="1"/>
  <c r="E116" i="62"/>
  <c r="C116" i="62"/>
  <c r="G116" i="62" s="1"/>
  <c r="E117" i="62"/>
  <c r="C117" i="62"/>
  <c r="G117" i="62" s="1"/>
  <c r="E118" i="62"/>
  <c r="C118" i="62"/>
  <c r="G118" i="62" s="1"/>
  <c r="G110" i="62"/>
  <c r="C123" i="62"/>
  <c r="AB140" i="37"/>
  <c r="AB110" i="45"/>
  <c r="S8" i="25"/>
  <c r="V104" i="15" s="1"/>
  <c r="H90" i="59"/>
  <c r="J90" i="59"/>
  <c r="J91" i="59"/>
  <c r="H91" i="59"/>
  <c r="H89" i="59"/>
  <c r="J89" i="59"/>
  <c r="P351" i="40"/>
  <c r="Q143" i="21"/>
  <c r="AB245" i="35"/>
  <c r="AB215" i="34"/>
  <c r="S8" i="11"/>
  <c r="P210" i="49"/>
  <c r="V117" i="15" s="1"/>
  <c r="L76" i="46"/>
  <c r="V118" i="15" s="1"/>
  <c r="P49" i="15"/>
  <c r="S91" i="15" s="1"/>
  <c r="J9" i="37"/>
  <c r="N9" i="37"/>
  <c r="F9" i="37"/>
  <c r="J9" i="35"/>
  <c r="N9" i="35"/>
  <c r="F9" i="35"/>
  <c r="N9" i="31"/>
  <c r="J9" i="31"/>
  <c r="F9" i="31"/>
  <c r="J9" i="28"/>
  <c r="N9" i="28"/>
  <c r="F9" i="28"/>
  <c r="N9" i="27"/>
  <c r="J9" i="27"/>
  <c r="F9" i="27"/>
  <c r="J9" i="25"/>
  <c r="N9" i="25"/>
  <c r="F9" i="25"/>
  <c r="J9" i="19"/>
  <c r="N9" i="19"/>
  <c r="F9" i="19"/>
  <c r="J9" i="17"/>
  <c r="N9" i="17"/>
  <c r="F9" i="17"/>
  <c r="N9" i="11"/>
  <c r="J9" i="11"/>
  <c r="F9" i="11"/>
  <c r="L244" i="35"/>
  <c r="L234" i="35"/>
  <c r="L192" i="35"/>
  <c r="L177" i="35"/>
  <c r="L153" i="35"/>
  <c r="L127" i="35"/>
  <c r="L115" i="35"/>
  <c r="L78" i="35"/>
  <c r="L54" i="35"/>
  <c r="L244" i="31"/>
  <c r="L234" i="31"/>
  <c r="L192" i="31"/>
  <c r="L177" i="31"/>
  <c r="L153" i="31"/>
  <c r="L127" i="31"/>
  <c r="L115" i="31"/>
  <c r="L78" i="31"/>
  <c r="L54" i="31"/>
  <c r="L244" i="28"/>
  <c r="L234" i="28"/>
  <c r="L192" i="28"/>
  <c r="L177" i="28"/>
  <c r="L153" i="28"/>
  <c r="L127" i="28"/>
  <c r="L115" i="28"/>
  <c r="L78" i="28"/>
  <c r="L54" i="28"/>
  <c r="L245" i="27"/>
  <c r="L235" i="27"/>
  <c r="L193" i="27"/>
  <c r="L178" i="27"/>
  <c r="L153" i="27"/>
  <c r="L127" i="27"/>
  <c r="L115" i="27"/>
  <c r="L78" i="27"/>
  <c r="L54" i="27"/>
  <c r="L245" i="25"/>
  <c r="L235" i="25"/>
  <c r="L193" i="25"/>
  <c r="L178" i="25"/>
  <c r="L153" i="25"/>
  <c r="L127" i="25"/>
  <c r="L115" i="25"/>
  <c r="L78" i="25"/>
  <c r="L54" i="25"/>
  <c r="L245" i="19"/>
  <c r="L193" i="19"/>
  <c r="L178" i="19"/>
  <c r="L153" i="19"/>
  <c r="L127" i="19"/>
  <c r="L115" i="19"/>
  <c r="L78" i="19"/>
  <c r="L54" i="19"/>
  <c r="D232" i="41"/>
  <c r="E232" i="41"/>
  <c r="F232" i="41"/>
  <c r="G232" i="41"/>
  <c r="H232" i="41"/>
  <c r="I232" i="41"/>
  <c r="J232" i="41"/>
  <c r="D233" i="41"/>
  <c r="E233" i="41"/>
  <c r="F233" i="41"/>
  <c r="G233" i="41"/>
  <c r="H233" i="41"/>
  <c r="I233" i="41"/>
  <c r="J233" i="41"/>
  <c r="D234" i="41"/>
  <c r="E234" i="41"/>
  <c r="F234" i="41"/>
  <c r="G234" i="41"/>
  <c r="H234" i="41"/>
  <c r="I234" i="41"/>
  <c r="J234" i="41"/>
  <c r="D235" i="41"/>
  <c r="E235" i="41"/>
  <c r="F235" i="41"/>
  <c r="G235" i="41"/>
  <c r="H235" i="41"/>
  <c r="I235" i="41"/>
  <c r="J235" i="41"/>
  <c r="C233" i="41"/>
  <c r="D231" i="41"/>
  <c r="E231" i="41"/>
  <c r="F231" i="41"/>
  <c r="G231" i="41"/>
  <c r="H231" i="41"/>
  <c r="I231" i="41"/>
  <c r="J231" i="41"/>
  <c r="C230" i="41"/>
  <c r="L349" i="40"/>
  <c r="C235" i="41" s="1"/>
  <c r="L345" i="40"/>
  <c r="C234" i="41" s="1"/>
  <c r="L342" i="40"/>
  <c r="K233" i="41" s="1"/>
  <c r="L339" i="40"/>
  <c r="C232" i="41" s="1"/>
  <c r="L336" i="40"/>
  <c r="C231" i="41" s="1"/>
  <c r="J333" i="40"/>
  <c r="L234" i="17"/>
  <c r="L192" i="17"/>
  <c r="L177" i="17"/>
  <c r="L153" i="17"/>
  <c r="L127" i="17"/>
  <c r="L115" i="17"/>
  <c r="L78" i="17"/>
  <c r="L54" i="17"/>
  <c r="L244" i="17"/>
  <c r="R244" i="17"/>
  <c r="E125" i="18" s="1"/>
  <c r="L234" i="11"/>
  <c r="E123" i="62" l="1"/>
  <c r="H269" i="61" s="1"/>
  <c r="C125" i="62"/>
  <c r="C130" i="62" s="1"/>
  <c r="E132" i="62" s="1"/>
  <c r="H265" i="61"/>
  <c r="J97" i="59"/>
  <c r="H117" i="58" s="1"/>
  <c r="L91" i="59"/>
  <c r="L90" i="59"/>
  <c r="H97" i="59"/>
  <c r="L89" i="59"/>
  <c r="T91" i="15"/>
  <c r="J236" i="41"/>
  <c r="H236" i="41"/>
  <c r="F236" i="41"/>
  <c r="D236" i="41"/>
  <c r="C236" i="41"/>
  <c r="K232" i="41"/>
  <c r="K234" i="41"/>
  <c r="I236" i="41"/>
  <c r="K235" i="41"/>
  <c r="G236" i="41"/>
  <c r="E236" i="41"/>
  <c r="K231" i="41"/>
  <c r="I58" i="33"/>
  <c r="I70" i="33" s="1"/>
  <c r="J70" i="33" s="1"/>
  <c r="P29" i="33"/>
  <c r="P30" i="33"/>
  <c r="P31" i="33"/>
  <c r="P32" i="33"/>
  <c r="P33" i="33"/>
  <c r="P34" i="33"/>
  <c r="P35" i="33"/>
  <c r="P36" i="33"/>
  <c r="P37" i="33"/>
  <c r="P38" i="33"/>
  <c r="P39" i="33"/>
  <c r="P40" i="33"/>
  <c r="P41" i="33"/>
  <c r="P42" i="33"/>
  <c r="P43" i="33"/>
  <c r="P44" i="33"/>
  <c r="P45" i="33"/>
  <c r="P46" i="33"/>
  <c r="P28" i="33"/>
  <c r="M46" i="33"/>
  <c r="M45" i="33"/>
  <c r="M44" i="33"/>
  <c r="M43" i="33"/>
  <c r="M42" i="33"/>
  <c r="M41" i="33"/>
  <c r="M40" i="33"/>
  <c r="M39" i="33"/>
  <c r="M38" i="33"/>
  <c r="M37" i="33"/>
  <c r="M36" i="33"/>
  <c r="M35" i="33"/>
  <c r="M34" i="33"/>
  <c r="M33" i="33"/>
  <c r="M32" i="33"/>
  <c r="M31" i="33"/>
  <c r="M30" i="33"/>
  <c r="M29" i="33"/>
  <c r="H267" i="61" l="1"/>
  <c r="H271" i="61"/>
  <c r="H273" i="61" s="1"/>
  <c r="H275" i="61" s="1"/>
  <c r="H113" i="58"/>
  <c r="H98" i="59"/>
  <c r="J76" i="33"/>
  <c r="K236" i="41"/>
  <c r="J68" i="33"/>
  <c r="I73" i="33" s="1"/>
  <c r="J73" i="33" s="1"/>
  <c r="I79" i="33"/>
  <c r="I72" i="33"/>
  <c r="J72" i="33" s="1"/>
  <c r="I74" i="33"/>
  <c r="J74" i="33" s="1"/>
  <c r="I71" i="33"/>
  <c r="J71" i="33" s="1"/>
  <c r="J79" i="33"/>
  <c r="I78" i="33"/>
  <c r="I80" i="33"/>
  <c r="I82" i="33"/>
  <c r="J82" i="33" s="1"/>
  <c r="J80" i="33"/>
  <c r="I81" i="33"/>
  <c r="J81" i="33" s="1"/>
  <c r="J78" i="33"/>
  <c r="M28" i="33"/>
  <c r="J46" i="33"/>
  <c r="J45" i="33"/>
  <c r="J44" i="33"/>
  <c r="J43" i="33"/>
  <c r="J42" i="33"/>
  <c r="J41" i="33"/>
  <c r="J40" i="33"/>
  <c r="J39" i="33"/>
  <c r="J38" i="33"/>
  <c r="J37" i="33"/>
  <c r="J36" i="33"/>
  <c r="J35" i="33"/>
  <c r="J34" i="33"/>
  <c r="J33" i="33"/>
  <c r="J32" i="33"/>
  <c r="J31" i="33"/>
  <c r="J30" i="33"/>
  <c r="J29" i="33"/>
  <c r="J28" i="33"/>
  <c r="G46" i="33"/>
  <c r="G45" i="33"/>
  <c r="G44" i="33"/>
  <c r="G43" i="33"/>
  <c r="G42" i="33"/>
  <c r="G41" i="33"/>
  <c r="G40" i="33"/>
  <c r="G39" i="33"/>
  <c r="G38" i="33"/>
  <c r="G37" i="33"/>
  <c r="G36" i="33"/>
  <c r="G35" i="33"/>
  <c r="G34" i="33"/>
  <c r="G33" i="33"/>
  <c r="G32" i="33"/>
  <c r="G31" i="33"/>
  <c r="G30" i="33"/>
  <c r="G29" i="33"/>
  <c r="G28" i="33"/>
  <c r="H115" i="58" l="1"/>
  <c r="P46" i="38"/>
  <c r="P45" i="38"/>
  <c r="P44" i="38"/>
  <c r="P43" i="38"/>
  <c r="P42" i="38"/>
  <c r="P41" i="38"/>
  <c r="P40" i="38"/>
  <c r="P39" i="38"/>
  <c r="P38" i="38"/>
  <c r="P37" i="38"/>
  <c r="P36" i="38"/>
  <c r="P35" i="38"/>
  <c r="P34" i="38"/>
  <c r="P33" i="38"/>
  <c r="P32" i="38"/>
  <c r="P31" i="38"/>
  <c r="P30" i="38"/>
  <c r="P29" i="38"/>
  <c r="P28" i="38"/>
  <c r="M46" i="38"/>
  <c r="M45" i="38"/>
  <c r="M44" i="38"/>
  <c r="M43" i="38"/>
  <c r="M42" i="38"/>
  <c r="M41" i="38"/>
  <c r="M40" i="38"/>
  <c r="M39" i="38"/>
  <c r="M38" i="38"/>
  <c r="M37" i="38"/>
  <c r="M36" i="38"/>
  <c r="M35" i="38"/>
  <c r="M34" i="38"/>
  <c r="M33" i="38"/>
  <c r="M32" i="38"/>
  <c r="M31" i="38"/>
  <c r="M30" i="38"/>
  <c r="M29" i="38"/>
  <c r="M28" i="38"/>
  <c r="J46" i="38"/>
  <c r="J45" i="38"/>
  <c r="J44" i="38"/>
  <c r="J43" i="38"/>
  <c r="J42" i="38"/>
  <c r="J41" i="38"/>
  <c r="J40" i="38"/>
  <c r="J39" i="38"/>
  <c r="J38" i="38"/>
  <c r="J37" i="38"/>
  <c r="J36" i="38"/>
  <c r="J35" i="38"/>
  <c r="J34" i="38"/>
  <c r="J33" i="38"/>
  <c r="J32" i="38"/>
  <c r="J31" i="38"/>
  <c r="J30" i="38"/>
  <c r="J29" i="38"/>
  <c r="J28" i="38"/>
  <c r="G46" i="38"/>
  <c r="G45" i="38"/>
  <c r="G44" i="38"/>
  <c r="G43" i="38"/>
  <c r="G42" i="38"/>
  <c r="G41" i="38"/>
  <c r="G40" i="38"/>
  <c r="G39" i="38"/>
  <c r="G38" i="38"/>
  <c r="G37" i="38"/>
  <c r="G36" i="38"/>
  <c r="G35" i="38"/>
  <c r="G34" i="38"/>
  <c r="G33" i="38"/>
  <c r="G32" i="38"/>
  <c r="G31" i="38"/>
  <c r="G30" i="38"/>
  <c r="G29" i="38"/>
  <c r="G28" i="38"/>
  <c r="I44" i="36"/>
  <c r="F44" i="36"/>
  <c r="I43" i="36"/>
  <c r="F43" i="36"/>
  <c r="I42" i="36"/>
  <c r="F42" i="36"/>
  <c r="I41" i="36"/>
  <c r="F41" i="36"/>
  <c r="I40" i="36"/>
  <c r="F40" i="36"/>
  <c r="I39" i="36"/>
  <c r="F39" i="36"/>
  <c r="I38" i="36"/>
  <c r="F38" i="36"/>
  <c r="I37" i="36"/>
  <c r="F37" i="36"/>
  <c r="I36" i="36"/>
  <c r="F36" i="36"/>
  <c r="I35" i="36"/>
  <c r="F35" i="36"/>
  <c r="I34" i="36"/>
  <c r="F34" i="36"/>
  <c r="I33" i="36"/>
  <c r="F33" i="36"/>
  <c r="I32" i="36"/>
  <c r="F32" i="36"/>
  <c r="I31" i="36"/>
  <c r="F31" i="36"/>
  <c r="I30" i="36"/>
  <c r="F30" i="36"/>
  <c r="I29" i="36"/>
  <c r="F29" i="36"/>
  <c r="I28" i="36"/>
  <c r="F28" i="36"/>
  <c r="I27" i="36"/>
  <c r="F27" i="36"/>
  <c r="I26" i="36"/>
  <c r="F26" i="36"/>
  <c r="I44" i="32"/>
  <c r="F44" i="32"/>
  <c r="I43" i="32"/>
  <c r="F43" i="32"/>
  <c r="I42" i="32"/>
  <c r="F42" i="32"/>
  <c r="I41" i="32"/>
  <c r="F41" i="32"/>
  <c r="I40" i="32"/>
  <c r="F40" i="32"/>
  <c r="I39" i="32"/>
  <c r="F39" i="32"/>
  <c r="I38" i="32"/>
  <c r="F38" i="32"/>
  <c r="I37" i="32"/>
  <c r="F37" i="32"/>
  <c r="I36" i="32"/>
  <c r="F36" i="32"/>
  <c r="I35" i="32"/>
  <c r="F35" i="32"/>
  <c r="I34" i="32"/>
  <c r="F34" i="32"/>
  <c r="I33" i="32"/>
  <c r="F33" i="32"/>
  <c r="I32" i="32"/>
  <c r="F32" i="32"/>
  <c r="I31" i="32"/>
  <c r="F31" i="32"/>
  <c r="I30" i="32"/>
  <c r="F30" i="32"/>
  <c r="I29" i="32"/>
  <c r="F29" i="32"/>
  <c r="I28" i="32"/>
  <c r="F28" i="32"/>
  <c r="I27" i="32"/>
  <c r="F27" i="32"/>
  <c r="I26" i="32"/>
  <c r="F26" i="32"/>
  <c r="I44" i="30"/>
  <c r="F44" i="30"/>
  <c r="I43" i="30"/>
  <c r="F43" i="30"/>
  <c r="I42" i="30"/>
  <c r="F42" i="30"/>
  <c r="I41" i="30"/>
  <c r="F41" i="30"/>
  <c r="I40" i="30"/>
  <c r="F40" i="30"/>
  <c r="I39" i="30"/>
  <c r="F39" i="30"/>
  <c r="I38" i="30"/>
  <c r="F38" i="30"/>
  <c r="I37" i="30"/>
  <c r="F37" i="30"/>
  <c r="I36" i="30"/>
  <c r="F36" i="30"/>
  <c r="I35" i="30"/>
  <c r="F35" i="30"/>
  <c r="I34" i="30"/>
  <c r="F34" i="30"/>
  <c r="I33" i="30"/>
  <c r="F33" i="30"/>
  <c r="I32" i="30"/>
  <c r="F32" i="30"/>
  <c r="I31" i="30"/>
  <c r="F31" i="30"/>
  <c r="I30" i="30"/>
  <c r="F30" i="30"/>
  <c r="I29" i="30"/>
  <c r="F29" i="30"/>
  <c r="I28" i="30"/>
  <c r="F28" i="30"/>
  <c r="I27" i="30"/>
  <c r="F27" i="30"/>
  <c r="I26" i="30"/>
  <c r="F26" i="30"/>
  <c r="I44" i="26"/>
  <c r="F44" i="26"/>
  <c r="I43" i="26"/>
  <c r="F43" i="26"/>
  <c r="I42" i="26"/>
  <c r="F42" i="26"/>
  <c r="I41" i="26"/>
  <c r="F41" i="26"/>
  <c r="I40" i="26"/>
  <c r="F40" i="26"/>
  <c r="I39" i="26"/>
  <c r="F39" i="26"/>
  <c r="I38" i="26"/>
  <c r="F38" i="26"/>
  <c r="I37" i="26"/>
  <c r="F37" i="26"/>
  <c r="I36" i="26"/>
  <c r="F36" i="26"/>
  <c r="I35" i="26"/>
  <c r="F35" i="26"/>
  <c r="I34" i="26"/>
  <c r="F34" i="26"/>
  <c r="I33" i="26"/>
  <c r="F33" i="26"/>
  <c r="I32" i="26"/>
  <c r="F32" i="26"/>
  <c r="I31" i="26"/>
  <c r="F31" i="26"/>
  <c r="I30" i="26"/>
  <c r="F30" i="26"/>
  <c r="I29" i="26"/>
  <c r="F29" i="26"/>
  <c r="I28" i="26"/>
  <c r="F28" i="26"/>
  <c r="I27" i="26"/>
  <c r="F27" i="26"/>
  <c r="I26" i="26"/>
  <c r="F26" i="26"/>
  <c r="I44" i="24"/>
  <c r="F44" i="24"/>
  <c r="I43" i="24"/>
  <c r="F43" i="24"/>
  <c r="I42" i="24"/>
  <c r="F42" i="24"/>
  <c r="I41" i="24"/>
  <c r="F41" i="24"/>
  <c r="I40" i="24"/>
  <c r="F40" i="24"/>
  <c r="I39" i="24"/>
  <c r="F39" i="24"/>
  <c r="I38" i="24"/>
  <c r="F38" i="24"/>
  <c r="I37" i="24"/>
  <c r="F37" i="24"/>
  <c r="I36" i="24"/>
  <c r="F36" i="24"/>
  <c r="I35" i="24"/>
  <c r="F35" i="24"/>
  <c r="I34" i="24"/>
  <c r="F34" i="24"/>
  <c r="I33" i="24"/>
  <c r="F33" i="24"/>
  <c r="I32" i="24"/>
  <c r="F32" i="24"/>
  <c r="I31" i="24"/>
  <c r="F31" i="24"/>
  <c r="I30" i="24"/>
  <c r="F30" i="24"/>
  <c r="I29" i="24"/>
  <c r="F29" i="24"/>
  <c r="I28" i="24"/>
  <c r="F28" i="24"/>
  <c r="I27" i="24"/>
  <c r="F27" i="24"/>
  <c r="I26" i="24"/>
  <c r="F26" i="24"/>
  <c r="I44" i="21"/>
  <c r="F44" i="21"/>
  <c r="I43" i="21"/>
  <c r="F43" i="21"/>
  <c r="I42" i="21"/>
  <c r="F42" i="21"/>
  <c r="I41" i="21"/>
  <c r="F41" i="21"/>
  <c r="I40" i="21"/>
  <c r="F40" i="21"/>
  <c r="I39" i="21"/>
  <c r="F39" i="21"/>
  <c r="I38" i="21"/>
  <c r="F38" i="21"/>
  <c r="F37" i="21"/>
  <c r="I36" i="21"/>
  <c r="F36" i="21"/>
  <c r="I35" i="21"/>
  <c r="F35" i="21"/>
  <c r="I34" i="21"/>
  <c r="F34" i="21"/>
  <c r="I33" i="21"/>
  <c r="F33" i="21"/>
  <c r="I32" i="21"/>
  <c r="F32" i="21"/>
  <c r="I31" i="21"/>
  <c r="F31" i="21"/>
  <c r="I30" i="21"/>
  <c r="F30" i="21"/>
  <c r="I29" i="21"/>
  <c r="F29" i="21"/>
  <c r="I28" i="21"/>
  <c r="F28" i="21"/>
  <c r="I27" i="21"/>
  <c r="F27" i="21"/>
  <c r="I26" i="21"/>
  <c r="F26" i="21"/>
  <c r="I44" i="18"/>
  <c r="F44" i="18"/>
  <c r="I43" i="18"/>
  <c r="F43" i="18"/>
  <c r="I42" i="18"/>
  <c r="F42" i="18"/>
  <c r="I41" i="18"/>
  <c r="F41" i="18"/>
  <c r="I40" i="18"/>
  <c r="F40" i="18"/>
  <c r="I39" i="18"/>
  <c r="F39" i="18"/>
  <c r="I38" i="18"/>
  <c r="F38" i="18"/>
  <c r="I37" i="18"/>
  <c r="F37" i="18"/>
  <c r="I36" i="18"/>
  <c r="F36" i="18"/>
  <c r="I35" i="18"/>
  <c r="F35" i="18"/>
  <c r="I34" i="18"/>
  <c r="F34" i="18"/>
  <c r="I33" i="18"/>
  <c r="F33" i="18"/>
  <c r="I32" i="18"/>
  <c r="F32" i="18"/>
  <c r="I31" i="18"/>
  <c r="F31" i="18"/>
  <c r="I30" i="18"/>
  <c r="F30" i="18"/>
  <c r="I29" i="18"/>
  <c r="F29" i="18"/>
  <c r="I28" i="18"/>
  <c r="F28" i="18"/>
  <c r="I27" i="18"/>
  <c r="F27" i="18"/>
  <c r="I26" i="18"/>
  <c r="F26" i="18"/>
  <c r="I28" i="14"/>
  <c r="I29" i="14"/>
  <c r="I30" i="14"/>
  <c r="I31" i="14"/>
  <c r="I32" i="14"/>
  <c r="I33" i="14"/>
  <c r="I34" i="14"/>
  <c r="I35" i="14"/>
  <c r="I36" i="14"/>
  <c r="I37" i="14"/>
  <c r="I38" i="14"/>
  <c r="I39" i="14"/>
  <c r="I40" i="14"/>
  <c r="I41" i="14"/>
  <c r="I42" i="14"/>
  <c r="I43" i="14"/>
  <c r="I44" i="14"/>
  <c r="I27" i="14"/>
  <c r="I26" i="14"/>
  <c r="F28" i="14"/>
  <c r="F29" i="14"/>
  <c r="F30" i="14"/>
  <c r="F31" i="14"/>
  <c r="F32" i="14"/>
  <c r="F33" i="14"/>
  <c r="F34" i="14"/>
  <c r="F35" i="14"/>
  <c r="F36" i="14"/>
  <c r="F37" i="14"/>
  <c r="F38" i="14"/>
  <c r="F39" i="14"/>
  <c r="F40" i="14"/>
  <c r="F41" i="14"/>
  <c r="F42" i="14"/>
  <c r="F43" i="14"/>
  <c r="F44" i="14"/>
  <c r="F27" i="14"/>
  <c r="F26" i="14"/>
  <c r="P46" i="7"/>
  <c r="P45" i="7"/>
  <c r="P32" i="7"/>
  <c r="P39" i="7"/>
  <c r="P43" i="7"/>
  <c r="P29" i="7"/>
  <c r="P28" i="7"/>
  <c r="M46" i="7"/>
  <c r="M45" i="7"/>
  <c r="M28" i="7"/>
  <c r="M30" i="7"/>
  <c r="M32" i="7"/>
  <c r="M34" i="7"/>
  <c r="M36" i="7"/>
  <c r="M38" i="7"/>
  <c r="M40" i="7"/>
  <c r="M42" i="7"/>
  <c r="M44" i="7"/>
  <c r="M37" i="7"/>
  <c r="M39" i="7"/>
  <c r="J46" i="7"/>
  <c r="J45" i="7"/>
  <c r="G46" i="7"/>
  <c r="G45" i="7"/>
  <c r="P30" i="7"/>
  <c r="P31" i="7"/>
  <c r="P33" i="7"/>
  <c r="P34" i="7"/>
  <c r="P35" i="7"/>
  <c r="P36" i="7"/>
  <c r="P37" i="7"/>
  <c r="P38" i="7"/>
  <c r="P40" i="7"/>
  <c r="P41" i="7"/>
  <c r="P42" i="7"/>
  <c r="P44" i="7"/>
  <c r="M29" i="7"/>
  <c r="M31" i="7"/>
  <c r="M33" i="7"/>
  <c r="M35" i="7"/>
  <c r="M41" i="7"/>
  <c r="M43" i="7"/>
  <c r="J29" i="7"/>
  <c r="J30" i="7"/>
  <c r="J31" i="7"/>
  <c r="J32" i="7"/>
  <c r="J33" i="7"/>
  <c r="J34" i="7"/>
  <c r="J35" i="7"/>
  <c r="J36" i="7"/>
  <c r="J37" i="7"/>
  <c r="J38" i="7"/>
  <c r="J39" i="7"/>
  <c r="J40" i="7"/>
  <c r="J41" i="7"/>
  <c r="J42" i="7"/>
  <c r="J43" i="7"/>
  <c r="J44" i="7"/>
  <c r="J28" i="7"/>
  <c r="H119" i="58" l="1"/>
  <c r="H121" i="58" s="1"/>
  <c r="H123" i="58" s="1"/>
  <c r="G29" i="7"/>
  <c r="G30" i="7"/>
  <c r="G31" i="7"/>
  <c r="G32" i="7"/>
  <c r="G33" i="7"/>
  <c r="G34" i="7"/>
  <c r="G35" i="7"/>
  <c r="G36" i="7"/>
  <c r="G37" i="7"/>
  <c r="G38" i="7"/>
  <c r="G39" i="7"/>
  <c r="G40" i="7"/>
  <c r="G41" i="7"/>
  <c r="G42" i="7"/>
  <c r="G43" i="7"/>
  <c r="G44" i="7"/>
  <c r="G28" i="7"/>
  <c r="B387" i="40"/>
  <c r="O328" i="40"/>
  <c r="L328" i="40"/>
  <c r="O318" i="40"/>
  <c r="L318" i="40"/>
  <c r="O308" i="40"/>
  <c r="L308" i="40"/>
  <c r="O288" i="40"/>
  <c r="L288" i="40"/>
  <c r="O286" i="40"/>
  <c r="L286" i="40"/>
  <c r="O284" i="40"/>
  <c r="L284" i="40"/>
  <c r="O282" i="40"/>
  <c r="L282" i="40"/>
  <c r="O280" i="40"/>
  <c r="L280" i="40"/>
  <c r="O278" i="40"/>
  <c r="L278" i="40"/>
  <c r="O268" i="40"/>
  <c r="L268" i="40"/>
  <c r="O218" i="40"/>
  <c r="L218" i="40"/>
  <c r="O189" i="40"/>
  <c r="L189" i="40"/>
  <c r="O186" i="40"/>
  <c r="L186" i="40"/>
  <c r="Z180" i="40"/>
  <c r="O180" i="40"/>
  <c r="L180" i="40"/>
  <c r="O178" i="40"/>
  <c r="L178" i="40"/>
  <c r="O168" i="40"/>
  <c r="L168" i="40"/>
  <c r="O158" i="40"/>
  <c r="L158" i="40"/>
  <c r="O108" i="40"/>
  <c r="L108" i="40"/>
  <c r="O98" i="40"/>
  <c r="L98" i="40"/>
  <c r="O8" i="40"/>
  <c r="L8" i="40"/>
  <c r="O18" i="40"/>
  <c r="L18" i="40"/>
  <c r="O28" i="40"/>
  <c r="L28" i="40"/>
  <c r="O68" i="40"/>
  <c r="L68" i="40"/>
  <c r="O58" i="40"/>
  <c r="L58" i="40"/>
  <c r="O48" i="40"/>
  <c r="L48" i="40"/>
  <c r="O38" i="40"/>
  <c r="L38" i="40"/>
  <c r="O78" i="40"/>
  <c r="L78" i="40"/>
  <c r="O80" i="40"/>
  <c r="L80" i="40"/>
  <c r="O82" i="40"/>
  <c r="L82" i="40"/>
  <c r="O84" i="40"/>
  <c r="L84" i="40"/>
  <c r="O86" i="40"/>
  <c r="L86" i="40"/>
  <c r="O88" i="40"/>
  <c r="L88" i="40"/>
  <c r="D166" i="41"/>
  <c r="E166" i="41"/>
  <c r="F166" i="41"/>
  <c r="G166" i="41"/>
  <c r="H166" i="41"/>
  <c r="I166" i="41"/>
  <c r="J166" i="41"/>
  <c r="K166" i="41"/>
  <c r="D167" i="41"/>
  <c r="E167" i="41"/>
  <c r="F167" i="41"/>
  <c r="G167" i="41"/>
  <c r="H167" i="41"/>
  <c r="I167" i="41"/>
  <c r="J167" i="41"/>
  <c r="K167" i="41"/>
  <c r="D168" i="41"/>
  <c r="E168" i="41"/>
  <c r="F168" i="41"/>
  <c r="G168" i="41"/>
  <c r="H168" i="41"/>
  <c r="I168" i="41"/>
  <c r="J168" i="41"/>
  <c r="K168" i="41"/>
  <c r="D169" i="41"/>
  <c r="E169" i="41"/>
  <c r="F169" i="41"/>
  <c r="G169" i="41"/>
  <c r="H169" i="41"/>
  <c r="I169" i="41"/>
  <c r="J169" i="41"/>
  <c r="K169" i="41"/>
  <c r="D170" i="41"/>
  <c r="E170" i="41"/>
  <c r="F170" i="41"/>
  <c r="G170" i="41"/>
  <c r="H170" i="41"/>
  <c r="I170" i="41"/>
  <c r="J170" i="41"/>
  <c r="K170" i="41"/>
  <c r="D171" i="41"/>
  <c r="E171" i="41"/>
  <c r="F171" i="41"/>
  <c r="G171" i="41"/>
  <c r="H171" i="41"/>
  <c r="I171" i="41"/>
  <c r="J171" i="41"/>
  <c r="K171" i="41"/>
  <c r="D172" i="41"/>
  <c r="E172" i="41"/>
  <c r="F172" i="41"/>
  <c r="G172" i="41"/>
  <c r="H172" i="41"/>
  <c r="I172" i="41"/>
  <c r="J172" i="41"/>
  <c r="K172" i="41"/>
  <c r="D173" i="41"/>
  <c r="E173" i="41"/>
  <c r="F173" i="41"/>
  <c r="G173" i="41"/>
  <c r="H173" i="41"/>
  <c r="I173" i="41"/>
  <c r="D174" i="41"/>
  <c r="E174" i="41"/>
  <c r="F174" i="41"/>
  <c r="G174" i="41"/>
  <c r="H174" i="41"/>
  <c r="I174" i="41"/>
  <c r="J174" i="41"/>
  <c r="K174" i="41"/>
  <c r="D175" i="41"/>
  <c r="E175" i="41"/>
  <c r="F175" i="41"/>
  <c r="G175" i="41"/>
  <c r="H175" i="41"/>
  <c r="I175" i="41"/>
  <c r="J175" i="41"/>
  <c r="K175" i="41"/>
  <c r="D176" i="41"/>
  <c r="E176" i="41"/>
  <c r="F176" i="41"/>
  <c r="G176" i="41"/>
  <c r="H176" i="41"/>
  <c r="I176" i="41"/>
  <c r="J176" i="41"/>
  <c r="K176" i="41"/>
  <c r="D177" i="41"/>
  <c r="E177" i="41"/>
  <c r="F177" i="41"/>
  <c r="G177" i="41"/>
  <c r="H177" i="41"/>
  <c r="I177" i="41"/>
  <c r="J177" i="41"/>
  <c r="K177" i="41"/>
  <c r="D178" i="41"/>
  <c r="E178" i="41"/>
  <c r="F178" i="41"/>
  <c r="G178" i="41"/>
  <c r="H178" i="41"/>
  <c r="I178" i="41"/>
  <c r="J178" i="41"/>
  <c r="K178" i="41"/>
  <c r="D179" i="41"/>
  <c r="E179" i="41"/>
  <c r="F179" i="41"/>
  <c r="G179" i="41"/>
  <c r="H179" i="41"/>
  <c r="I179" i="41"/>
  <c r="J179" i="41"/>
  <c r="K179" i="41"/>
  <c r="D180" i="41"/>
  <c r="E180" i="41"/>
  <c r="F180" i="41"/>
  <c r="G180" i="41"/>
  <c r="H180" i="41"/>
  <c r="I180" i="41"/>
  <c r="J180" i="41"/>
  <c r="K180" i="41"/>
  <c r="D181" i="41"/>
  <c r="E181" i="41"/>
  <c r="F181" i="41"/>
  <c r="G181" i="41"/>
  <c r="H181" i="41"/>
  <c r="I181" i="41"/>
  <c r="J181" i="41"/>
  <c r="K181" i="41"/>
  <c r="D182" i="41"/>
  <c r="E182" i="41"/>
  <c r="F182" i="41"/>
  <c r="G182" i="41"/>
  <c r="H182" i="41"/>
  <c r="I182" i="41"/>
  <c r="J182" i="41"/>
  <c r="K182" i="41"/>
  <c r="D183" i="41"/>
  <c r="E183" i="41"/>
  <c r="F183" i="41"/>
  <c r="G183" i="41"/>
  <c r="H183" i="41"/>
  <c r="I183" i="41"/>
  <c r="D184" i="41"/>
  <c r="E184" i="41"/>
  <c r="F184" i="41"/>
  <c r="G184" i="41"/>
  <c r="H184" i="41"/>
  <c r="I184" i="41"/>
  <c r="J184" i="41"/>
  <c r="K184" i="41"/>
  <c r="D185" i="41"/>
  <c r="E185" i="41"/>
  <c r="F185" i="41"/>
  <c r="G185" i="41"/>
  <c r="H185" i="41"/>
  <c r="I185" i="41"/>
  <c r="J185" i="41"/>
  <c r="K185" i="41"/>
  <c r="D186" i="41"/>
  <c r="E186" i="41"/>
  <c r="F186" i="41"/>
  <c r="G186" i="41"/>
  <c r="H186" i="41"/>
  <c r="I186" i="41"/>
  <c r="J186" i="41"/>
  <c r="K186" i="41"/>
  <c r="D187" i="41"/>
  <c r="E187" i="41"/>
  <c r="F187" i="41"/>
  <c r="G187" i="41"/>
  <c r="H187" i="41"/>
  <c r="I187" i="41"/>
  <c r="J187" i="41"/>
  <c r="K187" i="41"/>
  <c r="D188" i="41"/>
  <c r="E188" i="41"/>
  <c r="F188" i="41"/>
  <c r="G188" i="41"/>
  <c r="H188" i="41"/>
  <c r="I188" i="41"/>
  <c r="J188" i="41"/>
  <c r="K188" i="41"/>
  <c r="D189" i="41"/>
  <c r="E189" i="41"/>
  <c r="F189" i="41"/>
  <c r="G189" i="41"/>
  <c r="H189" i="41"/>
  <c r="I189" i="41"/>
  <c r="J189" i="41"/>
  <c r="K189" i="41"/>
  <c r="D190" i="41"/>
  <c r="E190" i="41"/>
  <c r="F190" i="41"/>
  <c r="G190" i="41"/>
  <c r="H190" i="41"/>
  <c r="I190" i="41"/>
  <c r="J190" i="41"/>
  <c r="K190" i="41"/>
  <c r="D191" i="41"/>
  <c r="E191" i="41"/>
  <c r="F191" i="41"/>
  <c r="G191" i="41"/>
  <c r="H191" i="41"/>
  <c r="I191" i="41"/>
  <c r="J191" i="41"/>
  <c r="K191" i="41"/>
  <c r="D192" i="41"/>
  <c r="E192" i="41"/>
  <c r="F192" i="41"/>
  <c r="G192" i="41"/>
  <c r="H192" i="41"/>
  <c r="I192" i="41"/>
  <c r="J192" i="41"/>
  <c r="K192" i="41"/>
  <c r="D193" i="41"/>
  <c r="E193" i="41"/>
  <c r="F193" i="41"/>
  <c r="G193" i="41"/>
  <c r="H193" i="41"/>
  <c r="I193" i="41"/>
  <c r="D194" i="41"/>
  <c r="E194" i="41"/>
  <c r="F194" i="41"/>
  <c r="G194" i="41"/>
  <c r="H194" i="41"/>
  <c r="I194" i="41"/>
  <c r="J194" i="41"/>
  <c r="K194" i="41"/>
  <c r="D195" i="41"/>
  <c r="E195" i="41"/>
  <c r="F195" i="41"/>
  <c r="G195" i="41"/>
  <c r="H195" i="41"/>
  <c r="I195" i="41"/>
  <c r="J195" i="41"/>
  <c r="K195" i="41"/>
  <c r="D196" i="41"/>
  <c r="E196" i="41"/>
  <c r="F196" i="41"/>
  <c r="G196" i="41"/>
  <c r="H196" i="41"/>
  <c r="I196" i="41"/>
  <c r="J196" i="41"/>
  <c r="K196" i="41"/>
  <c r="D197" i="41"/>
  <c r="E197" i="41"/>
  <c r="F197" i="41"/>
  <c r="G197" i="41"/>
  <c r="H197" i="41"/>
  <c r="I197" i="41"/>
  <c r="J197" i="41"/>
  <c r="K197" i="41"/>
  <c r="D198" i="41"/>
  <c r="E198" i="41"/>
  <c r="F198" i="41"/>
  <c r="G198" i="41"/>
  <c r="H198" i="41"/>
  <c r="I198" i="41"/>
  <c r="J198" i="41"/>
  <c r="K198" i="41"/>
  <c r="D199" i="41"/>
  <c r="E199" i="41"/>
  <c r="F199" i="41"/>
  <c r="G199" i="41"/>
  <c r="H199" i="41"/>
  <c r="I199" i="41"/>
  <c r="J199" i="41"/>
  <c r="K199" i="41"/>
  <c r="D200" i="41"/>
  <c r="E200" i="41"/>
  <c r="F200" i="41"/>
  <c r="G200" i="41"/>
  <c r="H200" i="41"/>
  <c r="I200" i="41"/>
  <c r="J200" i="41"/>
  <c r="K200" i="41"/>
  <c r="D201" i="41"/>
  <c r="E201" i="41"/>
  <c r="F201" i="41"/>
  <c r="G201" i="41"/>
  <c r="H201" i="41"/>
  <c r="I201" i="41"/>
  <c r="J201" i="41"/>
  <c r="K201" i="41"/>
  <c r="D202" i="41"/>
  <c r="E202" i="41"/>
  <c r="F202" i="41"/>
  <c r="G202" i="41"/>
  <c r="H202" i="41"/>
  <c r="I202" i="41"/>
  <c r="J202" i="41"/>
  <c r="K202" i="41"/>
  <c r="D203" i="41"/>
  <c r="E203" i="41"/>
  <c r="F203" i="41"/>
  <c r="G203" i="41"/>
  <c r="H203" i="41"/>
  <c r="I203" i="41"/>
  <c r="J203" i="41"/>
  <c r="K203" i="41"/>
  <c r="D204" i="41"/>
  <c r="E204" i="41"/>
  <c r="F204" i="41"/>
  <c r="G204" i="41"/>
  <c r="H204" i="41"/>
  <c r="I204" i="41"/>
  <c r="J204" i="41"/>
  <c r="K204" i="41"/>
  <c r="D205" i="41"/>
  <c r="E205" i="41"/>
  <c r="F205" i="41"/>
  <c r="G205" i="41"/>
  <c r="H205" i="41"/>
  <c r="I205" i="41"/>
  <c r="J205" i="41"/>
  <c r="K205" i="41"/>
  <c r="D206" i="41"/>
  <c r="E206" i="41"/>
  <c r="F206" i="41"/>
  <c r="G206" i="41"/>
  <c r="H206" i="41"/>
  <c r="I206" i="41"/>
  <c r="J206" i="41"/>
  <c r="K206" i="41"/>
  <c r="D207" i="41"/>
  <c r="E207" i="41"/>
  <c r="F207" i="41"/>
  <c r="G207" i="41"/>
  <c r="H207" i="41"/>
  <c r="I207" i="41"/>
  <c r="J207" i="41"/>
  <c r="K207" i="41"/>
  <c r="D208" i="41"/>
  <c r="E208" i="41"/>
  <c r="F208" i="41"/>
  <c r="G208" i="41"/>
  <c r="H208" i="41"/>
  <c r="I208" i="41"/>
  <c r="J208" i="41"/>
  <c r="K208" i="41"/>
  <c r="D209" i="41"/>
  <c r="E209" i="41"/>
  <c r="F209" i="41"/>
  <c r="G209" i="41"/>
  <c r="H209" i="41"/>
  <c r="I209" i="41"/>
  <c r="J209" i="41"/>
  <c r="K209" i="41"/>
  <c r="D210" i="41"/>
  <c r="E210" i="41"/>
  <c r="F210" i="41"/>
  <c r="G210" i="41"/>
  <c r="H210" i="41"/>
  <c r="I210" i="41"/>
  <c r="J210" i="41"/>
  <c r="K210" i="41"/>
  <c r="D211" i="41"/>
  <c r="E211" i="41"/>
  <c r="F211" i="41"/>
  <c r="G211" i="41"/>
  <c r="H211" i="41"/>
  <c r="I211" i="41"/>
  <c r="J211" i="41"/>
  <c r="K211" i="41"/>
  <c r="D212" i="41"/>
  <c r="E212" i="41"/>
  <c r="F212" i="41"/>
  <c r="G212" i="41"/>
  <c r="H212" i="41"/>
  <c r="I212" i="41"/>
  <c r="J212" i="41"/>
  <c r="K212" i="41"/>
  <c r="D213" i="41"/>
  <c r="E213" i="41"/>
  <c r="F213" i="41"/>
  <c r="G213" i="41"/>
  <c r="H213" i="41"/>
  <c r="I213" i="41"/>
  <c r="D214" i="41"/>
  <c r="E214" i="41"/>
  <c r="F214" i="41"/>
  <c r="G214" i="41"/>
  <c r="H214" i="41"/>
  <c r="I214" i="41"/>
  <c r="J214" i="41"/>
  <c r="K214" i="41"/>
  <c r="D215" i="41"/>
  <c r="E215" i="41"/>
  <c r="F215" i="41"/>
  <c r="G215" i="41"/>
  <c r="H215" i="41"/>
  <c r="I215" i="41"/>
  <c r="J215" i="41"/>
  <c r="K215" i="41"/>
  <c r="D216" i="41"/>
  <c r="E216" i="41"/>
  <c r="F216" i="41"/>
  <c r="G216" i="41"/>
  <c r="H216" i="41"/>
  <c r="I216" i="41"/>
  <c r="J216" i="41"/>
  <c r="K216" i="41"/>
  <c r="D217" i="41"/>
  <c r="E217" i="41"/>
  <c r="F217" i="41"/>
  <c r="G217" i="41"/>
  <c r="H217" i="41"/>
  <c r="I217" i="41"/>
  <c r="J217" i="41"/>
  <c r="K217" i="41"/>
  <c r="D218" i="41"/>
  <c r="E218" i="41"/>
  <c r="F218" i="41"/>
  <c r="G218" i="41"/>
  <c r="H218" i="41"/>
  <c r="I218" i="41"/>
  <c r="J218" i="41"/>
  <c r="K218" i="41"/>
  <c r="D219" i="41"/>
  <c r="E219" i="41"/>
  <c r="F219" i="41"/>
  <c r="G219" i="41"/>
  <c r="H219" i="41"/>
  <c r="I219" i="41"/>
  <c r="J219" i="41"/>
  <c r="K219" i="41"/>
  <c r="D220" i="41"/>
  <c r="E220" i="41"/>
  <c r="F220" i="41"/>
  <c r="G220" i="41"/>
  <c r="H220" i="41"/>
  <c r="I220" i="41"/>
  <c r="J220" i="41"/>
  <c r="K220" i="41"/>
  <c r="D221" i="41"/>
  <c r="E221" i="41"/>
  <c r="F221" i="41"/>
  <c r="G221" i="41"/>
  <c r="H221" i="41"/>
  <c r="I221" i="41"/>
  <c r="J221" i="41"/>
  <c r="K221" i="41"/>
  <c r="D222" i="41"/>
  <c r="E222" i="41"/>
  <c r="F222" i="41"/>
  <c r="G222" i="41"/>
  <c r="H222" i="41"/>
  <c r="I222" i="41"/>
  <c r="J222" i="41"/>
  <c r="K222" i="41"/>
  <c r="D223" i="41"/>
  <c r="E223" i="41"/>
  <c r="F223" i="41"/>
  <c r="G223" i="41"/>
  <c r="H223" i="41"/>
  <c r="I223" i="41"/>
  <c r="D224" i="41"/>
  <c r="E224" i="41"/>
  <c r="F224" i="41"/>
  <c r="G224" i="41"/>
  <c r="H224" i="41"/>
  <c r="I224" i="41"/>
  <c r="J224" i="41"/>
  <c r="K224" i="41"/>
  <c r="D225" i="41"/>
  <c r="E225" i="41"/>
  <c r="F225" i="41"/>
  <c r="G225" i="41"/>
  <c r="H225" i="41"/>
  <c r="I225" i="41"/>
  <c r="J225" i="41"/>
  <c r="K225" i="41"/>
  <c r="D226" i="41"/>
  <c r="E226" i="41"/>
  <c r="F226" i="41"/>
  <c r="G226" i="41"/>
  <c r="H226" i="41"/>
  <c r="I226" i="41"/>
  <c r="J226" i="41"/>
  <c r="K226" i="41"/>
  <c r="D227" i="41"/>
  <c r="E227" i="41"/>
  <c r="F227" i="41"/>
  <c r="G227" i="41"/>
  <c r="H227" i="41"/>
  <c r="I227" i="41"/>
  <c r="J227" i="41"/>
  <c r="K227" i="41"/>
  <c r="D228" i="41"/>
  <c r="E228" i="41"/>
  <c r="F228" i="41"/>
  <c r="G228" i="41"/>
  <c r="H228" i="41"/>
  <c r="I228" i="41"/>
  <c r="J228" i="41"/>
  <c r="K228" i="41"/>
  <c r="C227" i="41"/>
  <c r="C222" i="41"/>
  <c r="C217" i="41"/>
  <c r="C208" i="41"/>
  <c r="C207" i="41"/>
  <c r="C206" i="41"/>
  <c r="C205" i="41"/>
  <c r="C204" i="41"/>
  <c r="C203" i="41"/>
  <c r="C198" i="41"/>
  <c r="C179" i="41"/>
  <c r="C167" i="41"/>
  <c r="C166" i="41"/>
  <c r="I229" i="41"/>
  <c r="H229" i="41"/>
  <c r="G229" i="41"/>
  <c r="F229" i="41"/>
  <c r="E229" i="41"/>
  <c r="D229" i="41"/>
  <c r="C165" i="41"/>
  <c r="T69" i="41"/>
  <c r="T68" i="41"/>
  <c r="T67" i="41"/>
  <c r="T66" i="41"/>
  <c r="T65" i="41"/>
  <c r="T63" i="41"/>
  <c r="T62" i="41"/>
  <c r="T61" i="41"/>
  <c r="T60" i="41"/>
  <c r="T59" i="41"/>
  <c r="T58" i="41"/>
  <c r="T57" i="41"/>
  <c r="T56" i="41"/>
  <c r="T55" i="41"/>
  <c r="T53" i="41"/>
  <c r="T52" i="41"/>
  <c r="T51" i="41"/>
  <c r="T50" i="41"/>
  <c r="T49" i="41"/>
  <c r="T48" i="41"/>
  <c r="T47" i="41"/>
  <c r="T46" i="41"/>
  <c r="T45" i="41"/>
  <c r="T44" i="41"/>
  <c r="T43" i="41"/>
  <c r="T42" i="41"/>
  <c r="T41" i="41"/>
  <c r="T40" i="41"/>
  <c r="T39" i="41"/>
  <c r="T38" i="41"/>
  <c r="T37" i="41"/>
  <c r="T36" i="41"/>
  <c r="T35" i="41"/>
  <c r="T33" i="41"/>
  <c r="T32" i="41"/>
  <c r="T31" i="41"/>
  <c r="T30" i="41"/>
  <c r="T29" i="41"/>
  <c r="T28" i="41"/>
  <c r="T27" i="41"/>
  <c r="T26" i="41"/>
  <c r="T25" i="41"/>
  <c r="T23" i="41"/>
  <c r="T22" i="41"/>
  <c r="T21" i="41"/>
  <c r="T20" i="41"/>
  <c r="T19" i="41"/>
  <c r="T18" i="41"/>
  <c r="T17" i="41"/>
  <c r="T16" i="41"/>
  <c r="T15" i="41"/>
  <c r="T13" i="41"/>
  <c r="T12" i="41"/>
  <c r="T11" i="41"/>
  <c r="T10" i="41"/>
  <c r="T9" i="41"/>
  <c r="T8" i="41"/>
  <c r="O330" i="40"/>
  <c r="O326" i="40"/>
  <c r="O324" i="40"/>
  <c r="O322" i="40"/>
  <c r="O320" i="40"/>
  <c r="O316" i="40"/>
  <c r="O314" i="40"/>
  <c r="O312" i="40"/>
  <c r="O310" i="40"/>
  <c r="O306" i="40"/>
  <c r="O304" i="40"/>
  <c r="O302" i="40"/>
  <c r="O300" i="40"/>
  <c r="O297" i="40"/>
  <c r="O295" i="40"/>
  <c r="O292" i="40"/>
  <c r="O290" i="40"/>
  <c r="O276" i="40"/>
  <c r="O274" i="40"/>
  <c r="O272" i="40"/>
  <c r="O270" i="40"/>
  <c r="O266" i="40"/>
  <c r="O264" i="40"/>
  <c r="O262" i="40"/>
  <c r="O257" i="40"/>
  <c r="O255" i="40"/>
  <c r="O253" i="40"/>
  <c r="O249" i="40"/>
  <c r="O246" i="40"/>
  <c r="O244" i="40"/>
  <c r="O242" i="40"/>
  <c r="O240" i="40"/>
  <c r="O233" i="40"/>
  <c r="O231" i="40"/>
  <c r="O229" i="40"/>
  <c r="O227" i="40"/>
  <c r="O225" i="40"/>
  <c r="O223" i="40"/>
  <c r="O220" i="40"/>
  <c r="O216" i="40"/>
  <c r="O214" i="40"/>
  <c r="O212" i="40"/>
  <c r="O210" i="40"/>
  <c r="O207" i="40"/>
  <c r="O205" i="40"/>
  <c r="O203" i="40"/>
  <c r="O200" i="40"/>
  <c r="O195" i="40"/>
  <c r="O193" i="40"/>
  <c r="O191" i="40"/>
  <c r="L264" i="40"/>
  <c r="C196" i="41" s="1"/>
  <c r="L262" i="40"/>
  <c r="C195" i="41" s="1"/>
  <c r="L330" i="40"/>
  <c r="L326" i="40"/>
  <c r="C226" i="41" s="1"/>
  <c r="L324" i="40"/>
  <c r="C225" i="41" s="1"/>
  <c r="L322" i="40"/>
  <c r="C224" i="41" s="1"/>
  <c r="L320" i="40"/>
  <c r="K223" i="41" s="1"/>
  <c r="L316" i="40"/>
  <c r="C221" i="41" s="1"/>
  <c r="L314" i="40"/>
  <c r="C220" i="41" s="1"/>
  <c r="L312" i="40"/>
  <c r="C219" i="41" s="1"/>
  <c r="L310" i="40"/>
  <c r="C218" i="41" s="1"/>
  <c r="L306" i="40"/>
  <c r="C216" i="41" s="1"/>
  <c r="L304" i="40"/>
  <c r="C215" i="41" s="1"/>
  <c r="L302" i="40"/>
  <c r="C214" i="41" s="1"/>
  <c r="L300" i="40"/>
  <c r="K213" i="41" s="1"/>
  <c r="L297" i="40"/>
  <c r="C212" i="41" s="1"/>
  <c r="L295" i="40"/>
  <c r="C211" i="41" s="1"/>
  <c r="L292" i="40"/>
  <c r="C210" i="41" s="1"/>
  <c r="L290" i="40"/>
  <c r="C209" i="41" s="1"/>
  <c r="L276" i="40"/>
  <c r="C202" i="41" s="1"/>
  <c r="L274" i="40"/>
  <c r="C201" i="41" s="1"/>
  <c r="L272" i="40"/>
  <c r="C200" i="41" s="1"/>
  <c r="L270" i="40"/>
  <c r="C199" i="41" s="1"/>
  <c r="L266" i="40"/>
  <c r="C197" i="41" s="1"/>
  <c r="L257" i="40"/>
  <c r="C194" i="41" s="1"/>
  <c r="L255" i="40"/>
  <c r="K193" i="41" s="1"/>
  <c r="L253" i="40"/>
  <c r="C192" i="41" s="1"/>
  <c r="L249" i="40"/>
  <c r="C191" i="41" s="1"/>
  <c r="L246" i="40"/>
  <c r="C190" i="41" s="1"/>
  <c r="L244" i="40"/>
  <c r="C189" i="41" s="1"/>
  <c r="L242" i="40"/>
  <c r="C188" i="41" s="1"/>
  <c r="L240" i="40"/>
  <c r="C187" i="41" s="1"/>
  <c r="L233" i="40"/>
  <c r="C186" i="41" s="1"/>
  <c r="L231" i="40"/>
  <c r="C185" i="41" s="1"/>
  <c r="L229" i="40"/>
  <c r="C184" i="41" s="1"/>
  <c r="L227" i="40"/>
  <c r="K183" i="41" s="1"/>
  <c r="L225" i="40"/>
  <c r="C182" i="41" s="1"/>
  <c r="L223" i="40"/>
  <c r="C181" i="41" s="1"/>
  <c r="L220" i="40"/>
  <c r="C180" i="41" s="1"/>
  <c r="L216" i="40"/>
  <c r="C178" i="41" s="1"/>
  <c r="L214" i="40"/>
  <c r="C177" i="41" s="1"/>
  <c r="L212" i="40"/>
  <c r="C176" i="41" s="1"/>
  <c r="L210" i="40"/>
  <c r="C175" i="41" s="1"/>
  <c r="L207" i="40"/>
  <c r="C174" i="41" s="1"/>
  <c r="L205" i="40"/>
  <c r="K173" i="41" s="1"/>
  <c r="L203" i="40"/>
  <c r="C172" i="41" s="1"/>
  <c r="L200" i="40"/>
  <c r="C171" i="41" s="1"/>
  <c r="L195" i="40"/>
  <c r="C170" i="41" s="1"/>
  <c r="L193" i="40"/>
  <c r="C169" i="41" s="1"/>
  <c r="L191" i="40"/>
  <c r="C168" i="41" s="1"/>
  <c r="T7" i="41"/>
  <c r="G360" i="40"/>
  <c r="G371" i="40"/>
  <c r="B380" i="40"/>
  <c r="B381" i="40"/>
  <c r="B382" i="40"/>
  <c r="B383" i="40"/>
  <c r="B384" i="40"/>
  <c r="B385" i="40"/>
  <c r="B386" i="40"/>
  <c r="B388" i="40"/>
  <c r="C228" i="41" l="1"/>
  <c r="C173" i="41"/>
  <c r="C183" i="41"/>
  <c r="C193" i="41"/>
  <c r="C223" i="41"/>
  <c r="C213" i="41"/>
  <c r="K229" i="41"/>
  <c r="T14" i="41"/>
  <c r="J223" i="41"/>
  <c r="J193" i="41"/>
  <c r="J173" i="41"/>
  <c r="J213" i="41"/>
  <c r="J183" i="41"/>
  <c r="T24" i="41"/>
  <c r="T34" i="41"/>
  <c r="T54" i="41"/>
  <c r="T64" i="41"/>
  <c r="J98" i="56"/>
  <c r="J96" i="56"/>
  <c r="J95" i="56"/>
  <c r="J94" i="56"/>
  <c r="G44" i="56"/>
  <c r="G43" i="56"/>
  <c r="K39" i="56"/>
  <c r="K63" i="56" s="1"/>
  <c r="I39" i="56"/>
  <c r="G39" i="56"/>
  <c r="H49" i="56" s="1"/>
  <c r="G71" i="56" s="1"/>
  <c r="P27" i="56"/>
  <c r="P26" i="56"/>
  <c r="P25" i="56"/>
  <c r="P24" i="56"/>
  <c r="P23" i="56"/>
  <c r="P22" i="56"/>
  <c r="P21" i="56"/>
  <c r="P20" i="56"/>
  <c r="P19" i="56"/>
  <c r="P18" i="56"/>
  <c r="P17" i="56"/>
  <c r="P16" i="56"/>
  <c r="P15" i="56"/>
  <c r="P14" i="56"/>
  <c r="P13" i="56"/>
  <c r="P12" i="56"/>
  <c r="P11" i="56"/>
  <c r="P10" i="56"/>
  <c r="P9" i="56"/>
  <c r="P8" i="56"/>
  <c r="M27" i="56"/>
  <c r="M26" i="56"/>
  <c r="M25" i="56"/>
  <c r="M24" i="56"/>
  <c r="M23" i="56"/>
  <c r="M22" i="56"/>
  <c r="M21" i="56"/>
  <c r="M20" i="56"/>
  <c r="M19" i="56"/>
  <c r="M18" i="56"/>
  <c r="M17" i="56"/>
  <c r="M16" i="56"/>
  <c r="M15" i="56"/>
  <c r="M14" i="56"/>
  <c r="M13" i="56"/>
  <c r="M12" i="56"/>
  <c r="M11" i="56"/>
  <c r="M10" i="56"/>
  <c r="M9" i="56"/>
  <c r="M8" i="56"/>
  <c r="P273" i="56"/>
  <c r="O273" i="56"/>
  <c r="L273" i="56"/>
  <c r="K273" i="56"/>
  <c r="J273" i="56"/>
  <c r="I273" i="56"/>
  <c r="P272" i="56"/>
  <c r="O272" i="56"/>
  <c r="L272" i="56"/>
  <c r="K272" i="56"/>
  <c r="J272" i="56"/>
  <c r="I272" i="56"/>
  <c r="P271" i="56"/>
  <c r="O271" i="56"/>
  <c r="L271" i="56"/>
  <c r="K271" i="56"/>
  <c r="J271" i="56"/>
  <c r="I271" i="56"/>
  <c r="P270" i="56"/>
  <c r="O270" i="56"/>
  <c r="L270" i="56"/>
  <c r="K270" i="56"/>
  <c r="J270" i="56"/>
  <c r="I270" i="56"/>
  <c r="P269" i="56"/>
  <c r="O269" i="56"/>
  <c r="L269" i="56"/>
  <c r="K269" i="56"/>
  <c r="J269" i="56"/>
  <c r="I269" i="56"/>
  <c r="P268" i="56"/>
  <c r="O268" i="56"/>
  <c r="L268" i="56"/>
  <c r="K268" i="56"/>
  <c r="J268" i="56"/>
  <c r="I268" i="56"/>
  <c r="P267" i="56"/>
  <c r="O267" i="56"/>
  <c r="L267" i="56"/>
  <c r="K267" i="56"/>
  <c r="J267" i="56"/>
  <c r="I267" i="56"/>
  <c r="P266" i="56"/>
  <c r="O266" i="56"/>
  <c r="L266" i="56"/>
  <c r="K266" i="56"/>
  <c r="J266" i="56"/>
  <c r="I266" i="56"/>
  <c r="B114" i="56"/>
  <c r="B113" i="56"/>
  <c r="B112" i="56"/>
  <c r="B111" i="56"/>
  <c r="B110" i="56"/>
  <c r="B109" i="56"/>
  <c r="B108" i="56"/>
  <c r="M108" i="56" s="1"/>
  <c r="B107" i="56"/>
  <c r="B106" i="56"/>
  <c r="K62" i="56"/>
  <c r="K60" i="56"/>
  <c r="L57" i="56" a="1"/>
  <c r="L57" i="56" s="1"/>
  <c r="L54" i="56"/>
  <c r="L52" i="56"/>
  <c r="L49" i="56"/>
  <c r="K71" i="56" s="1"/>
  <c r="G89" i="56"/>
  <c r="J27" i="56"/>
  <c r="G27" i="56"/>
  <c r="J26" i="56"/>
  <c r="G26" i="56"/>
  <c r="J25" i="56"/>
  <c r="G25" i="56"/>
  <c r="J24" i="56"/>
  <c r="G24" i="56"/>
  <c r="J23" i="56"/>
  <c r="G23" i="56"/>
  <c r="J22" i="56"/>
  <c r="G22" i="56"/>
  <c r="J21" i="56"/>
  <c r="G21" i="56"/>
  <c r="J20" i="56"/>
  <c r="G20" i="56"/>
  <c r="J19" i="56"/>
  <c r="G19" i="56"/>
  <c r="J18" i="56"/>
  <c r="G18" i="56"/>
  <c r="J17" i="56"/>
  <c r="G17" i="56"/>
  <c r="J16" i="56"/>
  <c r="G16" i="56"/>
  <c r="J15" i="56"/>
  <c r="G15" i="56"/>
  <c r="J14" i="56"/>
  <c r="G14" i="56"/>
  <c r="J13" i="56"/>
  <c r="G13" i="56"/>
  <c r="J12" i="56"/>
  <c r="G12" i="56"/>
  <c r="J11" i="56"/>
  <c r="G11" i="56"/>
  <c r="J10" i="56"/>
  <c r="G10" i="56"/>
  <c r="J9" i="56"/>
  <c r="G9" i="56"/>
  <c r="J8" i="56"/>
  <c r="G8" i="56"/>
  <c r="B157" i="55"/>
  <c r="B156" i="55"/>
  <c r="B155" i="55"/>
  <c r="B154" i="55"/>
  <c r="B153" i="55"/>
  <c r="B152" i="55"/>
  <c r="B151" i="55"/>
  <c r="B150" i="55"/>
  <c r="B149" i="55"/>
  <c r="G141" i="55"/>
  <c r="G135" i="55"/>
  <c r="G126" i="55"/>
  <c r="G120" i="55"/>
  <c r="R109" i="55"/>
  <c r="H122" i="55" s="1"/>
  <c r="L109" i="55"/>
  <c r="V106" i="55"/>
  <c r="W103" i="55"/>
  <c r="V103" i="55"/>
  <c r="I103" i="55"/>
  <c r="L102" i="55"/>
  <c r="V99" i="55"/>
  <c r="W96" i="55"/>
  <c r="V96" i="55"/>
  <c r="I96" i="55"/>
  <c r="L95" i="55"/>
  <c r="X92" i="55"/>
  <c r="W92" i="55"/>
  <c r="I92" i="55" s="1"/>
  <c r="V92" i="55"/>
  <c r="X89" i="55"/>
  <c r="W89" i="55" s="1"/>
  <c r="V89" i="55"/>
  <c r="L88" i="55"/>
  <c r="V86" i="55"/>
  <c r="X85" i="55"/>
  <c r="W85" i="55" s="1"/>
  <c r="V83" i="55"/>
  <c r="X81" i="55"/>
  <c r="W81" i="55"/>
  <c r="V80" i="55"/>
  <c r="X77" i="55"/>
  <c r="W77" i="55" s="1"/>
  <c r="V77" i="55"/>
  <c r="L73" i="55"/>
  <c r="V72" i="55"/>
  <c r="X70" i="55"/>
  <c r="W70" i="55"/>
  <c r="V69" i="55"/>
  <c r="X67" i="55"/>
  <c r="W67" i="55" s="1"/>
  <c r="V66" i="55"/>
  <c r="X63" i="55"/>
  <c r="W63" i="55"/>
  <c r="V63" i="55"/>
  <c r="X60" i="55"/>
  <c r="W60" i="55" s="1"/>
  <c r="V60" i="55"/>
  <c r="L56" i="55"/>
  <c r="X54" i="55"/>
  <c r="W54" i="55" s="1"/>
  <c r="V53" i="55"/>
  <c r="X52" i="55"/>
  <c r="W52" i="55"/>
  <c r="X50" i="55"/>
  <c r="W50" i="55"/>
  <c r="V50" i="55"/>
  <c r="X48" i="55"/>
  <c r="W48" i="55" s="1"/>
  <c r="V47" i="55"/>
  <c r="X45" i="55"/>
  <c r="W45" i="55"/>
  <c r="X44" i="55"/>
  <c r="W44" i="55"/>
  <c r="V44" i="55"/>
  <c r="L43" i="55"/>
  <c r="J93" i="56" s="1"/>
  <c r="X40" i="55"/>
  <c r="W40" i="55" s="1"/>
  <c r="V40" i="55"/>
  <c r="X37" i="55"/>
  <c r="W37" i="55"/>
  <c r="V37" i="55"/>
  <c r="R8" i="55"/>
  <c r="S8" i="55" s="1"/>
  <c r="N8" i="55"/>
  <c r="J8" i="55"/>
  <c r="F8" i="55"/>
  <c r="B1" i="55"/>
  <c r="J98" i="54"/>
  <c r="J96" i="54"/>
  <c r="J95" i="54"/>
  <c r="J94" i="54"/>
  <c r="G44" i="54"/>
  <c r="G43" i="54"/>
  <c r="K39" i="54"/>
  <c r="L62" i="54" s="1"/>
  <c r="I39" i="54"/>
  <c r="J62" i="54" s="1"/>
  <c r="G39" i="54"/>
  <c r="J100" i="56" l="1"/>
  <c r="N21" i="60"/>
  <c r="I151" i="55"/>
  <c r="I131" i="58"/>
  <c r="J101" i="56"/>
  <c r="H137" i="55" s="1"/>
  <c r="R21" i="55"/>
  <c r="V111" i="15"/>
  <c r="B131" i="55"/>
  <c r="R33" i="55"/>
  <c r="W43" i="55"/>
  <c r="I37" i="55" s="1"/>
  <c r="W56" i="55"/>
  <c r="I44" i="55" s="1"/>
  <c r="K55" i="54"/>
  <c r="I55" i="54"/>
  <c r="K54" i="54"/>
  <c r="I54" i="54"/>
  <c r="K63" i="54"/>
  <c r="I63" i="54"/>
  <c r="K62" i="54"/>
  <c r="I62" i="54"/>
  <c r="L55" i="54"/>
  <c r="J55" i="54"/>
  <c r="L54" i="54"/>
  <c r="J54" i="54"/>
  <c r="L63" i="54"/>
  <c r="J63" i="54"/>
  <c r="C229" i="41"/>
  <c r="D108" i="56"/>
  <c r="H108" i="56"/>
  <c r="F108" i="56"/>
  <c r="F268" i="56" s="1"/>
  <c r="D107" i="56"/>
  <c r="D150" i="55" s="1"/>
  <c r="H151" i="55"/>
  <c r="C107" i="56"/>
  <c r="C150" i="55" s="1"/>
  <c r="N107" i="56"/>
  <c r="C108" i="56"/>
  <c r="C151" i="55" s="1"/>
  <c r="E108" i="56"/>
  <c r="E151" i="55" s="1"/>
  <c r="G108" i="56"/>
  <c r="T71" i="41"/>
  <c r="J229" i="41"/>
  <c r="V110" i="55"/>
  <c r="S117" i="15" s="1"/>
  <c r="T117" i="15" s="1"/>
  <c r="L63" i="56"/>
  <c r="L51" i="56"/>
  <c r="L53" i="56"/>
  <c r="L55" i="56"/>
  <c r="K59" i="56"/>
  <c r="K61" i="56"/>
  <c r="G78" i="56"/>
  <c r="H78" i="56"/>
  <c r="K78" i="56"/>
  <c r="L78" i="56"/>
  <c r="K80" i="56"/>
  <c r="L82" i="56" s="1"/>
  <c r="L89" i="56" s="1"/>
  <c r="L80" i="56"/>
  <c r="L86" i="56" s="1"/>
  <c r="J51" i="56"/>
  <c r="J68" i="56" s="1"/>
  <c r="J77" i="56" s="1"/>
  <c r="J52" i="56"/>
  <c r="J53" i="56"/>
  <c r="J54" i="56"/>
  <c r="J55" i="56"/>
  <c r="I59" i="56"/>
  <c r="I69" i="56" s="1"/>
  <c r="I60" i="56"/>
  <c r="I62" i="56"/>
  <c r="I63" i="56"/>
  <c r="J49" i="56"/>
  <c r="I71" i="56" s="1"/>
  <c r="G51" i="56"/>
  <c r="H51" i="56" s="1"/>
  <c r="I51" i="56"/>
  <c r="K51" i="56"/>
  <c r="K68" i="56" s="1"/>
  <c r="K77" i="56" s="1"/>
  <c r="G52" i="56"/>
  <c r="H52" i="56" s="1"/>
  <c r="I52" i="56"/>
  <c r="K52" i="56"/>
  <c r="G53" i="56"/>
  <c r="H53" i="56" s="1"/>
  <c r="I53" i="56"/>
  <c r="K53" i="56"/>
  <c r="G54" i="56"/>
  <c r="H54" i="56" s="1"/>
  <c r="I54" i="56"/>
  <c r="K54" i="56"/>
  <c r="G55" i="56"/>
  <c r="H55" i="56" s="1"/>
  <c r="I55" i="56"/>
  <c r="K55" i="56"/>
  <c r="H57" i="56" a="1"/>
  <c r="H57" i="56" s="1"/>
  <c r="J57" i="56"/>
  <c r="J59" i="56"/>
  <c r="J69" i="56" s="1"/>
  <c r="L59" i="56"/>
  <c r="L69" i="56" s="1"/>
  <c r="J60" i="56"/>
  <c r="L60" i="56"/>
  <c r="J61" i="56"/>
  <c r="L61" i="56"/>
  <c r="J62" i="56"/>
  <c r="L62" i="56"/>
  <c r="J63" i="56"/>
  <c r="L68" i="56"/>
  <c r="L77" i="56" s="1"/>
  <c r="H71" i="56"/>
  <c r="J71" i="56"/>
  <c r="L71" i="56"/>
  <c r="M268" i="56"/>
  <c r="I61" i="56"/>
  <c r="I68" i="56"/>
  <c r="I77" i="56" s="1"/>
  <c r="K69" i="56"/>
  <c r="W73" i="55"/>
  <c r="I60" i="55" s="1"/>
  <c r="W88" i="55"/>
  <c r="I77" i="55" s="1"/>
  <c r="W95" i="55"/>
  <c r="I89" i="55"/>
  <c r="B146" i="55"/>
  <c r="B116" i="55"/>
  <c r="P273" i="54"/>
  <c r="O273" i="54"/>
  <c r="L273" i="54"/>
  <c r="K273" i="54"/>
  <c r="J273" i="54"/>
  <c r="I273" i="54"/>
  <c r="P272" i="54"/>
  <c r="O272" i="54"/>
  <c r="L272" i="54"/>
  <c r="K272" i="54"/>
  <c r="J272" i="54"/>
  <c r="I272" i="54"/>
  <c r="P271" i="54"/>
  <c r="O271" i="54"/>
  <c r="L271" i="54"/>
  <c r="K271" i="54"/>
  <c r="J271" i="54"/>
  <c r="I271" i="54"/>
  <c r="P270" i="54"/>
  <c r="O270" i="54"/>
  <c r="L270" i="54"/>
  <c r="K270" i="54"/>
  <c r="J270" i="54"/>
  <c r="I270" i="54"/>
  <c r="P269" i="54"/>
  <c r="O269" i="54"/>
  <c r="L269" i="54"/>
  <c r="K269" i="54"/>
  <c r="J269" i="54"/>
  <c r="I269" i="54"/>
  <c r="P268" i="54"/>
  <c r="O268" i="54"/>
  <c r="L268" i="54"/>
  <c r="K268" i="54"/>
  <c r="J268" i="54"/>
  <c r="I268" i="54"/>
  <c r="P267" i="54"/>
  <c r="O267" i="54"/>
  <c r="L267" i="54"/>
  <c r="K267" i="54"/>
  <c r="J267" i="54"/>
  <c r="I267" i="54"/>
  <c r="P266" i="54"/>
  <c r="O266" i="54"/>
  <c r="L266" i="54"/>
  <c r="K266" i="54"/>
  <c r="J266" i="54"/>
  <c r="I266" i="54"/>
  <c r="B114" i="54"/>
  <c r="B113" i="54"/>
  <c r="B112" i="54"/>
  <c r="B111" i="54"/>
  <c r="B110" i="54"/>
  <c r="B109" i="54"/>
  <c r="B108" i="54"/>
  <c r="B107" i="54"/>
  <c r="B106" i="54"/>
  <c r="G89" i="54"/>
  <c r="J27" i="54"/>
  <c r="G27" i="54"/>
  <c r="J26" i="54"/>
  <c r="G26" i="54"/>
  <c r="J25" i="54"/>
  <c r="G25" i="54"/>
  <c r="J24" i="54"/>
  <c r="G24" i="54"/>
  <c r="J23" i="54"/>
  <c r="G23" i="54"/>
  <c r="J22" i="54"/>
  <c r="G22" i="54"/>
  <c r="J21" i="54"/>
  <c r="G21" i="54"/>
  <c r="J20" i="54"/>
  <c r="G20" i="54"/>
  <c r="J19" i="54"/>
  <c r="G19" i="54"/>
  <c r="J18" i="54"/>
  <c r="G18" i="54"/>
  <c r="J17" i="54"/>
  <c r="G17" i="54"/>
  <c r="J16" i="54"/>
  <c r="G16" i="54"/>
  <c r="J15" i="54"/>
  <c r="G15" i="54"/>
  <c r="J14" i="54"/>
  <c r="G14" i="54"/>
  <c r="J13" i="54"/>
  <c r="G13" i="54"/>
  <c r="J12" i="54"/>
  <c r="G12" i="54"/>
  <c r="J11" i="54"/>
  <c r="G11" i="54"/>
  <c r="J10" i="54"/>
  <c r="G10" i="54"/>
  <c r="J9" i="54"/>
  <c r="G9" i="54"/>
  <c r="J8" i="54"/>
  <c r="G8" i="54"/>
  <c r="B157" i="53"/>
  <c r="B156" i="53"/>
  <c r="B155" i="53"/>
  <c r="B154" i="53"/>
  <c r="B153" i="53"/>
  <c r="B152" i="53"/>
  <c r="B151" i="53"/>
  <c r="B150" i="53"/>
  <c r="B149" i="53"/>
  <c r="G141" i="53"/>
  <c r="G135" i="53"/>
  <c r="G126" i="53"/>
  <c r="G120" i="53"/>
  <c r="R109" i="53"/>
  <c r="H122" i="53" s="1"/>
  <c r="L109" i="53"/>
  <c r="J100" i="54" s="1"/>
  <c r="V106" i="53"/>
  <c r="W103" i="53"/>
  <c r="V103" i="53"/>
  <c r="I103" i="53"/>
  <c r="L102" i="53"/>
  <c r="J99" i="54" s="1"/>
  <c r="V99" i="53"/>
  <c r="W96" i="53"/>
  <c r="V96" i="53"/>
  <c r="I96" i="53"/>
  <c r="L95" i="53"/>
  <c r="X92" i="53"/>
  <c r="W92" i="53"/>
  <c r="I92" i="53" s="1"/>
  <c r="V92" i="53"/>
  <c r="X89" i="53"/>
  <c r="W89" i="53"/>
  <c r="W95" i="53" s="1"/>
  <c r="V89" i="53"/>
  <c r="I89" i="53"/>
  <c r="L88" i="53"/>
  <c r="V86" i="53"/>
  <c r="X85" i="53"/>
  <c r="W85" i="53"/>
  <c r="V83" i="53"/>
  <c r="X81" i="53"/>
  <c r="W81" i="53"/>
  <c r="V80" i="53"/>
  <c r="X77" i="53"/>
  <c r="W77" i="53"/>
  <c r="W88" i="53" s="1"/>
  <c r="I77" i="53" s="1"/>
  <c r="V77" i="53"/>
  <c r="L73" i="53"/>
  <c r="V72" i="53"/>
  <c r="X70" i="53"/>
  <c r="W70" i="53"/>
  <c r="V69" i="53"/>
  <c r="X67" i="53"/>
  <c r="W67" i="53"/>
  <c r="V66" i="53"/>
  <c r="X63" i="53"/>
  <c r="W63" i="53"/>
  <c r="V63" i="53"/>
  <c r="X60" i="53"/>
  <c r="W60" i="53"/>
  <c r="W73" i="53" s="1"/>
  <c r="I60" i="53" s="1"/>
  <c r="V60" i="53"/>
  <c r="L56" i="53"/>
  <c r="X54" i="53"/>
  <c r="W54" i="53"/>
  <c r="V53" i="53"/>
  <c r="X52" i="53"/>
  <c r="W52" i="53"/>
  <c r="X50" i="53"/>
  <c r="W50" i="53"/>
  <c r="V50" i="53"/>
  <c r="X48" i="53"/>
  <c r="W48" i="53"/>
  <c r="V47" i="53"/>
  <c r="X45" i="53"/>
  <c r="W45" i="53"/>
  <c r="X44" i="53"/>
  <c r="W44" i="53"/>
  <c r="V44" i="53"/>
  <c r="L43" i="53"/>
  <c r="J93" i="54" s="1"/>
  <c r="X40" i="53"/>
  <c r="W40" i="53"/>
  <c r="V40" i="53"/>
  <c r="X37" i="53"/>
  <c r="W37" i="53"/>
  <c r="W43" i="53" s="1"/>
  <c r="I37" i="53" s="1"/>
  <c r="V37" i="53"/>
  <c r="R8" i="53"/>
  <c r="S8" i="53" s="1"/>
  <c r="N8" i="53"/>
  <c r="J8" i="53"/>
  <c r="F8" i="53"/>
  <c r="B1" i="53"/>
  <c r="H115" i="7"/>
  <c r="G262" i="8"/>
  <c r="G214" i="8"/>
  <c r="G197" i="8"/>
  <c r="G142" i="8"/>
  <c r="G132" i="8"/>
  <c r="X104" i="8" s="1"/>
  <c r="G104" i="8"/>
  <c r="X76" i="8" s="1"/>
  <c r="G76" i="8"/>
  <c r="F20" i="52"/>
  <c r="J101" i="54" l="1"/>
  <c r="H137" i="53" s="1"/>
  <c r="N20" i="60"/>
  <c r="N17" i="55"/>
  <c r="N16" i="58"/>
  <c r="J150" i="55"/>
  <c r="J130" i="58"/>
  <c r="F151" i="55"/>
  <c r="F131" i="58"/>
  <c r="G151" i="55"/>
  <c r="G131" i="58"/>
  <c r="H268" i="56"/>
  <c r="H131" i="58"/>
  <c r="R21" i="53"/>
  <c r="V110" i="53" s="1"/>
  <c r="B131" i="53"/>
  <c r="R33" i="53"/>
  <c r="N267" i="56"/>
  <c r="E268" i="56"/>
  <c r="D267" i="56"/>
  <c r="G268" i="56"/>
  <c r="D151" i="55"/>
  <c r="D268" i="56"/>
  <c r="F108" i="54"/>
  <c r="F151" i="53" s="1"/>
  <c r="G108" i="54"/>
  <c r="G151" i="53" s="1"/>
  <c r="E108" i="54"/>
  <c r="E151" i="53" s="1"/>
  <c r="C108" i="54"/>
  <c r="C151" i="53" s="1"/>
  <c r="H108" i="54"/>
  <c r="H151" i="53" s="1"/>
  <c r="D108" i="54"/>
  <c r="D151" i="53" s="1"/>
  <c r="N107" i="54"/>
  <c r="J150" i="53" s="1"/>
  <c r="M107" i="54"/>
  <c r="I150" i="53" s="1"/>
  <c r="C107" i="54"/>
  <c r="C150" i="53" s="1"/>
  <c r="D107" i="54"/>
  <c r="D150" i="53" s="1"/>
  <c r="H68" i="56"/>
  <c r="H77" i="56" s="1"/>
  <c r="L70" i="56"/>
  <c r="L79" i="56" s="1"/>
  <c r="I70" i="56"/>
  <c r="I79" i="56" s="1"/>
  <c r="G68" i="56"/>
  <c r="G77" i="56" s="1"/>
  <c r="I78" i="56"/>
  <c r="J78" i="56"/>
  <c r="G80" i="56"/>
  <c r="G63" i="56"/>
  <c r="H63" i="56" s="1"/>
  <c r="G60" i="56"/>
  <c r="H60" i="56" s="1"/>
  <c r="H80" i="56"/>
  <c r="G62" i="56"/>
  <c r="H62" i="56" s="1"/>
  <c r="G61" i="56"/>
  <c r="H61" i="56" s="1"/>
  <c r="G59" i="56"/>
  <c r="L84" i="56"/>
  <c r="L85" i="56"/>
  <c r="L83" i="56"/>
  <c r="C267" i="56"/>
  <c r="K70" i="56"/>
  <c r="K79" i="56" s="1"/>
  <c r="C268" i="56"/>
  <c r="J70" i="56"/>
  <c r="J79" i="56" s="1"/>
  <c r="I80" i="56"/>
  <c r="J82" i="56" s="1"/>
  <c r="J89" i="56" s="1"/>
  <c r="J80" i="56"/>
  <c r="J86" i="56" s="1"/>
  <c r="I109" i="55"/>
  <c r="S115" i="15"/>
  <c r="T115" i="15" s="1"/>
  <c r="S116" i="15" s="1"/>
  <c r="W56" i="53"/>
  <c r="I44" i="53" s="1"/>
  <c r="J49" i="54"/>
  <c r="I71" i="54" s="1"/>
  <c r="I51" i="54"/>
  <c r="I68" i="54" s="1"/>
  <c r="I77" i="54" s="1"/>
  <c r="K51" i="54"/>
  <c r="K68" i="54" s="1"/>
  <c r="K77" i="54" s="1"/>
  <c r="I52" i="54"/>
  <c r="K52" i="54"/>
  <c r="I53" i="54"/>
  <c r="K53" i="54"/>
  <c r="H57" i="54" a="1"/>
  <c r="H57" i="54" s="1"/>
  <c r="J57" i="54"/>
  <c r="J59" i="54"/>
  <c r="L59" i="54"/>
  <c r="J60" i="54"/>
  <c r="L60" i="54"/>
  <c r="J61" i="54"/>
  <c r="L61" i="54"/>
  <c r="J69" i="54"/>
  <c r="L69" i="54"/>
  <c r="H71" i="54"/>
  <c r="J71" i="54"/>
  <c r="L71" i="54"/>
  <c r="H49" i="54"/>
  <c r="L49" i="54"/>
  <c r="K71" i="54" s="1"/>
  <c r="J51" i="54"/>
  <c r="J68" i="54" s="1"/>
  <c r="J77" i="54" s="1"/>
  <c r="L51" i="54"/>
  <c r="L68" i="54" s="1"/>
  <c r="L77" i="54" s="1"/>
  <c r="J52" i="54"/>
  <c r="L52" i="54"/>
  <c r="J53" i="54"/>
  <c r="L53" i="54"/>
  <c r="L57" i="54" a="1"/>
  <c r="L57" i="54" s="1"/>
  <c r="I59" i="54"/>
  <c r="I69" i="54" s="1"/>
  <c r="K59" i="54"/>
  <c r="K69" i="54" s="1"/>
  <c r="I60" i="54"/>
  <c r="K60" i="54"/>
  <c r="I61" i="54"/>
  <c r="K61" i="54"/>
  <c r="M267" i="54"/>
  <c r="E268" i="54"/>
  <c r="G268" i="54"/>
  <c r="D268" i="54"/>
  <c r="F268" i="54"/>
  <c r="H268" i="54"/>
  <c r="I109" i="53"/>
  <c r="B146" i="53"/>
  <c r="B116" i="53"/>
  <c r="D158" i="41"/>
  <c r="E158" i="41"/>
  <c r="F158" i="41"/>
  <c r="G158" i="41"/>
  <c r="H158" i="41"/>
  <c r="I158" i="41"/>
  <c r="J158" i="41"/>
  <c r="K158" i="41"/>
  <c r="D159" i="41"/>
  <c r="E159" i="41"/>
  <c r="F159" i="41"/>
  <c r="G159" i="41"/>
  <c r="H159" i="41"/>
  <c r="I159" i="41"/>
  <c r="J159" i="41"/>
  <c r="K159" i="41"/>
  <c r="D160" i="41"/>
  <c r="E160" i="41"/>
  <c r="F160" i="41"/>
  <c r="G160" i="41"/>
  <c r="H160" i="41"/>
  <c r="I160" i="41"/>
  <c r="J160" i="41"/>
  <c r="K160" i="41"/>
  <c r="D161" i="41"/>
  <c r="E161" i="41"/>
  <c r="F161" i="41"/>
  <c r="G161" i="41"/>
  <c r="H161" i="41"/>
  <c r="I161" i="41"/>
  <c r="J161" i="41"/>
  <c r="K161" i="41"/>
  <c r="D162" i="41"/>
  <c r="E162" i="41"/>
  <c r="F162" i="41"/>
  <c r="G162" i="41"/>
  <c r="H162" i="41"/>
  <c r="I162" i="41"/>
  <c r="J162" i="41"/>
  <c r="K162" i="41"/>
  <c r="D163" i="41"/>
  <c r="E163" i="41"/>
  <c r="F163" i="41"/>
  <c r="G163" i="41"/>
  <c r="H163" i="41"/>
  <c r="I163" i="41"/>
  <c r="J163" i="41"/>
  <c r="K163" i="41"/>
  <c r="O176" i="40"/>
  <c r="L176" i="40"/>
  <c r="C161" i="41" s="1"/>
  <c r="O172" i="40"/>
  <c r="L172" i="40"/>
  <c r="O174" i="40"/>
  <c r="L174" i="40"/>
  <c r="C160" i="41" s="1"/>
  <c r="D149" i="41"/>
  <c r="E149" i="41"/>
  <c r="F149" i="41"/>
  <c r="G149" i="41"/>
  <c r="H149" i="41"/>
  <c r="I149" i="41"/>
  <c r="J149" i="41"/>
  <c r="D150" i="41"/>
  <c r="E150" i="41"/>
  <c r="F150" i="41"/>
  <c r="G150" i="41"/>
  <c r="H150" i="41"/>
  <c r="I150" i="41"/>
  <c r="J150" i="41"/>
  <c r="D151" i="41"/>
  <c r="E151" i="41"/>
  <c r="F151" i="41"/>
  <c r="G151" i="41"/>
  <c r="H151" i="41"/>
  <c r="I151" i="41"/>
  <c r="J151" i="41"/>
  <c r="D152" i="41"/>
  <c r="E152" i="41"/>
  <c r="F152" i="41"/>
  <c r="G152" i="41"/>
  <c r="H152" i="41"/>
  <c r="I152" i="41"/>
  <c r="J152" i="41"/>
  <c r="D153" i="41"/>
  <c r="E153" i="41"/>
  <c r="F153" i="41"/>
  <c r="G153" i="41"/>
  <c r="H153" i="41"/>
  <c r="I153" i="41"/>
  <c r="J153" i="41"/>
  <c r="D154" i="41"/>
  <c r="E154" i="41"/>
  <c r="F154" i="41"/>
  <c r="G154" i="41"/>
  <c r="H154" i="41"/>
  <c r="I154" i="41"/>
  <c r="J154" i="41"/>
  <c r="D155" i="41"/>
  <c r="E155" i="41"/>
  <c r="F155" i="41"/>
  <c r="G155" i="41"/>
  <c r="H155" i="41"/>
  <c r="I155" i="41"/>
  <c r="J155" i="41"/>
  <c r="O156" i="40"/>
  <c r="L156" i="40"/>
  <c r="N10" i="41" s="1"/>
  <c r="K153" i="41"/>
  <c r="O160" i="40"/>
  <c r="L160" i="40"/>
  <c r="N12" i="41" s="1"/>
  <c r="D143" i="41"/>
  <c r="E143" i="41"/>
  <c r="F143" i="41"/>
  <c r="G143" i="41"/>
  <c r="H143" i="41"/>
  <c r="I143" i="41"/>
  <c r="J143" i="41"/>
  <c r="K143" i="41"/>
  <c r="D144" i="41"/>
  <c r="E144" i="41"/>
  <c r="F144" i="41"/>
  <c r="G144" i="41"/>
  <c r="H144" i="41"/>
  <c r="I144" i="41"/>
  <c r="J144" i="41"/>
  <c r="K144" i="41"/>
  <c r="D145" i="41"/>
  <c r="E145" i="41"/>
  <c r="F145" i="41"/>
  <c r="G145" i="41"/>
  <c r="H145" i="41"/>
  <c r="I145" i="41"/>
  <c r="J145" i="41"/>
  <c r="K145" i="41"/>
  <c r="D146" i="41"/>
  <c r="E146" i="41"/>
  <c r="F146" i="41"/>
  <c r="G146" i="41"/>
  <c r="H146" i="41"/>
  <c r="I146" i="41"/>
  <c r="J146" i="41"/>
  <c r="K146" i="41"/>
  <c r="K8" i="41"/>
  <c r="K7" i="41"/>
  <c r="O137" i="40"/>
  <c r="C143" i="41"/>
  <c r="O139" i="40"/>
  <c r="L139" i="40"/>
  <c r="C144" i="41" s="1"/>
  <c r="D135" i="41"/>
  <c r="E135" i="41"/>
  <c r="F135" i="41"/>
  <c r="G135" i="41"/>
  <c r="H135" i="41"/>
  <c r="I135" i="41"/>
  <c r="K135" i="41"/>
  <c r="D136" i="41"/>
  <c r="E136" i="41"/>
  <c r="F136" i="41"/>
  <c r="G136" i="41"/>
  <c r="H136" i="41"/>
  <c r="I136" i="41"/>
  <c r="J136" i="41"/>
  <c r="D137" i="41"/>
  <c r="E137" i="41"/>
  <c r="G137" i="41"/>
  <c r="H137" i="41"/>
  <c r="I137" i="41"/>
  <c r="J137" i="41"/>
  <c r="K137" i="41"/>
  <c r="D138" i="41"/>
  <c r="E138" i="41"/>
  <c r="F138" i="41"/>
  <c r="H138" i="41"/>
  <c r="I138" i="41"/>
  <c r="J138" i="41"/>
  <c r="K138" i="41"/>
  <c r="D139" i="41"/>
  <c r="E139" i="41"/>
  <c r="F139" i="41"/>
  <c r="G139" i="41"/>
  <c r="I139" i="41"/>
  <c r="J139" i="41"/>
  <c r="K139" i="41"/>
  <c r="D140" i="41"/>
  <c r="E140" i="41"/>
  <c r="F140" i="41"/>
  <c r="G140" i="41"/>
  <c r="H140" i="41"/>
  <c r="J140" i="41"/>
  <c r="K140" i="41"/>
  <c r="L125" i="40"/>
  <c r="F137" i="41" s="1"/>
  <c r="O123" i="40"/>
  <c r="L123" i="40"/>
  <c r="C136" i="41" s="1"/>
  <c r="O125" i="40"/>
  <c r="C137" i="41"/>
  <c r="O127" i="40"/>
  <c r="L127" i="40"/>
  <c r="C138" i="41" s="1"/>
  <c r="D131" i="41"/>
  <c r="E131" i="41"/>
  <c r="F131" i="41"/>
  <c r="H131" i="41"/>
  <c r="I131" i="41"/>
  <c r="J131" i="41"/>
  <c r="K131" i="41"/>
  <c r="K130" i="41"/>
  <c r="J130" i="41"/>
  <c r="I130" i="41"/>
  <c r="H130" i="41"/>
  <c r="G130" i="41"/>
  <c r="E130" i="41"/>
  <c r="D130" i="41"/>
  <c r="D111" i="41"/>
  <c r="E111" i="41"/>
  <c r="F111" i="41"/>
  <c r="G111" i="41"/>
  <c r="H111" i="41"/>
  <c r="I111" i="41"/>
  <c r="J111" i="41"/>
  <c r="K111" i="41"/>
  <c r="D112" i="41"/>
  <c r="E112" i="41"/>
  <c r="F112" i="41"/>
  <c r="G112" i="41"/>
  <c r="H112" i="41"/>
  <c r="I112" i="41"/>
  <c r="J112" i="41"/>
  <c r="K112" i="41"/>
  <c r="D113" i="41"/>
  <c r="E113" i="41"/>
  <c r="F113" i="41"/>
  <c r="G113" i="41"/>
  <c r="H113" i="41"/>
  <c r="I113" i="41"/>
  <c r="J113" i="41"/>
  <c r="K113" i="41"/>
  <c r="D114" i="41"/>
  <c r="E114" i="41"/>
  <c r="F114" i="41"/>
  <c r="G114" i="41"/>
  <c r="H114" i="41"/>
  <c r="I114" i="41"/>
  <c r="J114" i="41"/>
  <c r="K114" i="41"/>
  <c r="D115" i="41"/>
  <c r="E115" i="41"/>
  <c r="F115" i="41"/>
  <c r="G115" i="41"/>
  <c r="H115" i="41"/>
  <c r="I115" i="41"/>
  <c r="J115" i="41"/>
  <c r="K115" i="41"/>
  <c r="D116" i="41"/>
  <c r="E116" i="41"/>
  <c r="F116" i="41"/>
  <c r="G116" i="41"/>
  <c r="H116" i="41"/>
  <c r="I116" i="41"/>
  <c r="J116" i="41"/>
  <c r="K116" i="41"/>
  <c r="D117" i="41"/>
  <c r="E117" i="41"/>
  <c r="F117" i="41"/>
  <c r="G117" i="41"/>
  <c r="H117" i="41"/>
  <c r="I117" i="41"/>
  <c r="J117" i="41"/>
  <c r="K117" i="41"/>
  <c r="D118" i="41"/>
  <c r="E118" i="41"/>
  <c r="F118" i="41"/>
  <c r="G118" i="41"/>
  <c r="H118" i="41"/>
  <c r="I118" i="41"/>
  <c r="J118" i="41"/>
  <c r="K118" i="41"/>
  <c r="D119" i="41"/>
  <c r="E119" i="41"/>
  <c r="F119" i="41"/>
  <c r="G119" i="41"/>
  <c r="H119" i="41"/>
  <c r="I119" i="41"/>
  <c r="J119" i="41"/>
  <c r="K119" i="41"/>
  <c r="D120" i="41"/>
  <c r="E120" i="41"/>
  <c r="F120" i="41"/>
  <c r="G120" i="41"/>
  <c r="H120" i="41"/>
  <c r="I120" i="41"/>
  <c r="J120" i="41"/>
  <c r="K120" i="41"/>
  <c r="D121" i="41"/>
  <c r="E121" i="41"/>
  <c r="F121" i="41"/>
  <c r="G121" i="41"/>
  <c r="H121" i="41"/>
  <c r="I121" i="41"/>
  <c r="J121" i="41"/>
  <c r="K121" i="41"/>
  <c r="D122" i="41"/>
  <c r="E122" i="41"/>
  <c r="F122" i="41"/>
  <c r="G122" i="41"/>
  <c r="H122" i="41"/>
  <c r="I122" i="41"/>
  <c r="J122" i="41"/>
  <c r="K122" i="41"/>
  <c r="D123" i="41"/>
  <c r="E123" i="41"/>
  <c r="F123" i="41"/>
  <c r="G123" i="41"/>
  <c r="H123" i="41"/>
  <c r="I123" i="41"/>
  <c r="J123" i="41"/>
  <c r="K123" i="41"/>
  <c r="D124" i="41"/>
  <c r="E124" i="41"/>
  <c r="F124" i="41"/>
  <c r="G124" i="41"/>
  <c r="H124" i="41"/>
  <c r="I124" i="41"/>
  <c r="J124" i="41"/>
  <c r="K124" i="41"/>
  <c r="D125" i="41"/>
  <c r="E125" i="41"/>
  <c r="F125" i="41"/>
  <c r="G125" i="41"/>
  <c r="H125" i="41"/>
  <c r="I125" i="41"/>
  <c r="J125" i="41"/>
  <c r="K125" i="41"/>
  <c r="D126" i="41"/>
  <c r="E126" i="41"/>
  <c r="F126" i="41"/>
  <c r="G126" i="41"/>
  <c r="H126" i="41"/>
  <c r="I126" i="41"/>
  <c r="J126" i="41"/>
  <c r="K126" i="41"/>
  <c r="D127" i="41"/>
  <c r="E127" i="41"/>
  <c r="F127" i="41"/>
  <c r="G127" i="41"/>
  <c r="H127" i="41"/>
  <c r="I127" i="41"/>
  <c r="J127" i="41"/>
  <c r="K127" i="41"/>
  <c r="E128" i="41"/>
  <c r="F128" i="41"/>
  <c r="G128" i="41"/>
  <c r="H128" i="41"/>
  <c r="I128" i="41"/>
  <c r="J128" i="41"/>
  <c r="K128" i="41"/>
  <c r="D129" i="41"/>
  <c r="F129" i="41"/>
  <c r="G129" i="41"/>
  <c r="H129" i="41"/>
  <c r="I129" i="41"/>
  <c r="J129" i="41"/>
  <c r="K129" i="41"/>
  <c r="E22" i="41"/>
  <c r="O110" i="40"/>
  <c r="L110" i="40"/>
  <c r="E129" i="41" s="1"/>
  <c r="O112" i="40"/>
  <c r="L112" i="40"/>
  <c r="F130" i="41" s="1"/>
  <c r="D128" i="41"/>
  <c r="O106" i="40"/>
  <c r="L106" i="40"/>
  <c r="E23" i="41" s="1"/>
  <c r="O104" i="40"/>
  <c r="L104" i="40"/>
  <c r="C126" i="41" s="1"/>
  <c r="D77" i="41"/>
  <c r="E77" i="41"/>
  <c r="F77" i="41"/>
  <c r="G77" i="41"/>
  <c r="H77" i="41"/>
  <c r="I77" i="41"/>
  <c r="J77" i="41"/>
  <c r="K77" i="41"/>
  <c r="D78" i="41"/>
  <c r="E78" i="41"/>
  <c r="F78" i="41"/>
  <c r="G78" i="41"/>
  <c r="H78" i="41"/>
  <c r="I78" i="41"/>
  <c r="J78" i="41"/>
  <c r="K78" i="41"/>
  <c r="D79" i="41"/>
  <c r="E79" i="41"/>
  <c r="F79" i="41"/>
  <c r="G79" i="41"/>
  <c r="H79" i="41"/>
  <c r="I79" i="41"/>
  <c r="J79" i="41"/>
  <c r="K79" i="41"/>
  <c r="D80" i="41"/>
  <c r="E80" i="41"/>
  <c r="F80" i="41"/>
  <c r="G80" i="41"/>
  <c r="H80" i="41"/>
  <c r="I80" i="41"/>
  <c r="J80" i="41"/>
  <c r="K80" i="41"/>
  <c r="D81" i="41"/>
  <c r="E81" i="41"/>
  <c r="F81" i="41"/>
  <c r="G81" i="41"/>
  <c r="H81" i="41"/>
  <c r="I81" i="41"/>
  <c r="J81" i="41"/>
  <c r="K81" i="41"/>
  <c r="D82" i="41"/>
  <c r="E82" i="41"/>
  <c r="F82" i="41"/>
  <c r="G82" i="41"/>
  <c r="H82" i="41"/>
  <c r="I82" i="41"/>
  <c r="J82" i="41"/>
  <c r="K82" i="41"/>
  <c r="D83" i="41"/>
  <c r="E83" i="41"/>
  <c r="F83" i="41"/>
  <c r="G83" i="41"/>
  <c r="H83" i="41"/>
  <c r="I83" i="41"/>
  <c r="J83" i="41"/>
  <c r="K83" i="41"/>
  <c r="D84" i="41"/>
  <c r="E84" i="41"/>
  <c r="F84" i="41"/>
  <c r="G84" i="41"/>
  <c r="H84" i="41"/>
  <c r="I84" i="41"/>
  <c r="J84" i="41"/>
  <c r="K84" i="41"/>
  <c r="D85" i="41"/>
  <c r="E85" i="41"/>
  <c r="F85" i="41"/>
  <c r="G85" i="41"/>
  <c r="H85" i="41"/>
  <c r="I85" i="41"/>
  <c r="J85" i="41"/>
  <c r="K85" i="41"/>
  <c r="D86" i="41"/>
  <c r="E86" i="41"/>
  <c r="F86" i="41"/>
  <c r="G86" i="41"/>
  <c r="H86" i="41"/>
  <c r="I86" i="41"/>
  <c r="J86" i="41"/>
  <c r="K86" i="41"/>
  <c r="D87" i="41"/>
  <c r="E87" i="41"/>
  <c r="F87" i="41"/>
  <c r="G87" i="41"/>
  <c r="H87" i="41"/>
  <c r="I87" i="41"/>
  <c r="J87" i="41"/>
  <c r="K87" i="41"/>
  <c r="D88" i="41"/>
  <c r="E88" i="41"/>
  <c r="F88" i="41"/>
  <c r="G88" i="41"/>
  <c r="H88" i="41"/>
  <c r="I88" i="41"/>
  <c r="J88" i="41"/>
  <c r="K88" i="41"/>
  <c r="D89" i="41"/>
  <c r="E89" i="41"/>
  <c r="F89" i="41"/>
  <c r="G89" i="41"/>
  <c r="H89" i="41"/>
  <c r="I89" i="41"/>
  <c r="J89" i="41"/>
  <c r="K89" i="41"/>
  <c r="D90" i="41"/>
  <c r="E90" i="41"/>
  <c r="F90" i="41"/>
  <c r="G90" i="41"/>
  <c r="H90" i="41"/>
  <c r="I90" i="41"/>
  <c r="J90" i="41"/>
  <c r="K90" i="41"/>
  <c r="D91" i="41"/>
  <c r="E91" i="41"/>
  <c r="F91" i="41"/>
  <c r="G91" i="41"/>
  <c r="H91" i="41"/>
  <c r="I91" i="41"/>
  <c r="J91" i="41"/>
  <c r="K91" i="41"/>
  <c r="D92" i="41"/>
  <c r="E92" i="41"/>
  <c r="F92" i="41"/>
  <c r="G92" i="41"/>
  <c r="H92" i="41"/>
  <c r="I92" i="41"/>
  <c r="J92" i="41"/>
  <c r="K92" i="41"/>
  <c r="D93" i="41"/>
  <c r="E93" i="41"/>
  <c r="F93" i="41"/>
  <c r="G93" i="41"/>
  <c r="H93" i="41"/>
  <c r="I93" i="41"/>
  <c r="J93" i="41"/>
  <c r="K93" i="41"/>
  <c r="D94" i="41"/>
  <c r="E94" i="41"/>
  <c r="F94" i="41"/>
  <c r="G94" i="41"/>
  <c r="H94" i="41"/>
  <c r="I94" i="41"/>
  <c r="J94" i="41"/>
  <c r="K94" i="41"/>
  <c r="D95" i="41"/>
  <c r="E95" i="41"/>
  <c r="F95" i="41"/>
  <c r="G95" i="41"/>
  <c r="H95" i="41"/>
  <c r="I95" i="41"/>
  <c r="J95" i="41"/>
  <c r="K95" i="41"/>
  <c r="D96" i="41"/>
  <c r="E96" i="41"/>
  <c r="F96" i="41"/>
  <c r="G96" i="41"/>
  <c r="H96" i="41"/>
  <c r="I96" i="41"/>
  <c r="J96" i="41"/>
  <c r="K96" i="41"/>
  <c r="D97" i="41"/>
  <c r="E97" i="41"/>
  <c r="F97" i="41"/>
  <c r="G97" i="41"/>
  <c r="I97" i="41"/>
  <c r="J97" i="41"/>
  <c r="K97" i="41"/>
  <c r="D98" i="41"/>
  <c r="E98" i="41"/>
  <c r="F98" i="41"/>
  <c r="G98" i="41"/>
  <c r="H98" i="41"/>
  <c r="J98" i="41"/>
  <c r="K98" i="41"/>
  <c r="D99" i="41"/>
  <c r="E99" i="41"/>
  <c r="F99" i="41"/>
  <c r="G99" i="41"/>
  <c r="H99" i="41"/>
  <c r="I99" i="41"/>
  <c r="K99" i="41"/>
  <c r="D100" i="41"/>
  <c r="E100" i="41"/>
  <c r="F100" i="41"/>
  <c r="G100" i="41"/>
  <c r="H100" i="41"/>
  <c r="I100" i="41"/>
  <c r="J100" i="41"/>
  <c r="D101" i="41"/>
  <c r="E101" i="41"/>
  <c r="F101" i="41"/>
  <c r="G101" i="41"/>
  <c r="I101" i="41"/>
  <c r="J101" i="41"/>
  <c r="K101" i="41"/>
  <c r="D102" i="41"/>
  <c r="E102" i="41"/>
  <c r="F102" i="41"/>
  <c r="G102" i="41"/>
  <c r="H102" i="41"/>
  <c r="J102" i="41"/>
  <c r="K102" i="41"/>
  <c r="D103" i="41"/>
  <c r="E103" i="41"/>
  <c r="F103" i="41"/>
  <c r="G103" i="41"/>
  <c r="H103" i="41"/>
  <c r="I103" i="41"/>
  <c r="K103" i="41"/>
  <c r="D104" i="41"/>
  <c r="E104" i="41"/>
  <c r="F104" i="41"/>
  <c r="G104" i="41"/>
  <c r="H104" i="41"/>
  <c r="I104" i="41"/>
  <c r="J104" i="41"/>
  <c r="D105" i="41"/>
  <c r="E105" i="41"/>
  <c r="F105" i="41"/>
  <c r="G105" i="41"/>
  <c r="H105" i="41"/>
  <c r="I105" i="41"/>
  <c r="J105" i="41"/>
  <c r="C97" i="41"/>
  <c r="B31" i="41"/>
  <c r="O66" i="40"/>
  <c r="L66" i="40"/>
  <c r="K104" i="41" s="1"/>
  <c r="O64" i="40"/>
  <c r="L64" i="40"/>
  <c r="J103" i="41" s="1"/>
  <c r="O62" i="40"/>
  <c r="L62" i="40"/>
  <c r="O60" i="40"/>
  <c r="L60" i="40"/>
  <c r="H101" i="41" s="1"/>
  <c r="O56" i="40"/>
  <c r="L56" i="40"/>
  <c r="G283" i="8"/>
  <c r="B164" i="7"/>
  <c r="B163" i="7"/>
  <c r="B162" i="7"/>
  <c r="B161" i="7"/>
  <c r="B160" i="7"/>
  <c r="B159" i="7"/>
  <c r="B158" i="7"/>
  <c r="D158" i="7" s="1"/>
  <c r="B157" i="7"/>
  <c r="C157" i="7" s="1"/>
  <c r="B156" i="7"/>
  <c r="B151" i="7"/>
  <c r="B150" i="7"/>
  <c r="B149" i="7"/>
  <c r="B148" i="7"/>
  <c r="B147" i="7"/>
  <c r="B146" i="7"/>
  <c r="B145" i="7"/>
  <c r="C145" i="7" s="1"/>
  <c r="B144" i="7"/>
  <c r="C144" i="7" s="1"/>
  <c r="B143" i="7"/>
  <c r="F272" i="8"/>
  <c r="X262" i="8" s="1"/>
  <c r="X197" i="8"/>
  <c r="X171" i="8"/>
  <c r="X160" i="8"/>
  <c r="X165" i="8"/>
  <c r="X155" i="8"/>
  <c r="X159" i="8"/>
  <c r="W143" i="8"/>
  <c r="X170" i="8"/>
  <c r="V161" i="8"/>
  <c r="X148" i="8"/>
  <c r="X132" i="8"/>
  <c r="X60" i="8"/>
  <c r="G218" i="49"/>
  <c r="K133" i="50"/>
  <c r="K129" i="50"/>
  <c r="K127" i="50"/>
  <c r="K126" i="50"/>
  <c r="K125" i="50"/>
  <c r="K124" i="50"/>
  <c r="K123" i="50"/>
  <c r="K120" i="50"/>
  <c r="K115" i="50"/>
  <c r="K96" i="50"/>
  <c r="K94" i="50"/>
  <c r="K93" i="50"/>
  <c r="K92" i="50"/>
  <c r="K84" i="50"/>
  <c r="B242" i="49"/>
  <c r="O207" i="49"/>
  <c r="L207" i="49"/>
  <c r="O197" i="49"/>
  <c r="L197" i="49"/>
  <c r="O158" i="49"/>
  <c r="L158" i="49"/>
  <c r="O153" i="49"/>
  <c r="L153" i="49"/>
  <c r="O151" i="49"/>
  <c r="L151" i="49"/>
  <c r="O149" i="49"/>
  <c r="L149" i="49"/>
  <c r="O148" i="49"/>
  <c r="L148" i="49"/>
  <c r="O94" i="49"/>
  <c r="L94" i="49"/>
  <c r="O54" i="49"/>
  <c r="L54" i="49"/>
  <c r="O50" i="49"/>
  <c r="L50" i="49"/>
  <c r="O45" i="49"/>
  <c r="L45" i="49"/>
  <c r="O35" i="49"/>
  <c r="L35" i="49"/>
  <c r="K144" i="50"/>
  <c r="K143" i="50"/>
  <c r="K142" i="50"/>
  <c r="K141" i="50"/>
  <c r="K140" i="50"/>
  <c r="K139" i="50"/>
  <c r="K138" i="50"/>
  <c r="K137" i="50"/>
  <c r="K136" i="50"/>
  <c r="K135" i="50"/>
  <c r="K134" i="50"/>
  <c r="K132" i="50"/>
  <c r="K131" i="50"/>
  <c r="K130" i="50"/>
  <c r="K128" i="50"/>
  <c r="K122" i="50"/>
  <c r="K121" i="50"/>
  <c r="K119" i="50"/>
  <c r="K118" i="50"/>
  <c r="K117" i="50"/>
  <c r="K116" i="50"/>
  <c r="K114" i="50"/>
  <c r="K113" i="50"/>
  <c r="K112" i="50"/>
  <c r="K111" i="50"/>
  <c r="K110" i="50"/>
  <c r="K109" i="50"/>
  <c r="K108" i="50"/>
  <c r="K107" i="50"/>
  <c r="K106" i="50"/>
  <c r="K105" i="50"/>
  <c r="K104" i="50"/>
  <c r="K103" i="50"/>
  <c r="K102" i="50"/>
  <c r="K101" i="50"/>
  <c r="K100" i="50"/>
  <c r="K99" i="50"/>
  <c r="K98" i="50"/>
  <c r="K97" i="50"/>
  <c r="K95" i="50"/>
  <c r="K91" i="50"/>
  <c r="K90" i="50"/>
  <c r="K89" i="50"/>
  <c r="K88" i="50"/>
  <c r="K87" i="50"/>
  <c r="K86" i="50"/>
  <c r="K85" i="50"/>
  <c r="K83" i="50"/>
  <c r="K82" i="50"/>
  <c r="K81" i="50"/>
  <c r="K80"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I144" i="50"/>
  <c r="I143" i="50"/>
  <c r="I142" i="50"/>
  <c r="I141" i="50"/>
  <c r="I140" i="50"/>
  <c r="I139" i="50"/>
  <c r="I138" i="50"/>
  <c r="I137" i="50"/>
  <c r="I136" i="50"/>
  <c r="I135" i="50"/>
  <c r="I134" i="50"/>
  <c r="I133" i="50"/>
  <c r="I132" i="50"/>
  <c r="I131" i="50"/>
  <c r="I130" i="50"/>
  <c r="I129" i="50"/>
  <c r="I128" i="50"/>
  <c r="I127" i="50"/>
  <c r="I126" i="50"/>
  <c r="I125" i="50"/>
  <c r="I124" i="50"/>
  <c r="I123" i="50"/>
  <c r="I122" i="50"/>
  <c r="I121" i="50"/>
  <c r="I120" i="50"/>
  <c r="I119" i="50"/>
  <c r="I118" i="50"/>
  <c r="I117" i="50"/>
  <c r="I116" i="50"/>
  <c r="I115" i="50"/>
  <c r="I114" i="50"/>
  <c r="I113" i="50"/>
  <c r="I112" i="50"/>
  <c r="I111" i="50"/>
  <c r="I110" i="50"/>
  <c r="I109" i="50"/>
  <c r="I108" i="50"/>
  <c r="I107" i="50"/>
  <c r="I106" i="50"/>
  <c r="I105" i="50"/>
  <c r="I104" i="50"/>
  <c r="I103" i="50"/>
  <c r="I102" i="50"/>
  <c r="I101" i="50"/>
  <c r="I100" i="50"/>
  <c r="I99" i="50"/>
  <c r="I98" i="50"/>
  <c r="I97" i="50"/>
  <c r="I96" i="50"/>
  <c r="I95" i="50"/>
  <c r="I94" i="50"/>
  <c r="I93" i="50"/>
  <c r="I92" i="50"/>
  <c r="I91" i="50"/>
  <c r="I90" i="50"/>
  <c r="I89" i="50"/>
  <c r="I88" i="50"/>
  <c r="I87" i="50"/>
  <c r="I86" i="50"/>
  <c r="I85" i="50"/>
  <c r="I84" i="50"/>
  <c r="I83" i="50"/>
  <c r="I82" i="50"/>
  <c r="I81" i="50"/>
  <c r="I80" i="50"/>
  <c r="H144" i="50"/>
  <c r="H143" i="50"/>
  <c r="H142" i="50"/>
  <c r="H141" i="50"/>
  <c r="H140" i="50"/>
  <c r="H139" i="50"/>
  <c r="H138" i="50"/>
  <c r="H137" i="50"/>
  <c r="H136" i="50"/>
  <c r="H135" i="50"/>
  <c r="H134" i="50"/>
  <c r="H133" i="50"/>
  <c r="H132"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H94" i="50"/>
  <c r="H93" i="50"/>
  <c r="H92" i="50"/>
  <c r="H91" i="50"/>
  <c r="H90" i="50"/>
  <c r="H89" i="50"/>
  <c r="H88" i="50"/>
  <c r="H87" i="50"/>
  <c r="H86" i="50"/>
  <c r="H85" i="50"/>
  <c r="H84" i="50"/>
  <c r="H83" i="50"/>
  <c r="H81" i="50"/>
  <c r="H80" i="50"/>
  <c r="G144" i="50"/>
  <c r="G143" i="50"/>
  <c r="G141" i="50"/>
  <c r="G140" i="50"/>
  <c r="G139" i="50"/>
  <c r="G138" i="50"/>
  <c r="G137" i="50"/>
  <c r="G136" i="50"/>
  <c r="G135" i="50"/>
  <c r="G134" i="50"/>
  <c r="G132" i="50"/>
  <c r="G131" i="50"/>
  <c r="G130" i="50"/>
  <c r="G129" i="50"/>
  <c r="G126" i="50"/>
  <c r="G122" i="50"/>
  <c r="G121" i="50"/>
  <c r="G120" i="50"/>
  <c r="G119" i="50"/>
  <c r="G118" i="50"/>
  <c r="G117" i="50"/>
  <c r="G116" i="50"/>
  <c r="G115" i="50"/>
  <c r="G114" i="50"/>
  <c r="G112" i="50"/>
  <c r="G111" i="50"/>
  <c r="G110" i="50"/>
  <c r="G109" i="50"/>
  <c r="G108" i="50"/>
  <c r="G107" i="50"/>
  <c r="G106" i="50"/>
  <c r="G105" i="50"/>
  <c r="G104" i="50"/>
  <c r="G102" i="50"/>
  <c r="G101" i="50"/>
  <c r="G100" i="50"/>
  <c r="G99" i="50"/>
  <c r="G98" i="50"/>
  <c r="G97" i="50"/>
  <c r="G96" i="50"/>
  <c r="G95" i="50"/>
  <c r="G94" i="50"/>
  <c r="G93" i="50"/>
  <c r="G92" i="50"/>
  <c r="G91" i="50"/>
  <c r="G90" i="50"/>
  <c r="G89" i="50"/>
  <c r="G88" i="50"/>
  <c r="G87" i="50"/>
  <c r="G86" i="50"/>
  <c r="G85" i="50"/>
  <c r="G84" i="50"/>
  <c r="G82" i="50"/>
  <c r="G81" i="50"/>
  <c r="G80" i="50"/>
  <c r="F144" i="50"/>
  <c r="F143" i="50"/>
  <c r="F141" i="50"/>
  <c r="F140" i="50"/>
  <c r="F139" i="50"/>
  <c r="F138" i="50"/>
  <c r="F137" i="50"/>
  <c r="F136" i="50"/>
  <c r="F135" i="50"/>
  <c r="F134" i="50"/>
  <c r="F132" i="50"/>
  <c r="F131" i="50"/>
  <c r="F130" i="50"/>
  <c r="F129" i="50"/>
  <c r="F126" i="50"/>
  <c r="F122" i="50"/>
  <c r="F121" i="50"/>
  <c r="F120" i="50"/>
  <c r="F119" i="50"/>
  <c r="F118" i="50"/>
  <c r="F117" i="50"/>
  <c r="F116" i="50"/>
  <c r="F115" i="50"/>
  <c r="F114" i="50"/>
  <c r="F112" i="50"/>
  <c r="F111" i="50"/>
  <c r="F110" i="50"/>
  <c r="F109" i="50"/>
  <c r="F108" i="50"/>
  <c r="F107" i="50"/>
  <c r="F106" i="50"/>
  <c r="F105" i="50"/>
  <c r="F104" i="50"/>
  <c r="F102" i="50"/>
  <c r="F101" i="50"/>
  <c r="F100" i="50"/>
  <c r="F99" i="50"/>
  <c r="F98" i="50"/>
  <c r="F97" i="50"/>
  <c r="F96" i="50"/>
  <c r="F95" i="50"/>
  <c r="F94" i="50"/>
  <c r="F93" i="50"/>
  <c r="F92" i="50"/>
  <c r="F91" i="50"/>
  <c r="F90" i="50"/>
  <c r="F89" i="50"/>
  <c r="F88" i="50"/>
  <c r="F87" i="50"/>
  <c r="F86" i="50"/>
  <c r="F85" i="50"/>
  <c r="F84" i="50"/>
  <c r="F82" i="50"/>
  <c r="F81" i="50"/>
  <c r="F80" i="50"/>
  <c r="E144" i="50"/>
  <c r="E143" i="50"/>
  <c r="E142" i="50"/>
  <c r="E141" i="50"/>
  <c r="E140" i="50"/>
  <c r="E139" i="50"/>
  <c r="E138" i="50"/>
  <c r="E137" i="50"/>
  <c r="E136" i="50"/>
  <c r="E135" i="50"/>
  <c r="E134" i="50"/>
  <c r="E133" i="50"/>
  <c r="E132" i="50"/>
  <c r="E131" i="50"/>
  <c r="E130" i="50"/>
  <c r="E129" i="50"/>
  <c r="E128" i="50"/>
  <c r="E127" i="50"/>
  <c r="E126" i="50"/>
  <c r="E125" i="50"/>
  <c r="E124" i="50"/>
  <c r="E123" i="50"/>
  <c r="E122" i="50"/>
  <c r="E121" i="50"/>
  <c r="E120" i="50"/>
  <c r="E119" i="50"/>
  <c r="E118" i="50"/>
  <c r="E117" i="50"/>
  <c r="E116" i="50"/>
  <c r="E115" i="50"/>
  <c r="E114" i="50"/>
  <c r="E113" i="50"/>
  <c r="E112" i="50"/>
  <c r="E111" i="50"/>
  <c r="E110" i="50"/>
  <c r="E109" i="50"/>
  <c r="E108" i="50"/>
  <c r="E107" i="50"/>
  <c r="E106" i="50"/>
  <c r="E105" i="50"/>
  <c r="E104" i="50"/>
  <c r="E103" i="50"/>
  <c r="E102" i="50"/>
  <c r="E101" i="50"/>
  <c r="E100" i="50"/>
  <c r="E99" i="50"/>
  <c r="E98" i="50"/>
  <c r="E97" i="50"/>
  <c r="E96" i="50"/>
  <c r="E95" i="50"/>
  <c r="E94" i="50"/>
  <c r="E93" i="50"/>
  <c r="E92" i="50"/>
  <c r="E91" i="50"/>
  <c r="E90" i="50"/>
  <c r="E89" i="50"/>
  <c r="E88" i="50"/>
  <c r="E87" i="50"/>
  <c r="E86" i="50"/>
  <c r="E85" i="50"/>
  <c r="E84" i="50"/>
  <c r="E83" i="50"/>
  <c r="E82" i="50"/>
  <c r="E81" i="50"/>
  <c r="E80" i="50"/>
  <c r="K145" i="50"/>
  <c r="D144" i="50"/>
  <c r="D143" i="50"/>
  <c r="D142" i="50"/>
  <c r="D141" i="50"/>
  <c r="D140" i="50"/>
  <c r="D139" i="50"/>
  <c r="D138" i="50"/>
  <c r="D137" i="50"/>
  <c r="D136" i="50"/>
  <c r="D135" i="50"/>
  <c r="D134" i="50"/>
  <c r="D133" i="50"/>
  <c r="D132" i="50"/>
  <c r="D131" i="50"/>
  <c r="D130" i="50"/>
  <c r="D129" i="50"/>
  <c r="D128" i="50"/>
  <c r="D127" i="50"/>
  <c r="D126" i="50"/>
  <c r="D125" i="50"/>
  <c r="D124" i="50"/>
  <c r="D123" i="50"/>
  <c r="D122" i="50"/>
  <c r="D121" i="50"/>
  <c r="D120" i="50"/>
  <c r="D119" i="50"/>
  <c r="D118" i="50"/>
  <c r="D117" i="50"/>
  <c r="D116" i="50"/>
  <c r="D115" i="50"/>
  <c r="D114" i="50"/>
  <c r="D113" i="50"/>
  <c r="D112" i="50"/>
  <c r="D111" i="50"/>
  <c r="D110" i="50"/>
  <c r="D109" i="50"/>
  <c r="D108" i="50"/>
  <c r="D107" i="50"/>
  <c r="D106" i="50"/>
  <c r="D105" i="50"/>
  <c r="D104" i="50"/>
  <c r="D103" i="50"/>
  <c r="D102" i="50"/>
  <c r="D101" i="50"/>
  <c r="D100" i="50"/>
  <c r="D99" i="50"/>
  <c r="D98" i="50"/>
  <c r="D97" i="50"/>
  <c r="D96" i="50"/>
  <c r="D95" i="50"/>
  <c r="D94" i="50"/>
  <c r="D93" i="50"/>
  <c r="D92" i="50"/>
  <c r="D91" i="50"/>
  <c r="D90" i="50"/>
  <c r="D89" i="50"/>
  <c r="D88" i="50"/>
  <c r="D87" i="50"/>
  <c r="D86" i="50"/>
  <c r="D85" i="50"/>
  <c r="D84" i="50"/>
  <c r="D83" i="50"/>
  <c r="D82" i="50"/>
  <c r="D81" i="50"/>
  <c r="D80" i="50"/>
  <c r="N210" i="49"/>
  <c r="C140" i="50"/>
  <c r="C126" i="50"/>
  <c r="C122" i="50"/>
  <c r="C121" i="50"/>
  <c r="C120" i="50"/>
  <c r="C119" i="50"/>
  <c r="C106" i="50"/>
  <c r="C93" i="50"/>
  <c r="C91" i="50"/>
  <c r="C90" i="50"/>
  <c r="C88" i="50"/>
  <c r="B54" i="50"/>
  <c r="L52" i="49"/>
  <c r="C92" i="50" s="1"/>
  <c r="K210" i="49"/>
  <c r="B78" i="50"/>
  <c r="B72" i="50"/>
  <c r="I102" i="41" l="1"/>
  <c r="L70" i="40"/>
  <c r="J17" i="55"/>
  <c r="J16" i="58"/>
  <c r="R16" i="58" s="1"/>
  <c r="G59" i="54"/>
  <c r="G63" i="54"/>
  <c r="H63" i="54" s="1"/>
  <c r="G62" i="54"/>
  <c r="H62" i="54" s="1"/>
  <c r="G71" i="54"/>
  <c r="G54" i="54"/>
  <c r="H54" i="54" s="1"/>
  <c r="G55" i="54"/>
  <c r="H55" i="54" s="1"/>
  <c r="J145" i="50"/>
  <c r="C246" i="49" s="1"/>
  <c r="C247" i="49"/>
  <c r="V110" i="15"/>
  <c r="D267" i="54"/>
  <c r="C159" i="41"/>
  <c r="N267" i="54"/>
  <c r="G69" i="56"/>
  <c r="G70" i="56" s="1"/>
  <c r="G79" i="56" s="1"/>
  <c r="H59" i="56"/>
  <c r="H69" i="56" s="1"/>
  <c r="H70" i="56" s="1"/>
  <c r="H79" i="56" s="1"/>
  <c r="H86" i="56" s="1"/>
  <c r="H82" i="56"/>
  <c r="H89" i="56" s="1"/>
  <c r="F17" i="55" s="1"/>
  <c r="J85" i="56"/>
  <c r="J83" i="56"/>
  <c r="J84" i="56"/>
  <c r="I70" i="54"/>
  <c r="I79" i="54" s="1"/>
  <c r="G69" i="54"/>
  <c r="H59" i="54"/>
  <c r="H69" i="54" s="1"/>
  <c r="G52" i="54"/>
  <c r="H52" i="54" s="1"/>
  <c r="G60" i="54"/>
  <c r="H60" i="54" s="1"/>
  <c r="G61" i="54"/>
  <c r="H61" i="54" s="1"/>
  <c r="G53" i="54"/>
  <c r="H53" i="54" s="1"/>
  <c r="G51" i="54"/>
  <c r="G78" i="54"/>
  <c r="H78" i="54"/>
  <c r="K78" i="54"/>
  <c r="L78" i="54"/>
  <c r="I78" i="54"/>
  <c r="J78" i="54"/>
  <c r="C268" i="54"/>
  <c r="C267" i="54"/>
  <c r="K80" i="54"/>
  <c r="L82" i="54" s="1"/>
  <c r="L89" i="54" s="1"/>
  <c r="L80" i="54"/>
  <c r="L86" i="54" s="1"/>
  <c r="L70" i="54"/>
  <c r="L79" i="54" s="1"/>
  <c r="G80" i="54"/>
  <c r="H80" i="54"/>
  <c r="K70" i="54"/>
  <c r="K79" i="54" s="1"/>
  <c r="J70" i="54"/>
  <c r="J79" i="54" s="1"/>
  <c r="I80" i="54"/>
  <c r="J82" i="54" s="1"/>
  <c r="J89" i="54" s="1"/>
  <c r="J80" i="54"/>
  <c r="J86" i="54" s="1"/>
  <c r="Q10" i="41"/>
  <c r="Q9" i="41"/>
  <c r="Q8" i="41"/>
  <c r="C153" i="41"/>
  <c r="C152" i="41"/>
  <c r="C154" i="41"/>
  <c r="N11" i="41"/>
  <c r="K154" i="41"/>
  <c r="K152" i="41"/>
  <c r="K147" i="41"/>
  <c r="I147" i="41"/>
  <c r="G147" i="41"/>
  <c r="E147" i="41"/>
  <c r="J147" i="41"/>
  <c r="H147" i="41"/>
  <c r="F147" i="41"/>
  <c r="D147" i="41"/>
  <c r="H9" i="41"/>
  <c r="H8" i="41"/>
  <c r="H10" i="41"/>
  <c r="C128" i="41"/>
  <c r="C130" i="41"/>
  <c r="C129" i="41"/>
  <c r="G138" i="41"/>
  <c r="K136" i="41"/>
  <c r="E24" i="41"/>
  <c r="E26" i="41"/>
  <c r="C127" i="41"/>
  <c r="E25" i="41"/>
  <c r="C103" i="41"/>
  <c r="C101" i="41"/>
  <c r="E106" i="41"/>
  <c r="C102" i="41"/>
  <c r="C104" i="41"/>
  <c r="D106" i="41"/>
  <c r="G106" i="41"/>
  <c r="F106" i="41"/>
  <c r="C158" i="7"/>
  <c r="D145" i="7"/>
  <c r="I145" i="50"/>
  <c r="D145" i="50"/>
  <c r="E145" i="50"/>
  <c r="C144" i="50"/>
  <c r="C241" i="49" l="1"/>
  <c r="C245" i="49"/>
  <c r="C240" i="49"/>
  <c r="N17" i="53"/>
  <c r="J17" i="53"/>
  <c r="H84" i="56"/>
  <c r="H85" i="56"/>
  <c r="H83" i="56"/>
  <c r="H51" i="54"/>
  <c r="H68" i="54" s="1"/>
  <c r="G68" i="54"/>
  <c r="J85" i="54"/>
  <c r="J83" i="54"/>
  <c r="J84" i="54"/>
  <c r="L84" i="54"/>
  <c r="L85" i="54"/>
  <c r="L83" i="54"/>
  <c r="G230" i="49"/>
  <c r="G230" i="34"/>
  <c r="O204" i="49"/>
  <c r="L204" i="49"/>
  <c r="O201" i="49"/>
  <c r="L201" i="49"/>
  <c r="O200" i="49"/>
  <c r="L200" i="49"/>
  <c r="B68" i="50"/>
  <c r="L187" i="49"/>
  <c r="O185" i="49"/>
  <c r="L185" i="49"/>
  <c r="O183" i="49"/>
  <c r="L183" i="49"/>
  <c r="O192" i="49"/>
  <c r="L192" i="49"/>
  <c r="O191" i="49"/>
  <c r="L191" i="49"/>
  <c r="O189" i="49"/>
  <c r="L189" i="49"/>
  <c r="O179" i="49"/>
  <c r="L179" i="49"/>
  <c r="O175" i="49"/>
  <c r="L175" i="49"/>
  <c r="O172" i="49"/>
  <c r="L172" i="49"/>
  <c r="O170" i="49"/>
  <c r="L170" i="49"/>
  <c r="O169" i="49"/>
  <c r="L169" i="49"/>
  <c r="O164" i="49"/>
  <c r="L164" i="49"/>
  <c r="O162" i="49"/>
  <c r="L162" i="49"/>
  <c r="B53" i="50"/>
  <c r="O157" i="49"/>
  <c r="L157" i="49"/>
  <c r="O156" i="49"/>
  <c r="L156" i="49"/>
  <c r="O154" i="49"/>
  <c r="L154" i="49"/>
  <c r="B49" i="50"/>
  <c r="B48" i="50"/>
  <c r="B47" i="50"/>
  <c r="B46" i="50"/>
  <c r="O140" i="49"/>
  <c r="O136" i="49"/>
  <c r="L136" i="49"/>
  <c r="O132" i="49"/>
  <c r="L132" i="49"/>
  <c r="O127" i="49"/>
  <c r="L127" i="49"/>
  <c r="O123" i="49"/>
  <c r="L123" i="49"/>
  <c r="C114" i="50" s="1"/>
  <c r="O116" i="49"/>
  <c r="L116" i="49"/>
  <c r="O112" i="49"/>
  <c r="L112" i="49"/>
  <c r="O109" i="49"/>
  <c r="L109" i="49"/>
  <c r="O108" i="49"/>
  <c r="L108" i="49"/>
  <c r="O106" i="49"/>
  <c r="L106" i="49"/>
  <c r="L93" i="49"/>
  <c r="C105" i="50" s="1"/>
  <c r="O93" i="49"/>
  <c r="O90" i="49"/>
  <c r="L90" i="49"/>
  <c r="O87" i="49"/>
  <c r="L87" i="49"/>
  <c r="C103" i="50" s="1"/>
  <c r="O83" i="49"/>
  <c r="L83" i="49"/>
  <c r="C102" i="50" s="1"/>
  <c r="O81" i="49"/>
  <c r="L81" i="49"/>
  <c r="C101" i="50" s="1"/>
  <c r="B247" i="49"/>
  <c r="B246" i="49"/>
  <c r="B245" i="49"/>
  <c r="B244" i="49"/>
  <c r="B243" i="49"/>
  <c r="B241" i="49"/>
  <c r="B240" i="49"/>
  <c r="B239" i="49"/>
  <c r="O103" i="49"/>
  <c r="L103" i="49"/>
  <c r="O97" i="49"/>
  <c r="L97" i="49"/>
  <c r="B33" i="50"/>
  <c r="O78" i="49"/>
  <c r="L78" i="49"/>
  <c r="O76" i="49"/>
  <c r="L76" i="49"/>
  <c r="O73" i="49"/>
  <c r="L73" i="49"/>
  <c r="C98" i="50" s="1"/>
  <c r="O68" i="49"/>
  <c r="L68" i="49"/>
  <c r="O65" i="49"/>
  <c r="L65" i="49"/>
  <c r="C96" i="50" s="1"/>
  <c r="O60" i="49"/>
  <c r="L60" i="49"/>
  <c r="O57" i="49"/>
  <c r="L57" i="49"/>
  <c r="O52" i="49"/>
  <c r="B19" i="50"/>
  <c r="B18" i="50"/>
  <c r="O39" i="49"/>
  <c r="L39" i="49"/>
  <c r="C89" i="50" s="1"/>
  <c r="O33" i="49"/>
  <c r="L33" i="49"/>
  <c r="C87" i="50" s="1"/>
  <c r="O30" i="49"/>
  <c r="L30" i="49"/>
  <c r="O28" i="49"/>
  <c r="L28" i="49"/>
  <c r="O26" i="49"/>
  <c r="L26" i="49"/>
  <c r="O21" i="49"/>
  <c r="L21" i="49"/>
  <c r="C83" i="50" s="1"/>
  <c r="O18" i="49"/>
  <c r="L18" i="49"/>
  <c r="H82" i="50" s="1"/>
  <c r="H145" i="50" s="1"/>
  <c r="C244" i="49" s="1"/>
  <c r="O13" i="49"/>
  <c r="L13" i="49"/>
  <c r="C81" i="50" s="1"/>
  <c r="O9" i="49"/>
  <c r="L9" i="49"/>
  <c r="C80" i="50" s="1"/>
  <c r="B1" i="49"/>
  <c r="B4" i="49" s="1"/>
  <c r="C157" i="41"/>
  <c r="Q12" i="41"/>
  <c r="Z166" i="40"/>
  <c r="O54" i="40"/>
  <c r="L54" i="40"/>
  <c r="O52" i="40"/>
  <c r="L52" i="40"/>
  <c r="O50" i="40"/>
  <c r="L50" i="40"/>
  <c r="H97" i="41"/>
  <c r="H106" i="41" s="1"/>
  <c r="J71" i="40"/>
  <c r="L74" i="40"/>
  <c r="C111" i="41" s="1"/>
  <c r="O74" i="40"/>
  <c r="O76" i="40"/>
  <c r="V70" i="8"/>
  <c r="O46" i="40"/>
  <c r="O44" i="40"/>
  <c r="L46" i="40"/>
  <c r="O210" i="49" l="1"/>
  <c r="S129" i="15" s="1"/>
  <c r="T129" i="15" s="1"/>
  <c r="S130" i="15" s="1"/>
  <c r="I98" i="41"/>
  <c r="I106" i="41" s="1"/>
  <c r="C98" i="41"/>
  <c r="J99" i="41"/>
  <c r="J106" i="41" s="1"/>
  <c r="C99" i="41"/>
  <c r="K100" i="41"/>
  <c r="C100" i="41"/>
  <c r="G77" i="54"/>
  <c r="G70" i="54"/>
  <c r="G79" i="54" s="1"/>
  <c r="H77" i="54"/>
  <c r="H70" i="54"/>
  <c r="H79" i="54" s="1"/>
  <c r="C162" i="41"/>
  <c r="Q11" i="41"/>
  <c r="B26" i="41"/>
  <c r="C96" i="41"/>
  <c r="K105" i="41"/>
  <c r="C105" i="41"/>
  <c r="B235" i="49"/>
  <c r="B223" i="49"/>
  <c r="B211" i="49"/>
  <c r="B21" i="50"/>
  <c r="C94" i="50"/>
  <c r="B22" i="50"/>
  <c r="C95" i="50"/>
  <c r="B24" i="50"/>
  <c r="C97" i="50"/>
  <c r="B26" i="50"/>
  <c r="C99" i="50"/>
  <c r="B27" i="50"/>
  <c r="C100" i="50"/>
  <c r="F127" i="50"/>
  <c r="C127" i="50"/>
  <c r="F128" i="50"/>
  <c r="C128" i="50"/>
  <c r="B57" i="50"/>
  <c r="C129" i="50"/>
  <c r="B58" i="50"/>
  <c r="C130" i="50"/>
  <c r="B59" i="50"/>
  <c r="C131" i="50"/>
  <c r="B60" i="50"/>
  <c r="C132" i="50"/>
  <c r="F133" i="50"/>
  <c r="C133" i="50"/>
  <c r="B65" i="50"/>
  <c r="C137" i="50"/>
  <c r="B66" i="50"/>
  <c r="C138" i="50"/>
  <c r="B67" i="50"/>
  <c r="C139" i="50"/>
  <c r="B62" i="50"/>
  <c r="C134" i="50"/>
  <c r="B63" i="50"/>
  <c r="C135" i="50"/>
  <c r="B64" i="50"/>
  <c r="C136" i="50"/>
  <c r="C141" i="50"/>
  <c r="B69" i="50"/>
  <c r="F142" i="50"/>
  <c r="C142" i="50"/>
  <c r="B9" i="50"/>
  <c r="C82" i="50"/>
  <c r="B11" i="50"/>
  <c r="C84" i="50"/>
  <c r="B12" i="50"/>
  <c r="C85" i="50"/>
  <c r="B13" i="50"/>
  <c r="C86" i="50"/>
  <c r="B34" i="50"/>
  <c r="C107" i="50"/>
  <c r="B35" i="50"/>
  <c r="C108" i="50"/>
  <c r="B31" i="50"/>
  <c r="C104" i="50"/>
  <c r="B36" i="50"/>
  <c r="C109" i="50"/>
  <c r="B37" i="50"/>
  <c r="C110" i="50"/>
  <c r="B38" i="50"/>
  <c r="C111" i="50"/>
  <c r="B39" i="50"/>
  <c r="C112" i="50"/>
  <c r="F113" i="50"/>
  <c r="C113" i="50"/>
  <c r="B42" i="50"/>
  <c r="C115" i="50"/>
  <c r="B43" i="50"/>
  <c r="C116" i="50"/>
  <c r="B44" i="50"/>
  <c r="C117" i="50"/>
  <c r="B45" i="50"/>
  <c r="C118" i="50"/>
  <c r="F123" i="50"/>
  <c r="C123" i="50"/>
  <c r="F124" i="50"/>
  <c r="C124" i="50"/>
  <c r="F125" i="50"/>
  <c r="C125" i="50"/>
  <c r="C158" i="41"/>
  <c r="H164" i="41"/>
  <c r="G83" i="50"/>
  <c r="F83" i="50"/>
  <c r="F103" i="50"/>
  <c r="G103" i="50"/>
  <c r="B40" i="50"/>
  <c r="G113" i="50"/>
  <c r="B50" i="50"/>
  <c r="G123" i="50"/>
  <c r="B51" i="50"/>
  <c r="G124" i="50"/>
  <c r="B52" i="50"/>
  <c r="G125" i="50"/>
  <c r="B55" i="50"/>
  <c r="G127" i="50"/>
  <c r="B56" i="50"/>
  <c r="G128" i="50"/>
  <c r="B61" i="50"/>
  <c r="G133" i="50"/>
  <c r="B70" i="50"/>
  <c r="G142" i="50"/>
  <c r="B71" i="50"/>
  <c r="C143" i="50"/>
  <c r="B41" i="50"/>
  <c r="B28" i="50"/>
  <c r="B29" i="50"/>
  <c r="B30" i="50"/>
  <c r="B32" i="50"/>
  <c r="B25" i="50"/>
  <c r="B23" i="50"/>
  <c r="B20" i="50"/>
  <c r="B14" i="50"/>
  <c r="B15" i="50"/>
  <c r="B17" i="50"/>
  <c r="B10" i="50"/>
  <c r="B16" i="50"/>
  <c r="B8" i="50"/>
  <c r="L210" i="49"/>
  <c r="H215" i="49" s="1"/>
  <c r="B7" i="50"/>
  <c r="C163" i="41"/>
  <c r="K164" i="41"/>
  <c r="E164" i="41"/>
  <c r="Q7" i="41"/>
  <c r="G164" i="41"/>
  <c r="I164" i="41"/>
  <c r="D164" i="41"/>
  <c r="F164" i="41"/>
  <c r="J164" i="41"/>
  <c r="B30" i="41"/>
  <c r="B29" i="41"/>
  <c r="B28" i="41"/>
  <c r="B27" i="41"/>
  <c r="C164" i="41" l="1"/>
  <c r="Q71" i="41"/>
  <c r="H86" i="54"/>
  <c r="H82" i="54"/>
  <c r="H89" i="54" s="1"/>
  <c r="K106" i="41"/>
  <c r="C145" i="50"/>
  <c r="H218" i="49"/>
  <c r="H221" i="49" s="1"/>
  <c r="G145" i="50"/>
  <c r="F145" i="50"/>
  <c r="B74" i="50"/>
  <c r="L44" i="40"/>
  <c r="C95" i="41" s="1"/>
  <c r="L54" i="11"/>
  <c r="E109" i="14" s="1"/>
  <c r="B288" i="31"/>
  <c r="B143" i="32"/>
  <c r="B288" i="35"/>
  <c r="B143" i="36"/>
  <c r="B157" i="45"/>
  <c r="B114" i="44"/>
  <c r="K135" i="38"/>
  <c r="K187" i="37" s="1"/>
  <c r="M135" i="38"/>
  <c r="L187" i="37" s="1"/>
  <c r="L139" i="37"/>
  <c r="C135" i="38"/>
  <c r="C187" i="37" s="1"/>
  <c r="D135" i="38"/>
  <c r="D187" i="37" s="1"/>
  <c r="E135" i="38"/>
  <c r="E187" i="37" s="1"/>
  <c r="F135" i="38"/>
  <c r="F187" i="37" s="1"/>
  <c r="G135" i="38"/>
  <c r="G187" i="37" s="1"/>
  <c r="H135" i="38"/>
  <c r="H187" i="37" s="1"/>
  <c r="I135" i="38"/>
  <c r="I187" i="37" s="1"/>
  <c r="J135" i="38"/>
  <c r="J187" i="37" s="1"/>
  <c r="B187" i="37"/>
  <c r="B261" i="34"/>
  <c r="B113" i="46"/>
  <c r="K68" i="47"/>
  <c r="K67" i="47"/>
  <c r="K66" i="47"/>
  <c r="K65" i="47"/>
  <c r="K64" i="47"/>
  <c r="K63" i="47"/>
  <c r="K62" i="47"/>
  <c r="K61" i="47"/>
  <c r="K60" i="47"/>
  <c r="K59" i="47"/>
  <c r="K58" i="47"/>
  <c r="K57" i="47"/>
  <c r="K56" i="47"/>
  <c r="K55" i="47"/>
  <c r="K54" i="47"/>
  <c r="K53" i="47"/>
  <c r="J68" i="47"/>
  <c r="J67" i="47"/>
  <c r="J66" i="47"/>
  <c r="J65" i="47"/>
  <c r="J64" i="47"/>
  <c r="J63" i="47"/>
  <c r="J62" i="47"/>
  <c r="J61" i="47"/>
  <c r="J60" i="47"/>
  <c r="J59" i="47"/>
  <c r="J58" i="47"/>
  <c r="J57" i="47"/>
  <c r="J56" i="47"/>
  <c r="J55" i="47"/>
  <c r="J54" i="47"/>
  <c r="J53" i="47"/>
  <c r="K47" i="47"/>
  <c r="K46" i="47"/>
  <c r="K45" i="47"/>
  <c r="K44" i="47"/>
  <c r="K43" i="47"/>
  <c r="K42" i="47"/>
  <c r="K41" i="47"/>
  <c r="K40" i="47"/>
  <c r="K39" i="47"/>
  <c r="K38" i="47"/>
  <c r="K37" i="47"/>
  <c r="K36" i="47"/>
  <c r="K35" i="47"/>
  <c r="K34" i="47"/>
  <c r="K33" i="47"/>
  <c r="K32" i="47"/>
  <c r="K31" i="47"/>
  <c r="K30" i="47"/>
  <c r="J47" i="47"/>
  <c r="J46" i="47"/>
  <c r="J45" i="47"/>
  <c r="J44" i="47"/>
  <c r="J43" i="47"/>
  <c r="J42" i="47"/>
  <c r="J41" i="47"/>
  <c r="J40" i="47"/>
  <c r="J39" i="47"/>
  <c r="J38" i="47"/>
  <c r="J37" i="47"/>
  <c r="J36" i="47"/>
  <c r="J35" i="47"/>
  <c r="J34" i="47"/>
  <c r="J33" i="47"/>
  <c r="J32" i="47"/>
  <c r="J30" i="47"/>
  <c r="J31" i="47"/>
  <c r="B143" i="30"/>
  <c r="B288" i="28"/>
  <c r="B143" i="26"/>
  <c r="B289" i="27"/>
  <c r="B289" i="25"/>
  <c r="B143" i="24"/>
  <c r="B288" i="17"/>
  <c r="B143" i="18"/>
  <c r="B288" i="11"/>
  <c r="B146" i="14"/>
  <c r="B320" i="8"/>
  <c r="B139" i="7"/>
  <c r="R109" i="45"/>
  <c r="G135" i="45"/>
  <c r="L109" i="45"/>
  <c r="J100" i="44" s="1"/>
  <c r="L56" i="45"/>
  <c r="P17" i="8"/>
  <c r="L17" i="8"/>
  <c r="H17" i="8"/>
  <c r="H19" i="8"/>
  <c r="H21" i="8" s="1"/>
  <c r="C239" i="49" l="1"/>
  <c r="C243" i="49"/>
  <c r="C242" i="49"/>
  <c r="H227" i="49"/>
  <c r="H85" i="54"/>
  <c r="H84" i="54"/>
  <c r="H83" i="54"/>
  <c r="J156" i="41"/>
  <c r="K132" i="41"/>
  <c r="B25" i="41"/>
  <c r="K69" i="47"/>
  <c r="Q135" i="38"/>
  <c r="K48" i="47"/>
  <c r="K72" i="47" s="1"/>
  <c r="M80" i="47" s="1"/>
  <c r="H23" i="8"/>
  <c r="F11" i="8" s="1"/>
  <c r="F33" i="8" l="1"/>
  <c r="G58" i="7"/>
  <c r="H68" i="7" s="1"/>
  <c r="G70" i="7" s="1"/>
  <c r="I33" i="55"/>
  <c r="R17" i="55"/>
  <c r="C113" i="46"/>
  <c r="B101" i="46"/>
  <c r="C109" i="21"/>
  <c r="E118" i="14"/>
  <c r="E117" i="14"/>
  <c r="E116" i="14"/>
  <c r="E115" i="14"/>
  <c r="E113" i="14"/>
  <c r="H76" i="7" l="1" a="1"/>
  <c r="H76" i="7" s="1"/>
  <c r="G82" i="7" s="1"/>
  <c r="H82" i="7" s="1"/>
  <c r="G71" i="7"/>
  <c r="H71" i="7" s="1"/>
  <c r="H70" i="7"/>
  <c r="G74" i="7"/>
  <c r="H74" i="7" s="1"/>
  <c r="G73" i="7"/>
  <c r="H73" i="7" s="1"/>
  <c r="G72" i="7"/>
  <c r="H72" i="7" s="1"/>
  <c r="J37" i="55"/>
  <c r="J44" i="55"/>
  <c r="I56" i="55"/>
  <c r="I76" i="46"/>
  <c r="H82" i="46" s="1"/>
  <c r="B75" i="41"/>
  <c r="B109" i="41"/>
  <c r="C134" i="41"/>
  <c r="C142" i="41"/>
  <c r="C148" i="41"/>
  <c r="I68" i="47"/>
  <c r="H68" i="47"/>
  <c r="G68" i="47"/>
  <c r="F68" i="47"/>
  <c r="E68" i="47"/>
  <c r="D68" i="47"/>
  <c r="I67" i="47"/>
  <c r="H67" i="47"/>
  <c r="G67" i="47"/>
  <c r="F67" i="47"/>
  <c r="E67" i="47"/>
  <c r="D67" i="47"/>
  <c r="I66" i="47"/>
  <c r="H66" i="47"/>
  <c r="G66" i="47"/>
  <c r="F66" i="47"/>
  <c r="E66" i="47"/>
  <c r="D66" i="47"/>
  <c r="I65" i="47"/>
  <c r="H65" i="47"/>
  <c r="G65" i="47"/>
  <c r="F65" i="47"/>
  <c r="E65" i="47"/>
  <c r="D65" i="47"/>
  <c r="I64" i="47"/>
  <c r="H64" i="47"/>
  <c r="G64" i="47"/>
  <c r="F64" i="47"/>
  <c r="E64" i="47"/>
  <c r="D64" i="47"/>
  <c r="I63" i="47"/>
  <c r="H63" i="47"/>
  <c r="G63" i="47"/>
  <c r="F63" i="47"/>
  <c r="E63" i="47"/>
  <c r="D63" i="47"/>
  <c r="I62" i="47"/>
  <c r="H62" i="47"/>
  <c r="G62" i="47"/>
  <c r="F62" i="47"/>
  <c r="E62" i="47"/>
  <c r="D62" i="47"/>
  <c r="I61" i="47"/>
  <c r="H61" i="47"/>
  <c r="G61" i="47"/>
  <c r="F61" i="47"/>
  <c r="E61" i="47"/>
  <c r="D61" i="47"/>
  <c r="I60" i="47"/>
  <c r="H60" i="47"/>
  <c r="G60" i="47"/>
  <c r="F60" i="47"/>
  <c r="E60" i="47"/>
  <c r="D60" i="47"/>
  <c r="I59" i="47"/>
  <c r="H59" i="47"/>
  <c r="G59" i="47"/>
  <c r="F59" i="47"/>
  <c r="E59" i="47"/>
  <c r="D59" i="47"/>
  <c r="I58" i="47"/>
  <c r="H58" i="47"/>
  <c r="G58" i="47"/>
  <c r="F58" i="47"/>
  <c r="E58" i="47"/>
  <c r="D58" i="47"/>
  <c r="I57" i="47"/>
  <c r="H57" i="47"/>
  <c r="G57" i="47"/>
  <c r="F57" i="47"/>
  <c r="E57" i="47"/>
  <c r="D57" i="47"/>
  <c r="I56" i="47"/>
  <c r="H56" i="47"/>
  <c r="G56" i="47"/>
  <c r="F56" i="47"/>
  <c r="E56" i="47"/>
  <c r="D56" i="47"/>
  <c r="I55" i="47"/>
  <c r="H55" i="47"/>
  <c r="G55" i="47"/>
  <c r="F55" i="47"/>
  <c r="E55" i="47"/>
  <c r="D55" i="47"/>
  <c r="I54" i="47"/>
  <c r="H54" i="47"/>
  <c r="G54" i="47"/>
  <c r="F54" i="47"/>
  <c r="E54" i="47"/>
  <c r="D54" i="47"/>
  <c r="I53" i="47"/>
  <c r="H53" i="47"/>
  <c r="G53" i="47"/>
  <c r="F53" i="47"/>
  <c r="E53" i="47"/>
  <c r="D53" i="47"/>
  <c r="I47" i="47"/>
  <c r="H47" i="47"/>
  <c r="G47" i="47"/>
  <c r="F47" i="47"/>
  <c r="E47" i="47"/>
  <c r="D47" i="47"/>
  <c r="I46" i="47"/>
  <c r="H46" i="47"/>
  <c r="G46" i="47"/>
  <c r="F46" i="47"/>
  <c r="E46" i="47"/>
  <c r="D46" i="47"/>
  <c r="I45" i="47"/>
  <c r="H45" i="47"/>
  <c r="G45" i="47"/>
  <c r="F45" i="47"/>
  <c r="E45" i="47"/>
  <c r="D45" i="47"/>
  <c r="I44" i="47"/>
  <c r="H44" i="47"/>
  <c r="G44" i="47"/>
  <c r="F44" i="47"/>
  <c r="E44" i="47"/>
  <c r="D44" i="47"/>
  <c r="I43" i="47"/>
  <c r="H43" i="47"/>
  <c r="G43" i="47"/>
  <c r="F43" i="47"/>
  <c r="E43" i="47"/>
  <c r="D43" i="47"/>
  <c r="I42" i="47"/>
  <c r="H42" i="47"/>
  <c r="G42" i="47"/>
  <c r="F42" i="47"/>
  <c r="E42" i="47"/>
  <c r="D42" i="47"/>
  <c r="I41" i="47"/>
  <c r="H41" i="47"/>
  <c r="G41" i="47"/>
  <c r="F41" i="47"/>
  <c r="E41" i="47"/>
  <c r="D41" i="47"/>
  <c r="I40" i="47"/>
  <c r="H40" i="47"/>
  <c r="G40" i="47"/>
  <c r="F40" i="47"/>
  <c r="E40" i="47"/>
  <c r="D40" i="47"/>
  <c r="I39" i="47"/>
  <c r="H39" i="47"/>
  <c r="G39" i="47"/>
  <c r="F39" i="47"/>
  <c r="E39" i="47"/>
  <c r="D39" i="47"/>
  <c r="I38" i="47"/>
  <c r="H38" i="47"/>
  <c r="G38" i="47"/>
  <c r="F38" i="47"/>
  <c r="E38" i="47"/>
  <c r="D38" i="47"/>
  <c r="I37" i="47"/>
  <c r="H37" i="47"/>
  <c r="G37" i="47"/>
  <c r="F37" i="47"/>
  <c r="E37" i="47"/>
  <c r="D37" i="47"/>
  <c r="I36" i="47"/>
  <c r="H36" i="47"/>
  <c r="G36" i="47"/>
  <c r="F36" i="47"/>
  <c r="E36" i="47"/>
  <c r="D36" i="47"/>
  <c r="I35" i="47"/>
  <c r="H35" i="47"/>
  <c r="G35" i="47"/>
  <c r="F35" i="47"/>
  <c r="E35" i="47"/>
  <c r="D35" i="47"/>
  <c r="I34" i="47"/>
  <c r="H34" i="47"/>
  <c r="G34" i="47"/>
  <c r="F34" i="47"/>
  <c r="E34" i="47"/>
  <c r="D34" i="47"/>
  <c r="I33" i="47"/>
  <c r="H33" i="47"/>
  <c r="G33" i="47"/>
  <c r="F33" i="47"/>
  <c r="E33" i="47"/>
  <c r="D33" i="47"/>
  <c r="I32" i="47"/>
  <c r="H32" i="47"/>
  <c r="G32" i="47"/>
  <c r="F32" i="47"/>
  <c r="E32" i="47"/>
  <c r="D32" i="47"/>
  <c r="I31" i="47"/>
  <c r="H31" i="47"/>
  <c r="G31" i="47"/>
  <c r="F31" i="47"/>
  <c r="E31" i="47"/>
  <c r="D31" i="47"/>
  <c r="I30" i="47"/>
  <c r="H30" i="47"/>
  <c r="G30" i="47"/>
  <c r="F30" i="47"/>
  <c r="E30" i="47"/>
  <c r="D30" i="47"/>
  <c r="E22" i="47"/>
  <c r="E21" i="47"/>
  <c r="E20" i="47"/>
  <c r="E19" i="47"/>
  <c r="E18" i="47"/>
  <c r="E17" i="47"/>
  <c r="E16" i="47"/>
  <c r="E15" i="47"/>
  <c r="E14" i="47"/>
  <c r="E13" i="47"/>
  <c r="E12" i="47"/>
  <c r="E11" i="47"/>
  <c r="E10" i="47"/>
  <c r="E9" i="47"/>
  <c r="E8" i="47"/>
  <c r="E7" i="47"/>
  <c r="E25" i="47" s="1"/>
  <c r="B24" i="47"/>
  <c r="B23" i="47"/>
  <c r="B22" i="47"/>
  <c r="B21" i="47"/>
  <c r="B20" i="47"/>
  <c r="B19" i="47"/>
  <c r="B18" i="47"/>
  <c r="B17" i="47"/>
  <c r="B16" i="47"/>
  <c r="B15" i="47"/>
  <c r="B14" i="47"/>
  <c r="B13" i="47"/>
  <c r="B12" i="47"/>
  <c r="B11" i="47"/>
  <c r="B10" i="47"/>
  <c r="B9" i="47"/>
  <c r="B8" i="47"/>
  <c r="B7" i="47"/>
  <c r="G69" i="47"/>
  <c r="B112" i="46"/>
  <c r="B111" i="46"/>
  <c r="B110" i="46"/>
  <c r="B109" i="46"/>
  <c r="B108" i="46"/>
  <c r="B107" i="46"/>
  <c r="B106" i="46"/>
  <c r="B105" i="46"/>
  <c r="G85" i="46"/>
  <c r="G96" i="46" s="1"/>
  <c r="Z77" i="46"/>
  <c r="C68" i="47"/>
  <c r="C67" i="47"/>
  <c r="C66" i="47"/>
  <c r="C65" i="47"/>
  <c r="C64" i="47"/>
  <c r="C63" i="47"/>
  <c r="C62" i="47"/>
  <c r="C61" i="47"/>
  <c r="C60" i="47"/>
  <c r="C59" i="47"/>
  <c r="C58" i="47"/>
  <c r="C57" i="47"/>
  <c r="C56" i="47"/>
  <c r="C55" i="47"/>
  <c r="C54" i="47"/>
  <c r="C47" i="47"/>
  <c r="C46" i="47"/>
  <c r="C45" i="47"/>
  <c r="C44" i="47"/>
  <c r="C43" i="47"/>
  <c r="C42" i="47"/>
  <c r="C41" i="47"/>
  <c r="C40" i="47"/>
  <c r="C39" i="47"/>
  <c r="C38" i="47"/>
  <c r="C37" i="47"/>
  <c r="C36" i="47"/>
  <c r="C35" i="47"/>
  <c r="C34" i="47"/>
  <c r="C33" i="47"/>
  <c r="C32" i="47"/>
  <c r="C31" i="47"/>
  <c r="G58" i="33"/>
  <c r="H76" i="33" s="1" a="1"/>
  <c r="H76" i="33" s="1"/>
  <c r="H94" i="15" l="1"/>
  <c r="N27" i="60"/>
  <c r="P27" i="60" s="1"/>
  <c r="D110" i="56"/>
  <c r="D112" i="56"/>
  <c r="D114" i="56"/>
  <c r="D157" i="55" s="1"/>
  <c r="D109" i="56"/>
  <c r="D111" i="56"/>
  <c r="D113" i="56"/>
  <c r="C109" i="56"/>
  <c r="C112" i="56"/>
  <c r="C111" i="56"/>
  <c r="C113" i="56"/>
  <c r="C110" i="56"/>
  <c r="C114" i="56"/>
  <c r="G80" i="7"/>
  <c r="H80" i="7" s="1"/>
  <c r="G78" i="7"/>
  <c r="H78" i="7" s="1"/>
  <c r="G79" i="7"/>
  <c r="H79" i="7" s="1"/>
  <c r="G81" i="7"/>
  <c r="H81" i="7" s="1"/>
  <c r="H68" i="33"/>
  <c r="G73" i="33" s="1"/>
  <c r="H73" i="33" s="1"/>
  <c r="G78" i="33"/>
  <c r="H78" i="33" s="1"/>
  <c r="G72" i="33"/>
  <c r="H72" i="33" s="1"/>
  <c r="H93" i="56"/>
  <c r="C106" i="56"/>
  <c r="C149" i="55" s="1"/>
  <c r="D106" i="56"/>
  <c r="D149" i="55" s="1"/>
  <c r="H94" i="56"/>
  <c r="J60" i="55"/>
  <c r="E107" i="56" s="1"/>
  <c r="I73" i="55"/>
  <c r="J48" i="47"/>
  <c r="F48" i="47"/>
  <c r="E69" i="47"/>
  <c r="I69" i="47"/>
  <c r="D48" i="47"/>
  <c r="H48" i="47"/>
  <c r="D69" i="47"/>
  <c r="F69" i="47"/>
  <c r="H69" i="47"/>
  <c r="J69" i="47"/>
  <c r="B25" i="47"/>
  <c r="E48" i="47"/>
  <c r="G48" i="47"/>
  <c r="G72" i="47" s="1"/>
  <c r="I48" i="47"/>
  <c r="I72" i="47" s="1"/>
  <c r="C30" i="47"/>
  <c r="C48" i="47" s="1"/>
  <c r="C53" i="47"/>
  <c r="C69" i="47" s="1"/>
  <c r="B90" i="46"/>
  <c r="B79" i="46"/>
  <c r="E150" i="55" l="1"/>
  <c r="E267" i="56"/>
  <c r="E111" i="56"/>
  <c r="E113" i="56"/>
  <c r="E110" i="56"/>
  <c r="E114" i="56"/>
  <c r="E157" i="55" s="1"/>
  <c r="E109" i="56"/>
  <c r="E112" i="56"/>
  <c r="C157" i="55"/>
  <c r="C156" i="55"/>
  <c r="C273" i="56"/>
  <c r="C155" i="55"/>
  <c r="C272" i="56"/>
  <c r="D156" i="55"/>
  <c r="D273" i="56"/>
  <c r="D152" i="55"/>
  <c r="D269" i="56"/>
  <c r="D155" i="55"/>
  <c r="D272" i="56"/>
  <c r="C153" i="55"/>
  <c r="C270" i="56"/>
  <c r="C154" i="55"/>
  <c r="C271" i="56"/>
  <c r="C152" i="55"/>
  <c r="C269" i="56"/>
  <c r="D154" i="55"/>
  <c r="D271" i="56"/>
  <c r="D153" i="55"/>
  <c r="D270" i="56"/>
  <c r="G81" i="33"/>
  <c r="H81" i="33" s="1"/>
  <c r="G70" i="33"/>
  <c r="H70" i="33" s="1"/>
  <c r="G74" i="33"/>
  <c r="H74" i="33" s="1"/>
  <c r="G79" i="33"/>
  <c r="H79" i="33" s="1"/>
  <c r="G82" i="33"/>
  <c r="H82" i="33" s="1"/>
  <c r="G71" i="33"/>
  <c r="H71" i="33" s="1"/>
  <c r="G80" i="33"/>
  <c r="H80" i="33" s="1"/>
  <c r="H95" i="56"/>
  <c r="E106" i="56"/>
  <c r="E149" i="55" s="1"/>
  <c r="J92" i="55"/>
  <c r="H107" i="56" s="1"/>
  <c r="J96" i="55"/>
  <c r="M107" i="56" s="1"/>
  <c r="J103" i="55"/>
  <c r="N108" i="56" s="1"/>
  <c r="J89" i="55"/>
  <c r="G107" i="56" s="1"/>
  <c r="J77" i="55"/>
  <c r="F107" i="56" s="1"/>
  <c r="E72" i="47"/>
  <c r="M74" i="47" s="1"/>
  <c r="C107" i="46" s="1"/>
  <c r="J72" i="47"/>
  <c r="M78" i="47"/>
  <c r="C111" i="46" s="1"/>
  <c r="M76" i="47"/>
  <c r="C109" i="46" s="1"/>
  <c r="H25" i="47"/>
  <c r="H93" i="46" s="1"/>
  <c r="H112" i="15" s="1"/>
  <c r="D72" i="47"/>
  <c r="C72" i="47"/>
  <c r="H72" i="47"/>
  <c r="F72" i="47"/>
  <c r="H85" i="46"/>
  <c r="F150" i="55" l="1"/>
  <c r="F130" i="58"/>
  <c r="F267" i="56"/>
  <c r="Q107" i="56"/>
  <c r="G150" i="55"/>
  <c r="G130" i="58"/>
  <c r="G267" i="56"/>
  <c r="N268" i="56"/>
  <c r="J151" i="55"/>
  <c r="Q151" i="55" s="1"/>
  <c r="J131" i="58"/>
  <c r="Q108" i="56"/>
  <c r="M267" i="56"/>
  <c r="I150" i="55"/>
  <c r="I130" i="58"/>
  <c r="H150" i="55"/>
  <c r="H130" i="58"/>
  <c r="H267" i="56"/>
  <c r="Q150" i="55"/>
  <c r="G109" i="56"/>
  <c r="G112" i="56"/>
  <c r="G111" i="56"/>
  <c r="G113" i="56"/>
  <c r="G110" i="56"/>
  <c r="G114" i="56"/>
  <c r="M110" i="56"/>
  <c r="M114" i="56"/>
  <c r="M111" i="56"/>
  <c r="M113" i="56"/>
  <c r="M112" i="56"/>
  <c r="M109" i="56"/>
  <c r="E155" i="55"/>
  <c r="E272" i="56"/>
  <c r="E156" i="55"/>
  <c r="E273" i="56"/>
  <c r="F113" i="56"/>
  <c r="F109" i="56"/>
  <c r="F111" i="56"/>
  <c r="F110" i="56"/>
  <c r="F112" i="56"/>
  <c r="F114" i="56"/>
  <c r="N110" i="56"/>
  <c r="N112" i="56"/>
  <c r="N114" i="56"/>
  <c r="N113" i="56"/>
  <c r="N109" i="56"/>
  <c r="N111" i="56"/>
  <c r="H110" i="56"/>
  <c r="H112" i="56"/>
  <c r="H114" i="56"/>
  <c r="H109" i="56"/>
  <c r="H111" i="56"/>
  <c r="H113" i="56"/>
  <c r="Q113" i="56"/>
  <c r="E152" i="55"/>
  <c r="E269" i="56"/>
  <c r="E153" i="55"/>
  <c r="E270" i="56"/>
  <c r="E154" i="55"/>
  <c r="E271" i="56"/>
  <c r="F106" i="56"/>
  <c r="H96" i="56"/>
  <c r="H106" i="56"/>
  <c r="H98" i="56"/>
  <c r="H97" i="56"/>
  <c r="G106" i="56"/>
  <c r="H99" i="56"/>
  <c r="M106" i="56"/>
  <c r="N106" i="56"/>
  <c r="H100" i="56"/>
  <c r="J109" i="55"/>
  <c r="H118" i="55" s="1"/>
  <c r="M79" i="47"/>
  <c r="C112" i="46" s="1"/>
  <c r="M73" i="47"/>
  <c r="C106" i="46" s="1"/>
  <c r="M77" i="47"/>
  <c r="C110" i="46" s="1"/>
  <c r="M75" i="47"/>
  <c r="C108" i="46" s="1"/>
  <c r="M72" i="47"/>
  <c r="C105" i="46" s="1"/>
  <c r="H88" i="46"/>
  <c r="H136" i="58" l="1"/>
  <c r="H273" i="56"/>
  <c r="H156" i="55"/>
  <c r="H132" i="58"/>
  <c r="H152" i="55"/>
  <c r="H269" i="56"/>
  <c r="H272" i="56"/>
  <c r="H135" i="58"/>
  <c r="H155" i="55"/>
  <c r="J134" i="58"/>
  <c r="N271" i="56"/>
  <c r="J154" i="55"/>
  <c r="N273" i="56"/>
  <c r="J136" i="58"/>
  <c r="J156" i="55"/>
  <c r="N272" i="56"/>
  <c r="J135" i="58"/>
  <c r="J155" i="55"/>
  <c r="F137" i="58"/>
  <c r="F157" i="55"/>
  <c r="Q114" i="56"/>
  <c r="F133" i="58"/>
  <c r="F270" i="56"/>
  <c r="F153" i="55"/>
  <c r="Q110" i="56"/>
  <c r="F132" i="58"/>
  <c r="F152" i="55"/>
  <c r="F269" i="56"/>
  <c r="Q109" i="56"/>
  <c r="I132" i="58"/>
  <c r="I152" i="55"/>
  <c r="M269" i="56"/>
  <c r="I136" i="58"/>
  <c r="M273" i="56"/>
  <c r="I156" i="55"/>
  <c r="I157" i="55"/>
  <c r="I137" i="58"/>
  <c r="G137" i="58"/>
  <c r="G157" i="55"/>
  <c r="G136" i="58"/>
  <c r="G273" i="56"/>
  <c r="G156" i="55"/>
  <c r="G135" i="58"/>
  <c r="G272" i="56"/>
  <c r="G155" i="55"/>
  <c r="Q112" i="56"/>
  <c r="H154" i="55"/>
  <c r="H134" i="58"/>
  <c r="H271" i="56"/>
  <c r="H137" i="58"/>
  <c r="H157" i="55"/>
  <c r="H133" i="58"/>
  <c r="H153" i="55"/>
  <c r="H270" i="56"/>
  <c r="J132" i="58"/>
  <c r="J152" i="55"/>
  <c r="N269" i="56"/>
  <c r="J137" i="58"/>
  <c r="J157" i="55"/>
  <c r="N270" i="56"/>
  <c r="J133" i="58"/>
  <c r="J153" i="55"/>
  <c r="F272" i="56"/>
  <c r="F135" i="58"/>
  <c r="F155" i="55"/>
  <c r="F134" i="58"/>
  <c r="F154" i="55"/>
  <c r="F271" i="56"/>
  <c r="Q111" i="56"/>
  <c r="F136" i="58"/>
  <c r="F156" i="55"/>
  <c r="Q156" i="55" s="1"/>
  <c r="F273" i="56"/>
  <c r="I155" i="55"/>
  <c r="M272" i="56"/>
  <c r="I135" i="58"/>
  <c r="I134" i="58"/>
  <c r="I154" i="55"/>
  <c r="M271" i="56"/>
  <c r="I153" i="55"/>
  <c r="I133" i="58"/>
  <c r="M270" i="56"/>
  <c r="G270" i="56"/>
  <c r="G133" i="58"/>
  <c r="G153" i="55"/>
  <c r="G134" i="58"/>
  <c r="G271" i="56"/>
  <c r="G154" i="55"/>
  <c r="G269" i="56"/>
  <c r="G132" i="58"/>
  <c r="G152" i="55"/>
  <c r="G149" i="55"/>
  <c r="G129" i="58"/>
  <c r="I149" i="55"/>
  <c r="I129" i="58"/>
  <c r="J149" i="55"/>
  <c r="J129" i="58"/>
  <c r="H149" i="55"/>
  <c r="H129" i="58"/>
  <c r="F149" i="55"/>
  <c r="F129" i="58"/>
  <c r="H120" i="55"/>
  <c r="M81" i="47"/>
  <c r="G39" i="44"/>
  <c r="H49" i="44" s="1"/>
  <c r="G43" i="44"/>
  <c r="V106" i="45"/>
  <c r="X85" i="45"/>
  <c r="W85" i="45"/>
  <c r="X81" i="45"/>
  <c r="X77" i="45"/>
  <c r="V99" i="45"/>
  <c r="X92" i="45"/>
  <c r="X89" i="45"/>
  <c r="X70" i="45"/>
  <c r="X67" i="45"/>
  <c r="W67" i="45" s="1"/>
  <c r="X63" i="45"/>
  <c r="W63" i="45" s="1"/>
  <c r="X60" i="45"/>
  <c r="L21" i="60" l="1"/>
  <c r="P21" i="60" s="1"/>
  <c r="Q153" i="55"/>
  <c r="Q154" i="55"/>
  <c r="Q155" i="55"/>
  <c r="Q152" i="55"/>
  <c r="H124" i="55"/>
  <c r="K120" i="55"/>
  <c r="H126" i="55"/>
  <c r="H128" i="55" s="1"/>
  <c r="H57" i="44" a="1"/>
  <c r="H57" i="44" s="1"/>
  <c r="G59" i="44" s="1"/>
  <c r="H59" i="44" s="1"/>
  <c r="G51" i="44"/>
  <c r="H51" i="44" s="1"/>
  <c r="G55" i="44"/>
  <c r="H55" i="44" s="1"/>
  <c r="X54" i="45"/>
  <c r="X52" i="45"/>
  <c r="X50" i="45"/>
  <c r="X48" i="45"/>
  <c r="X45" i="45"/>
  <c r="X44" i="45"/>
  <c r="X40" i="45"/>
  <c r="X37" i="45"/>
  <c r="W37" i="45" s="1"/>
  <c r="L102" i="45"/>
  <c r="J99" i="44" s="1"/>
  <c r="K39" i="44"/>
  <c r="L49" i="44" s="1"/>
  <c r="I39" i="44"/>
  <c r="J57" i="44" s="1"/>
  <c r="J98" i="44"/>
  <c r="J94" i="44"/>
  <c r="G44" i="44"/>
  <c r="B156" i="45"/>
  <c r="B155" i="45"/>
  <c r="B154" i="45"/>
  <c r="B153" i="45"/>
  <c r="B152" i="45"/>
  <c r="B151" i="45"/>
  <c r="B150" i="45"/>
  <c r="B149" i="45"/>
  <c r="G141" i="45"/>
  <c r="G126" i="45"/>
  <c r="G120" i="45"/>
  <c r="H122" i="45"/>
  <c r="W103" i="45"/>
  <c r="I103" i="45" s="1"/>
  <c r="V103" i="45"/>
  <c r="W96" i="45"/>
  <c r="I96" i="45" s="1"/>
  <c r="V96" i="45"/>
  <c r="L95" i="45"/>
  <c r="W92" i="45"/>
  <c r="V92" i="45"/>
  <c r="I92" i="45"/>
  <c r="W89" i="45"/>
  <c r="I89" i="45" s="1"/>
  <c r="V89" i="45"/>
  <c r="L88" i="45"/>
  <c r="J96" i="44" s="1"/>
  <c r="V86" i="45"/>
  <c r="V83" i="45"/>
  <c r="W81" i="45"/>
  <c r="V80" i="45"/>
  <c r="W77" i="45"/>
  <c r="V77" i="45"/>
  <c r="L73" i="45"/>
  <c r="J95" i="44" s="1"/>
  <c r="V72" i="45"/>
  <c r="W70" i="45"/>
  <c r="V69" i="45"/>
  <c r="V66" i="45"/>
  <c r="V63" i="45"/>
  <c r="W60" i="45"/>
  <c r="V60" i="45"/>
  <c r="W54" i="45"/>
  <c r="V53" i="45"/>
  <c r="W52" i="45"/>
  <c r="W50" i="45"/>
  <c r="V50" i="45"/>
  <c r="W48" i="45"/>
  <c r="V47" i="45"/>
  <c r="W45" i="45"/>
  <c r="W44" i="45"/>
  <c r="V44" i="45"/>
  <c r="L43" i="45"/>
  <c r="J93" i="44" s="1"/>
  <c r="W40" i="45"/>
  <c r="V40" i="45"/>
  <c r="V37" i="45"/>
  <c r="R8" i="45"/>
  <c r="S8" i="45" s="1"/>
  <c r="N8" i="45"/>
  <c r="J8" i="45"/>
  <c r="F8" i="45"/>
  <c r="B1" i="45"/>
  <c r="P273" i="44"/>
  <c r="O273" i="44"/>
  <c r="L273" i="44"/>
  <c r="P272" i="44"/>
  <c r="O272" i="44"/>
  <c r="L272" i="44"/>
  <c r="P271" i="44"/>
  <c r="O271" i="44"/>
  <c r="L271" i="44"/>
  <c r="P270" i="44"/>
  <c r="O270" i="44"/>
  <c r="L270" i="44"/>
  <c r="P269" i="44"/>
  <c r="O269" i="44"/>
  <c r="L269" i="44"/>
  <c r="P268" i="44"/>
  <c r="O268" i="44"/>
  <c r="L268" i="44"/>
  <c r="P267" i="44"/>
  <c r="O267" i="44"/>
  <c r="L267" i="44"/>
  <c r="P266" i="44"/>
  <c r="O266" i="44"/>
  <c r="L266" i="44"/>
  <c r="B113" i="44"/>
  <c r="B112" i="44"/>
  <c r="B111" i="44"/>
  <c r="B110" i="44"/>
  <c r="B109" i="44"/>
  <c r="B108" i="44"/>
  <c r="B107" i="44"/>
  <c r="B106" i="44"/>
  <c r="P27" i="44"/>
  <c r="M27" i="44"/>
  <c r="J27" i="44"/>
  <c r="G27" i="44"/>
  <c r="P26" i="44"/>
  <c r="M26" i="44"/>
  <c r="J26" i="44"/>
  <c r="G26" i="44"/>
  <c r="P25" i="44"/>
  <c r="M25" i="44"/>
  <c r="J25" i="44"/>
  <c r="G25" i="44"/>
  <c r="P24" i="44"/>
  <c r="M24" i="44"/>
  <c r="J24" i="44"/>
  <c r="G24" i="44"/>
  <c r="P23" i="44"/>
  <c r="M23" i="44"/>
  <c r="J23" i="44"/>
  <c r="G23" i="44"/>
  <c r="P22" i="44"/>
  <c r="M22" i="44"/>
  <c r="J22" i="44"/>
  <c r="G22" i="44"/>
  <c r="P21" i="44"/>
  <c r="M21" i="44"/>
  <c r="J21" i="44"/>
  <c r="G21" i="44"/>
  <c r="P20" i="44"/>
  <c r="M20" i="44"/>
  <c r="J20" i="44"/>
  <c r="G20" i="44"/>
  <c r="P19" i="44"/>
  <c r="M19" i="44"/>
  <c r="J19" i="44"/>
  <c r="G19" i="44"/>
  <c r="P18" i="44"/>
  <c r="M18" i="44"/>
  <c r="J18" i="44"/>
  <c r="G18" i="44"/>
  <c r="P17" i="44"/>
  <c r="M17" i="44"/>
  <c r="J17" i="44"/>
  <c r="G17" i="44"/>
  <c r="P16" i="44"/>
  <c r="M16" i="44"/>
  <c r="J16" i="44"/>
  <c r="G16" i="44"/>
  <c r="P15" i="44"/>
  <c r="M15" i="44"/>
  <c r="J15" i="44"/>
  <c r="G15" i="44"/>
  <c r="P14" i="44"/>
  <c r="M14" i="44"/>
  <c r="J14" i="44"/>
  <c r="G14" i="44"/>
  <c r="P13" i="44"/>
  <c r="M13" i="44"/>
  <c r="J13" i="44"/>
  <c r="G13" i="44"/>
  <c r="P12" i="44"/>
  <c r="M12" i="44"/>
  <c r="J12" i="44"/>
  <c r="G12" i="44"/>
  <c r="P11" i="44"/>
  <c r="M11" i="44"/>
  <c r="J11" i="44"/>
  <c r="G11" i="44"/>
  <c r="P10" i="44"/>
  <c r="M10" i="44"/>
  <c r="J10" i="44"/>
  <c r="G10" i="44"/>
  <c r="P9" i="44"/>
  <c r="M9" i="44"/>
  <c r="J9" i="44"/>
  <c r="G9" i="44"/>
  <c r="P8" i="44"/>
  <c r="M8" i="44"/>
  <c r="J8" i="44"/>
  <c r="G8" i="44"/>
  <c r="O90" i="40"/>
  <c r="O92" i="40"/>
  <c r="O94" i="40"/>
  <c r="O96" i="40"/>
  <c r="O100" i="40"/>
  <c r="O102" i="40"/>
  <c r="O114" i="40"/>
  <c r="N19" i="60" l="1"/>
  <c r="J101" i="44"/>
  <c r="H137" i="45" s="1"/>
  <c r="R21" i="45"/>
  <c r="V109" i="15"/>
  <c r="B146" i="45"/>
  <c r="R33" i="45"/>
  <c r="C107" i="44"/>
  <c r="N107" i="44"/>
  <c r="D107" i="44"/>
  <c r="E108" i="44"/>
  <c r="G108" i="44"/>
  <c r="M108" i="44"/>
  <c r="C108" i="44"/>
  <c r="D108" i="44"/>
  <c r="F108" i="44"/>
  <c r="H108" i="44"/>
  <c r="K267" i="44"/>
  <c r="J150" i="45"/>
  <c r="G62" i="44"/>
  <c r="H62" i="44" s="1"/>
  <c r="G60" i="44"/>
  <c r="H60" i="44" s="1"/>
  <c r="K52" i="44"/>
  <c r="L52" i="44" s="1"/>
  <c r="L57" i="44" a="1"/>
  <c r="L57" i="44" s="1"/>
  <c r="K61" i="44" s="1"/>
  <c r="L61" i="44" s="1"/>
  <c r="K53" i="44"/>
  <c r="K51" i="44"/>
  <c r="L51" i="44" s="1"/>
  <c r="L53" i="44"/>
  <c r="K55" i="44"/>
  <c r="L55" i="44" s="1"/>
  <c r="K54" i="44"/>
  <c r="L54" i="44" s="1"/>
  <c r="G52" i="44"/>
  <c r="H52" i="44" s="1"/>
  <c r="G63" i="44"/>
  <c r="H63" i="44" s="1"/>
  <c r="G61" i="44"/>
  <c r="H61" i="44" s="1"/>
  <c r="G54" i="44"/>
  <c r="H54" i="44" s="1"/>
  <c r="G53" i="44"/>
  <c r="H53" i="44" s="1"/>
  <c r="J49" i="44"/>
  <c r="I51" i="44" s="1"/>
  <c r="J51" i="44" s="1"/>
  <c r="I266" i="44"/>
  <c r="K266" i="44"/>
  <c r="C267" i="44"/>
  <c r="I267" i="44"/>
  <c r="W43" i="45"/>
  <c r="I37" i="45" s="1"/>
  <c r="W88" i="45"/>
  <c r="I77" i="45" s="1"/>
  <c r="W56" i="45"/>
  <c r="I44" i="45" s="1"/>
  <c r="V110" i="45"/>
  <c r="W73" i="45"/>
  <c r="I60" i="45" s="1"/>
  <c r="B116" i="45"/>
  <c r="B131" i="45"/>
  <c r="W95" i="45"/>
  <c r="I60" i="44"/>
  <c r="J60" i="44" s="1"/>
  <c r="G71" i="44"/>
  <c r="K71" i="44"/>
  <c r="H71" i="44"/>
  <c r="L71" i="44"/>
  <c r="G89" i="44"/>
  <c r="I71" i="44"/>
  <c r="G68" i="44"/>
  <c r="G77" i="44" s="1"/>
  <c r="H68" i="44"/>
  <c r="H77" i="44" s="1"/>
  <c r="J71" i="44"/>
  <c r="K268" i="44"/>
  <c r="I268" i="44"/>
  <c r="J268" i="44"/>
  <c r="K269" i="44"/>
  <c r="I269" i="44"/>
  <c r="J269" i="44"/>
  <c r="K270" i="44"/>
  <c r="I270" i="44"/>
  <c r="J270" i="44"/>
  <c r="K271" i="44"/>
  <c r="I271" i="44"/>
  <c r="J271" i="44"/>
  <c r="J266" i="44"/>
  <c r="J267" i="44"/>
  <c r="I272" i="44"/>
  <c r="K272" i="44"/>
  <c r="I273" i="44"/>
  <c r="K273" i="44"/>
  <c r="J272" i="44"/>
  <c r="J273" i="44"/>
  <c r="L114" i="40"/>
  <c r="C131" i="41" s="1"/>
  <c r="L100" i="40"/>
  <c r="C124" i="41" s="1"/>
  <c r="C123" i="41"/>
  <c r="L94" i="40"/>
  <c r="C121" i="41" s="1"/>
  <c r="L90" i="40"/>
  <c r="C119" i="41" s="1"/>
  <c r="C117" i="41"/>
  <c r="C115" i="41"/>
  <c r="C113" i="41"/>
  <c r="L76" i="40"/>
  <c r="C112" i="41" s="1"/>
  <c r="L42" i="40"/>
  <c r="C94" i="41" s="1"/>
  <c r="L36" i="40"/>
  <c r="C91" i="41" s="1"/>
  <c r="C87" i="41"/>
  <c r="C77" i="41"/>
  <c r="L162" i="40"/>
  <c r="C155" i="41" s="1"/>
  <c r="L154" i="40"/>
  <c r="C151" i="41" s="1"/>
  <c r="L152" i="40"/>
  <c r="C150" i="41" s="1"/>
  <c r="L149" i="40"/>
  <c r="C149" i="41" s="1"/>
  <c r="L120" i="40"/>
  <c r="O120" i="40"/>
  <c r="L143" i="40"/>
  <c r="L141" i="40"/>
  <c r="L131" i="40"/>
  <c r="H12" i="41" s="1"/>
  <c r="L129" i="40"/>
  <c r="H11" i="41" s="1"/>
  <c r="S111" i="15" l="1"/>
  <c r="T111" i="15" s="1"/>
  <c r="S113" i="15"/>
  <c r="T113" i="15" s="1"/>
  <c r="F151" i="45"/>
  <c r="C151" i="45"/>
  <c r="C150" i="45"/>
  <c r="D151" i="45"/>
  <c r="I151" i="45"/>
  <c r="E151" i="45"/>
  <c r="D150" i="45"/>
  <c r="N8" i="41"/>
  <c r="K150" i="41"/>
  <c r="N7" i="41"/>
  <c r="K149" i="41"/>
  <c r="N9" i="41"/>
  <c r="K151" i="41"/>
  <c r="K155" i="41"/>
  <c r="N13" i="41"/>
  <c r="C146" i="41"/>
  <c r="K10" i="41"/>
  <c r="K9" i="41"/>
  <c r="C145" i="41"/>
  <c r="I140" i="41"/>
  <c r="C140" i="41"/>
  <c r="C139" i="41"/>
  <c r="H139" i="41"/>
  <c r="C135" i="41"/>
  <c r="J135" i="41"/>
  <c r="J141" i="41" s="1"/>
  <c r="G131" i="41"/>
  <c r="E27" i="41"/>
  <c r="E8" i="41"/>
  <c r="E11" i="41"/>
  <c r="E15" i="41"/>
  <c r="E19" i="41"/>
  <c r="E9" i="41"/>
  <c r="E13" i="41"/>
  <c r="E17" i="41"/>
  <c r="E20" i="41"/>
  <c r="D268" i="44"/>
  <c r="D267" i="44"/>
  <c r="M268" i="44"/>
  <c r="K141" i="41"/>
  <c r="F268" i="44"/>
  <c r="E268" i="44"/>
  <c r="H268" i="44"/>
  <c r="H151" i="45"/>
  <c r="G268" i="44"/>
  <c r="G151" i="45"/>
  <c r="N267" i="44"/>
  <c r="K59" i="44"/>
  <c r="L59" i="44" s="1"/>
  <c r="K60" i="44"/>
  <c r="L60" i="44" s="1"/>
  <c r="K63" i="44"/>
  <c r="L63" i="44" s="1"/>
  <c r="K62" i="44"/>
  <c r="L62" i="44" s="1"/>
  <c r="I52" i="44"/>
  <c r="J52" i="44" s="1"/>
  <c r="I55" i="44"/>
  <c r="J55" i="44" s="1"/>
  <c r="I59" i="44"/>
  <c r="J59" i="44" s="1"/>
  <c r="J69" i="44" s="1"/>
  <c r="I63" i="44"/>
  <c r="J63" i="44" s="1"/>
  <c r="I62" i="44"/>
  <c r="J62" i="44" s="1"/>
  <c r="I54" i="44"/>
  <c r="J54" i="44" s="1"/>
  <c r="I53" i="44"/>
  <c r="J53" i="44" s="1"/>
  <c r="I61" i="44"/>
  <c r="J61" i="44" s="1"/>
  <c r="I68" i="44"/>
  <c r="I77" i="44" s="1"/>
  <c r="K68" i="44"/>
  <c r="K77" i="44" s="1"/>
  <c r="L68" i="44"/>
  <c r="L77" i="44" s="1"/>
  <c r="J68" i="44"/>
  <c r="J77" i="44" s="1"/>
  <c r="I109" i="45"/>
  <c r="K78" i="44"/>
  <c r="L78" i="44"/>
  <c r="I78" i="44"/>
  <c r="J78" i="44"/>
  <c r="G78" i="44"/>
  <c r="H78" i="44"/>
  <c r="G80" i="44"/>
  <c r="H80" i="44"/>
  <c r="I80" i="44"/>
  <c r="J80" i="44"/>
  <c r="C268" i="44"/>
  <c r="K80" i="44"/>
  <c r="L80" i="44"/>
  <c r="B24" i="41"/>
  <c r="B21" i="41"/>
  <c r="B17" i="41"/>
  <c r="L10" i="40"/>
  <c r="L12" i="40"/>
  <c r="C79" i="41" s="1"/>
  <c r="L14" i="40"/>
  <c r="C80" i="41" s="1"/>
  <c r="L16" i="40"/>
  <c r="C81" i="41" s="1"/>
  <c r="C82" i="41"/>
  <c r="L20" i="40"/>
  <c r="C83" i="41" s="1"/>
  <c r="L30" i="40"/>
  <c r="C88" i="41" s="1"/>
  <c r="C92" i="41"/>
  <c r="C114" i="41"/>
  <c r="C116" i="41"/>
  <c r="C118" i="41"/>
  <c r="L92" i="40"/>
  <c r="C120" i="41" s="1"/>
  <c r="L96" i="40"/>
  <c r="C122" i="41" s="1"/>
  <c r="L102" i="40"/>
  <c r="C125" i="41" s="1"/>
  <c r="E7" i="41"/>
  <c r="B7" i="41"/>
  <c r="H7" i="41"/>
  <c r="L22" i="40"/>
  <c r="C84" i="41" s="1"/>
  <c r="L24" i="40"/>
  <c r="L26" i="40"/>
  <c r="C86" i="41" s="1"/>
  <c r="L32" i="40"/>
  <c r="C89" i="41" s="1"/>
  <c r="L34" i="40"/>
  <c r="C90" i="41" s="1"/>
  <c r="L40" i="40"/>
  <c r="C78" i="41" l="1"/>
  <c r="H357" i="40"/>
  <c r="N25" i="60" s="1"/>
  <c r="P25" i="60" s="1"/>
  <c r="F25" i="60" s="1"/>
  <c r="N71" i="41"/>
  <c r="K156" i="41"/>
  <c r="K239" i="41" s="1"/>
  <c r="K71" i="41"/>
  <c r="C147" i="41"/>
  <c r="H71" i="41"/>
  <c r="B23" i="41"/>
  <c r="C93" i="41"/>
  <c r="B15" i="41"/>
  <c r="C85" i="41"/>
  <c r="E21" i="41"/>
  <c r="E16" i="41"/>
  <c r="E12" i="41"/>
  <c r="E18" i="41"/>
  <c r="E14" i="41"/>
  <c r="E10" i="41"/>
  <c r="G156" i="41"/>
  <c r="C156" i="41"/>
  <c r="F156" i="41"/>
  <c r="I156" i="41"/>
  <c r="E156" i="41"/>
  <c r="H156" i="41"/>
  <c r="D156" i="41"/>
  <c r="I141" i="41"/>
  <c r="H141" i="41"/>
  <c r="E141" i="41"/>
  <c r="D141" i="41"/>
  <c r="F141" i="41"/>
  <c r="G141" i="41"/>
  <c r="C141" i="41"/>
  <c r="G69" i="44"/>
  <c r="G70" i="44" s="1"/>
  <c r="G79" i="44" s="1"/>
  <c r="H82" i="44" s="1"/>
  <c r="H89" i="44" s="1"/>
  <c r="H69" i="44"/>
  <c r="H70" i="44" s="1"/>
  <c r="H79" i="44" s="1"/>
  <c r="H86" i="44" s="1"/>
  <c r="J70" i="44"/>
  <c r="J79" i="44" s="1"/>
  <c r="J86" i="44" s="1"/>
  <c r="I69" i="44"/>
  <c r="I70" i="44" s="1"/>
  <c r="I79" i="44" s="1"/>
  <c r="J82" i="44" s="1"/>
  <c r="K69" i="44"/>
  <c r="K70" i="44" s="1"/>
  <c r="K79" i="44" s="1"/>
  <c r="L82" i="44" s="1"/>
  <c r="L89" i="44" s="1"/>
  <c r="L69" i="44"/>
  <c r="L70" i="44" s="1"/>
  <c r="L79" i="44" s="1"/>
  <c r="L86" i="44" s="1"/>
  <c r="B20" i="41"/>
  <c r="B16" i="41"/>
  <c r="B14" i="41"/>
  <c r="B19" i="41"/>
  <c r="G132" i="41"/>
  <c r="F132" i="41"/>
  <c r="J132" i="41"/>
  <c r="J239" i="41" s="1"/>
  <c r="B18" i="41"/>
  <c r="B12" i="41"/>
  <c r="B10" i="41"/>
  <c r="B8" i="41"/>
  <c r="E132" i="41"/>
  <c r="I132" i="41"/>
  <c r="H132" i="41"/>
  <c r="D132" i="41"/>
  <c r="B22" i="41"/>
  <c r="B13" i="41"/>
  <c r="B11" i="41"/>
  <c r="B9" i="41"/>
  <c r="O162" i="40"/>
  <c r="Z164" i="40"/>
  <c r="O154" i="40"/>
  <c r="O152" i="40"/>
  <c r="Z154" i="40"/>
  <c r="O149" i="40"/>
  <c r="Z147" i="40"/>
  <c r="Z173" i="40" s="1"/>
  <c r="O143" i="40"/>
  <c r="Z144" i="40"/>
  <c r="O141" i="40"/>
  <c r="O131" i="40"/>
  <c r="Z133" i="40"/>
  <c r="O129" i="40"/>
  <c r="O42" i="40"/>
  <c r="O40" i="40"/>
  <c r="O36" i="40"/>
  <c r="O34" i="40"/>
  <c r="O32" i="40"/>
  <c r="O30" i="40"/>
  <c r="O26" i="40"/>
  <c r="O24" i="40"/>
  <c r="O22" i="40"/>
  <c r="O20" i="40"/>
  <c r="O16" i="40"/>
  <c r="O14" i="40"/>
  <c r="O12" i="40"/>
  <c r="O10" i="40"/>
  <c r="B1" i="40"/>
  <c r="B353" i="40" s="1"/>
  <c r="O351" i="40" l="1"/>
  <c r="D239" i="41"/>
  <c r="C240" i="41" s="1"/>
  <c r="G239" i="41"/>
  <c r="C243" i="41" s="1"/>
  <c r="E239" i="41"/>
  <c r="C241" i="41" s="1"/>
  <c r="F239" i="41"/>
  <c r="C242" i="41" s="1"/>
  <c r="H239" i="41"/>
  <c r="C244" i="41" s="1"/>
  <c r="I239" i="41"/>
  <c r="C245" i="41" s="1"/>
  <c r="H360" i="40"/>
  <c r="H363" i="40" s="1"/>
  <c r="C247" i="41"/>
  <c r="C106" i="41"/>
  <c r="B376" i="40"/>
  <c r="B365" i="40"/>
  <c r="I33" i="53"/>
  <c r="N17" i="45"/>
  <c r="E71" i="41"/>
  <c r="C132" i="41"/>
  <c r="B71" i="41"/>
  <c r="L83" i="44"/>
  <c r="L84" i="44"/>
  <c r="L85" i="44"/>
  <c r="H84" i="44"/>
  <c r="H83" i="44"/>
  <c r="H85" i="44"/>
  <c r="J85" i="44"/>
  <c r="J84" i="44"/>
  <c r="J83" i="44"/>
  <c r="J89" i="44"/>
  <c r="I33" i="45"/>
  <c r="C246" i="41"/>
  <c r="C387" i="40" s="1"/>
  <c r="T387" i="40" s="1"/>
  <c r="Z153" i="40"/>
  <c r="B4" i="40"/>
  <c r="T125" i="15" l="1"/>
  <c r="S127" i="15"/>
  <c r="T127" i="15" s="1"/>
  <c r="S128" i="15" s="1"/>
  <c r="V116" i="15"/>
  <c r="S65" i="15"/>
  <c r="W71" i="41"/>
  <c r="H368" i="40" s="1"/>
  <c r="H371" i="40" s="1"/>
  <c r="H374" i="40" s="1"/>
  <c r="C239" i="41"/>
  <c r="C380" i="40" s="1"/>
  <c r="Z179" i="40"/>
  <c r="Z175" i="40"/>
  <c r="Z177" i="40"/>
  <c r="C388" i="40"/>
  <c r="C386" i="40"/>
  <c r="C384" i="40"/>
  <c r="C382" i="40"/>
  <c r="C385" i="40"/>
  <c r="C383" i="40"/>
  <c r="C381" i="40"/>
  <c r="J44" i="53"/>
  <c r="J37" i="53"/>
  <c r="J17" i="45"/>
  <c r="I56" i="45" s="1"/>
  <c r="J60" i="45" s="1"/>
  <c r="E107" i="44" s="1"/>
  <c r="H230" i="49"/>
  <c r="H233" i="49" s="1"/>
  <c r="T239" i="49"/>
  <c r="T111" i="46"/>
  <c r="T109" i="46"/>
  <c r="T107" i="46"/>
  <c r="T105" i="46"/>
  <c r="T112" i="46"/>
  <c r="T110" i="46"/>
  <c r="T108" i="46"/>
  <c r="T106" i="46"/>
  <c r="J37" i="45"/>
  <c r="J44" i="45"/>
  <c r="V269" i="8"/>
  <c r="V266" i="8"/>
  <c r="V263" i="8"/>
  <c r="V259" i="8"/>
  <c r="V256" i="8"/>
  <c r="V251" i="8"/>
  <c r="V248" i="8"/>
  <c r="V245" i="8"/>
  <c r="V240" i="8"/>
  <c r="V237" i="8"/>
  <c r="V230" i="8"/>
  <c r="V227" i="8"/>
  <c r="V224" i="8"/>
  <c r="V215" i="8"/>
  <c r="V213" i="8"/>
  <c r="V210" i="8"/>
  <c r="V207" i="8"/>
  <c r="V204" i="8"/>
  <c r="V201" i="8"/>
  <c r="V198" i="8"/>
  <c r="V193" i="8"/>
  <c r="V182" i="8"/>
  <c r="V179" i="8"/>
  <c r="V178" i="8"/>
  <c r="V175" i="8"/>
  <c r="V172" i="8"/>
  <c r="V166" i="8"/>
  <c r="V162" i="8"/>
  <c r="V156" i="8"/>
  <c r="V149" i="8"/>
  <c r="V143" i="8"/>
  <c r="V139" i="8"/>
  <c r="V136" i="8"/>
  <c r="V126" i="8"/>
  <c r="V123" i="8"/>
  <c r="V120" i="8"/>
  <c r="V117" i="8"/>
  <c r="V114" i="8"/>
  <c r="V113" i="8"/>
  <c r="V112" i="8"/>
  <c r="V111" i="8"/>
  <c r="V109" i="8"/>
  <c r="V107" i="8"/>
  <c r="V105" i="8"/>
  <c r="V94" i="8"/>
  <c r="V95" i="8"/>
  <c r="V93" i="8"/>
  <c r="V91" i="8"/>
  <c r="V88" i="8"/>
  <c r="V87" i="8"/>
  <c r="V85" i="8"/>
  <c r="V84" i="8"/>
  <c r="V82" i="8"/>
  <c r="V77" i="8"/>
  <c r="V75" i="8"/>
  <c r="V71" i="8"/>
  <c r="V68" i="8"/>
  <c r="V67" i="8"/>
  <c r="V66" i="8"/>
  <c r="V65" i="8"/>
  <c r="L262" i="8"/>
  <c r="J124" i="7" s="1"/>
  <c r="J121" i="7"/>
  <c r="L76" i="8"/>
  <c r="S126" i="15" l="1"/>
  <c r="W118" i="15"/>
  <c r="X118" i="15" s="1"/>
  <c r="A1" i="46" s="1"/>
  <c r="E267" i="44"/>
  <c r="E150" i="45"/>
  <c r="C109" i="54"/>
  <c r="C111" i="54"/>
  <c r="C113" i="54"/>
  <c r="C110" i="54"/>
  <c r="C112" i="54"/>
  <c r="C114" i="54"/>
  <c r="D109" i="54"/>
  <c r="D113" i="54"/>
  <c r="D110" i="54"/>
  <c r="D112" i="54"/>
  <c r="D114" i="54"/>
  <c r="D157" i="53" s="1"/>
  <c r="D111" i="54"/>
  <c r="D114" i="44"/>
  <c r="D157" i="45" s="1"/>
  <c r="D109" i="44"/>
  <c r="D111" i="44"/>
  <c r="D110" i="44"/>
  <c r="D112" i="44"/>
  <c r="C114" i="44"/>
  <c r="C109" i="44"/>
  <c r="C111" i="44"/>
  <c r="C110" i="44"/>
  <c r="C112" i="44"/>
  <c r="E114" i="44"/>
  <c r="E157" i="45" s="1"/>
  <c r="E109" i="44"/>
  <c r="E111" i="44"/>
  <c r="E110" i="44"/>
  <c r="E112" i="44"/>
  <c r="R42" i="8"/>
  <c r="V100" i="15"/>
  <c r="R17" i="45"/>
  <c r="L94" i="56"/>
  <c r="D266" i="56"/>
  <c r="H93" i="54"/>
  <c r="C106" i="54"/>
  <c r="D106" i="54"/>
  <c r="H94" i="54"/>
  <c r="L94" i="54" s="1"/>
  <c r="R17" i="53"/>
  <c r="I56" i="53"/>
  <c r="C106" i="44"/>
  <c r="C266" i="44" s="1"/>
  <c r="E113" i="44"/>
  <c r="E106" i="44"/>
  <c r="D113" i="44"/>
  <c r="D106" i="44"/>
  <c r="E156" i="45"/>
  <c r="H93" i="44"/>
  <c r="C113" i="44"/>
  <c r="H95" i="44"/>
  <c r="L95" i="44" s="1"/>
  <c r="H94" i="44"/>
  <c r="L94" i="44" s="1"/>
  <c r="I73" i="45"/>
  <c r="J92" i="45" s="1"/>
  <c r="H107" i="44" s="1"/>
  <c r="H96" i="46"/>
  <c r="H99" i="46" s="1"/>
  <c r="E122" i="18"/>
  <c r="E121" i="18"/>
  <c r="E120" i="18"/>
  <c r="E119" i="18"/>
  <c r="E118" i="18"/>
  <c r="E117" i="18"/>
  <c r="E116" i="18"/>
  <c r="E115" i="18"/>
  <c r="E114" i="18"/>
  <c r="E113" i="18"/>
  <c r="E112" i="18"/>
  <c r="E111" i="18"/>
  <c r="E110" i="18"/>
  <c r="E109" i="18"/>
  <c r="H253" i="17"/>
  <c r="V241" i="17"/>
  <c r="V238" i="17"/>
  <c r="V235" i="17"/>
  <c r="V232" i="17"/>
  <c r="V229" i="17"/>
  <c r="V226" i="17"/>
  <c r="V223" i="17"/>
  <c r="V220" i="17"/>
  <c r="V217" i="17"/>
  <c r="V214" i="17"/>
  <c r="V211" i="17"/>
  <c r="V208" i="17"/>
  <c r="V205" i="17"/>
  <c r="V202" i="17"/>
  <c r="V199" i="17"/>
  <c r="V196" i="17"/>
  <c r="V193" i="17"/>
  <c r="V190" i="17"/>
  <c r="V187" i="17"/>
  <c r="V184" i="17"/>
  <c r="V181" i="17"/>
  <c r="V178" i="17"/>
  <c r="V176" i="17"/>
  <c r="V173" i="17"/>
  <c r="V169" i="17"/>
  <c r="V166" i="17"/>
  <c r="V157" i="17"/>
  <c r="V154" i="17"/>
  <c r="V150" i="17"/>
  <c r="V148" i="17"/>
  <c r="V145" i="17"/>
  <c r="V144" i="17"/>
  <c r="V143" i="17"/>
  <c r="V142" i="17"/>
  <c r="V139" i="17"/>
  <c r="V136" i="17"/>
  <c r="V133" i="17"/>
  <c r="V131" i="17"/>
  <c r="V128" i="17"/>
  <c r="V125" i="17"/>
  <c r="V122" i="17"/>
  <c r="V119" i="17"/>
  <c r="V113" i="17"/>
  <c r="V110" i="17"/>
  <c r="V107" i="17"/>
  <c r="V104" i="17"/>
  <c r="V101" i="17"/>
  <c r="V98" i="17"/>
  <c r="V94" i="17"/>
  <c r="V91" i="17"/>
  <c r="V88" i="17"/>
  <c r="V85" i="17"/>
  <c r="V82" i="17"/>
  <c r="V76" i="17"/>
  <c r="V73" i="17"/>
  <c r="V70" i="17"/>
  <c r="V67" i="17"/>
  <c r="V64" i="17"/>
  <c r="V61" i="17"/>
  <c r="V58" i="17"/>
  <c r="V55" i="17"/>
  <c r="V53" i="17"/>
  <c r="V51" i="17"/>
  <c r="V50" i="17"/>
  <c r="V49" i="17"/>
  <c r="V47" i="17"/>
  <c r="V44" i="17"/>
  <c r="V39" i="17"/>
  <c r="R244" i="11"/>
  <c r="H253" i="11" s="1"/>
  <c r="L244" i="11"/>
  <c r="E122" i="14" s="1"/>
  <c r="V241" i="11"/>
  <c r="V238" i="11"/>
  <c r="V235" i="11"/>
  <c r="E121" i="14"/>
  <c r="V232" i="11"/>
  <c r="V229" i="11"/>
  <c r="V226" i="11"/>
  <c r="V223" i="11"/>
  <c r="V220" i="11"/>
  <c r="V217" i="11"/>
  <c r="V214" i="11"/>
  <c r="V211" i="11"/>
  <c r="V208" i="11"/>
  <c r="V205" i="11"/>
  <c r="V202" i="11"/>
  <c r="V199" i="11"/>
  <c r="V196" i="11"/>
  <c r="V193" i="11"/>
  <c r="L192" i="11"/>
  <c r="E120" i="14" s="1"/>
  <c r="V190" i="11"/>
  <c r="V187" i="11"/>
  <c r="V184" i="11"/>
  <c r="V181" i="11"/>
  <c r="V178" i="11"/>
  <c r="L177" i="11"/>
  <c r="E119" i="14" s="1"/>
  <c r="V176" i="11"/>
  <c r="V173" i="11"/>
  <c r="V169" i="11"/>
  <c r="V166" i="11"/>
  <c r="V157" i="11"/>
  <c r="V154" i="11"/>
  <c r="L153" i="11"/>
  <c r="V150" i="11"/>
  <c r="V148" i="11"/>
  <c r="V145" i="11"/>
  <c r="V144" i="11"/>
  <c r="V143" i="11"/>
  <c r="V142" i="11"/>
  <c r="V139" i="11"/>
  <c r="V136" i="11"/>
  <c r="V133" i="11"/>
  <c r="V131" i="11"/>
  <c r="V128" i="11"/>
  <c r="L127" i="11"/>
  <c r="E112" i="14" s="1"/>
  <c r="V125" i="11"/>
  <c r="V122" i="11"/>
  <c r="V119" i="11"/>
  <c r="L115" i="11"/>
  <c r="E111" i="14" s="1"/>
  <c r="V113" i="11"/>
  <c r="V110" i="11"/>
  <c r="V107" i="11"/>
  <c r="V104" i="11"/>
  <c r="V101" i="11"/>
  <c r="V98" i="11"/>
  <c r="V94" i="11"/>
  <c r="V91" i="11"/>
  <c r="V88" i="11"/>
  <c r="V85" i="11"/>
  <c r="V82" i="11"/>
  <c r="L78" i="11"/>
  <c r="E110" i="14" s="1"/>
  <c r="V76" i="11"/>
  <c r="V73" i="11"/>
  <c r="V70" i="11"/>
  <c r="V67" i="11"/>
  <c r="V64" i="11"/>
  <c r="V61" i="11"/>
  <c r="V58" i="11"/>
  <c r="V55" i="11"/>
  <c r="V53" i="11"/>
  <c r="V51" i="11"/>
  <c r="V50" i="11"/>
  <c r="V49" i="11"/>
  <c r="V47" i="11"/>
  <c r="V44" i="11"/>
  <c r="V39" i="11"/>
  <c r="R8" i="27"/>
  <c r="E118" i="36"/>
  <c r="E117" i="36"/>
  <c r="E116" i="36"/>
  <c r="E115" i="36"/>
  <c r="E114" i="36"/>
  <c r="E113" i="36"/>
  <c r="R244" i="35"/>
  <c r="H253" i="35" s="1"/>
  <c r="V241" i="35"/>
  <c r="V238" i="35"/>
  <c r="V235" i="35"/>
  <c r="E121" i="36"/>
  <c r="V232" i="35"/>
  <c r="V229" i="35"/>
  <c r="V226" i="35"/>
  <c r="V223" i="35"/>
  <c r="V220" i="35"/>
  <c r="V217" i="35"/>
  <c r="V214" i="35"/>
  <c r="V211" i="35"/>
  <c r="V208" i="35"/>
  <c r="V205" i="35"/>
  <c r="V202" i="35"/>
  <c r="V199" i="35"/>
  <c r="V196" i="35"/>
  <c r="V193" i="35"/>
  <c r="E120" i="36"/>
  <c r="V190" i="35"/>
  <c r="V187" i="35"/>
  <c r="V184" i="35"/>
  <c r="V181" i="35"/>
  <c r="V178" i="35"/>
  <c r="E119" i="36"/>
  <c r="V176" i="35"/>
  <c r="V173" i="35"/>
  <c r="V169" i="35"/>
  <c r="V166" i="35"/>
  <c r="V157" i="35"/>
  <c r="V154" i="35"/>
  <c r="V150" i="35"/>
  <c r="V148" i="35"/>
  <c r="V145" i="35"/>
  <c r="V144" i="35"/>
  <c r="V143" i="35"/>
  <c r="V142" i="35"/>
  <c r="V139" i="35"/>
  <c r="V136" i="35"/>
  <c r="V133" i="35"/>
  <c r="V131" i="35"/>
  <c r="V128" i="35"/>
  <c r="E112" i="36"/>
  <c r="V125" i="35"/>
  <c r="V122" i="35"/>
  <c r="V119" i="35"/>
  <c r="E111" i="36"/>
  <c r="V113" i="35"/>
  <c r="V110" i="35"/>
  <c r="V107" i="35"/>
  <c r="V104" i="35"/>
  <c r="V101" i="35"/>
  <c r="V98" i="35"/>
  <c r="V94" i="35"/>
  <c r="V91" i="35"/>
  <c r="V88" i="35"/>
  <c r="V85" i="35"/>
  <c r="V82" i="35"/>
  <c r="E110" i="36"/>
  <c r="V76" i="35"/>
  <c r="V73" i="35"/>
  <c r="V70" i="35"/>
  <c r="V67" i="35"/>
  <c r="V64" i="35"/>
  <c r="V61" i="35"/>
  <c r="V58" i="35"/>
  <c r="V55" i="35"/>
  <c r="E109" i="36"/>
  <c r="V53" i="35"/>
  <c r="V51" i="35"/>
  <c r="V50" i="35"/>
  <c r="V49" i="35"/>
  <c r="V47" i="35"/>
  <c r="V44" i="35"/>
  <c r="V39" i="35"/>
  <c r="E122" i="21"/>
  <c r="E120" i="21"/>
  <c r="E119" i="21"/>
  <c r="E118" i="21"/>
  <c r="E117" i="21"/>
  <c r="E116" i="21"/>
  <c r="E115" i="21"/>
  <c r="E114" i="21"/>
  <c r="E113" i="21"/>
  <c r="E112" i="21"/>
  <c r="E111" i="21"/>
  <c r="E110" i="21"/>
  <c r="E109" i="21"/>
  <c r="R245" i="19"/>
  <c r="V242" i="19"/>
  <c r="V239" i="19"/>
  <c r="V236" i="19"/>
  <c r="E121" i="21"/>
  <c r="V233" i="19"/>
  <c r="V230" i="19"/>
  <c r="V227" i="19"/>
  <c r="V224" i="19"/>
  <c r="V221" i="19"/>
  <c r="V218" i="19"/>
  <c r="V215" i="19"/>
  <c r="V212" i="19"/>
  <c r="V209" i="19"/>
  <c r="V206" i="19"/>
  <c r="V203" i="19"/>
  <c r="V200" i="19"/>
  <c r="V197" i="19"/>
  <c r="V194" i="19"/>
  <c r="V191" i="19"/>
  <c r="V188" i="19"/>
  <c r="V185" i="19"/>
  <c r="V182" i="19"/>
  <c r="V179" i="19"/>
  <c r="V177" i="19"/>
  <c r="V174" i="19"/>
  <c r="V170" i="19"/>
  <c r="V167" i="19"/>
  <c r="V157" i="19"/>
  <c r="V154" i="19"/>
  <c r="V150" i="19"/>
  <c r="V148" i="19"/>
  <c r="V145" i="19"/>
  <c r="V144" i="19"/>
  <c r="V143" i="19"/>
  <c r="V142" i="19"/>
  <c r="V139" i="19"/>
  <c r="V136" i="19"/>
  <c r="V133" i="19"/>
  <c r="V131" i="19"/>
  <c r="V128" i="19"/>
  <c r="V125" i="19"/>
  <c r="V122" i="19"/>
  <c r="V119" i="19"/>
  <c r="V113" i="19"/>
  <c r="V110" i="19"/>
  <c r="V107" i="19"/>
  <c r="V104" i="19"/>
  <c r="V101" i="19"/>
  <c r="V98" i="19"/>
  <c r="V94" i="19"/>
  <c r="V91" i="19"/>
  <c r="V88" i="19"/>
  <c r="V85" i="19"/>
  <c r="V82" i="19"/>
  <c r="V76" i="19"/>
  <c r="V73" i="19"/>
  <c r="V70" i="19"/>
  <c r="V67" i="19"/>
  <c r="V64" i="19"/>
  <c r="V61" i="19"/>
  <c r="V58" i="19"/>
  <c r="V55" i="19"/>
  <c r="V53" i="19"/>
  <c r="V51" i="19"/>
  <c r="V50" i="19"/>
  <c r="V49" i="19"/>
  <c r="V47" i="19"/>
  <c r="V44" i="19"/>
  <c r="V39" i="19"/>
  <c r="E122" i="24"/>
  <c r="E121" i="24"/>
  <c r="E120" i="24"/>
  <c r="E119" i="24"/>
  <c r="E118" i="24"/>
  <c r="E117" i="24"/>
  <c r="E116" i="24"/>
  <c r="E115" i="24"/>
  <c r="E114" i="24"/>
  <c r="E113" i="24"/>
  <c r="E112" i="24"/>
  <c r="E111" i="24"/>
  <c r="E110" i="24"/>
  <c r="E109" i="24"/>
  <c r="V242" i="25"/>
  <c r="V239" i="25"/>
  <c r="V236" i="25"/>
  <c r="V233" i="25"/>
  <c r="V230" i="25"/>
  <c r="V227" i="25"/>
  <c r="V224" i="25"/>
  <c r="V221" i="25"/>
  <c r="V218" i="25"/>
  <c r="V215" i="25"/>
  <c r="V212" i="25"/>
  <c r="V209" i="25"/>
  <c r="V206" i="25"/>
  <c r="V203" i="25"/>
  <c r="V200" i="25"/>
  <c r="V197" i="25"/>
  <c r="V194" i="25"/>
  <c r="V191" i="25"/>
  <c r="V188" i="25"/>
  <c r="V185" i="25"/>
  <c r="V182" i="25"/>
  <c r="V179" i="25"/>
  <c r="V177" i="25"/>
  <c r="V174" i="25"/>
  <c r="V170" i="25"/>
  <c r="V167" i="25"/>
  <c r="V157" i="25"/>
  <c r="V154" i="25"/>
  <c r="V150" i="25"/>
  <c r="V148" i="25"/>
  <c r="V145" i="25"/>
  <c r="V144" i="25"/>
  <c r="V143" i="25"/>
  <c r="V142" i="25"/>
  <c r="V139" i="25"/>
  <c r="V136" i="25"/>
  <c r="V133" i="25"/>
  <c r="V131" i="25"/>
  <c r="V128" i="25"/>
  <c r="V125" i="25"/>
  <c r="V122" i="25"/>
  <c r="V119" i="25"/>
  <c r="V113" i="25"/>
  <c r="V110" i="25"/>
  <c r="V107" i="25"/>
  <c r="V104" i="25"/>
  <c r="V101" i="25"/>
  <c r="V98" i="25"/>
  <c r="V94" i="25"/>
  <c r="V91" i="25"/>
  <c r="V88" i="25"/>
  <c r="V85" i="25"/>
  <c r="V82" i="25"/>
  <c r="V76" i="25"/>
  <c r="V73" i="25"/>
  <c r="V70" i="25"/>
  <c r="V67" i="25"/>
  <c r="V64" i="25"/>
  <c r="V61" i="25"/>
  <c r="V58" i="25"/>
  <c r="V55" i="25"/>
  <c r="V53" i="25"/>
  <c r="V51" i="25"/>
  <c r="V50" i="25"/>
  <c r="V49" i="25"/>
  <c r="V47" i="25"/>
  <c r="V44" i="25"/>
  <c r="V39" i="25"/>
  <c r="R245" i="25"/>
  <c r="E122" i="26"/>
  <c r="E121" i="26"/>
  <c r="E120" i="26"/>
  <c r="E119" i="26"/>
  <c r="E118" i="26"/>
  <c r="E117" i="26"/>
  <c r="E116" i="26"/>
  <c r="E115" i="26"/>
  <c r="E114" i="26"/>
  <c r="E113" i="26"/>
  <c r="E112" i="26"/>
  <c r="E111" i="26"/>
  <c r="E110" i="26"/>
  <c r="E109" i="26"/>
  <c r="V145" i="27"/>
  <c r="V242" i="27"/>
  <c r="V239" i="27"/>
  <c r="V236" i="27"/>
  <c r="V233" i="27"/>
  <c r="V230" i="27"/>
  <c r="V227" i="27"/>
  <c r="V224" i="27"/>
  <c r="V221" i="27"/>
  <c r="V218" i="27"/>
  <c r="V215" i="27"/>
  <c r="V212" i="27"/>
  <c r="V209" i="27"/>
  <c r="V206" i="27"/>
  <c r="V203" i="27"/>
  <c r="V200" i="27"/>
  <c r="V197" i="27"/>
  <c r="V194" i="27"/>
  <c r="V191" i="27"/>
  <c r="V188" i="27"/>
  <c r="V185" i="27"/>
  <c r="V182" i="27"/>
  <c r="V179" i="27"/>
  <c r="V177" i="27"/>
  <c r="V174" i="27"/>
  <c r="V170" i="27"/>
  <c r="V167" i="27"/>
  <c r="V157" i="27"/>
  <c r="V154" i="27"/>
  <c r="V150" i="27"/>
  <c r="V148" i="27"/>
  <c r="V144" i="27"/>
  <c r="V143" i="27"/>
  <c r="V142" i="27"/>
  <c r="V139" i="27"/>
  <c r="V136" i="27"/>
  <c r="V133" i="27"/>
  <c r="V131" i="27"/>
  <c r="V128" i="27"/>
  <c r="V125" i="27"/>
  <c r="V122" i="27"/>
  <c r="V119" i="27"/>
  <c r="V113" i="27"/>
  <c r="V110" i="27"/>
  <c r="V107" i="27"/>
  <c r="V104" i="27"/>
  <c r="V101" i="27"/>
  <c r="V98" i="27"/>
  <c r="V94" i="27"/>
  <c r="V91" i="27"/>
  <c r="V88" i="27"/>
  <c r="V85" i="27"/>
  <c r="V82" i="27"/>
  <c r="V76" i="27"/>
  <c r="V73" i="27"/>
  <c r="V70" i="27"/>
  <c r="V67" i="27"/>
  <c r="V64" i="27"/>
  <c r="V61" i="27"/>
  <c r="V58" i="27"/>
  <c r="V55" i="27"/>
  <c r="V53" i="27"/>
  <c r="V51" i="27"/>
  <c r="V50" i="27"/>
  <c r="V49" i="27"/>
  <c r="V47" i="27"/>
  <c r="V44" i="27"/>
  <c r="V39" i="27"/>
  <c r="R245" i="27"/>
  <c r="H254" i="27" s="1"/>
  <c r="V150" i="28"/>
  <c r="E117" i="30"/>
  <c r="E113" i="30"/>
  <c r="E114" i="30"/>
  <c r="V125" i="28"/>
  <c r="V241" i="28"/>
  <c r="V238" i="28"/>
  <c r="V235" i="28"/>
  <c r="V232" i="28"/>
  <c r="V229" i="28"/>
  <c r="V226" i="28"/>
  <c r="V223" i="28"/>
  <c r="V220" i="28"/>
  <c r="V217" i="28"/>
  <c r="V214" i="28"/>
  <c r="V211" i="28"/>
  <c r="V208" i="28"/>
  <c r="V205" i="28"/>
  <c r="V202" i="28"/>
  <c r="V199" i="28"/>
  <c r="V196" i="28"/>
  <c r="V193" i="28"/>
  <c r="V190" i="28"/>
  <c r="V187" i="28"/>
  <c r="V184" i="28"/>
  <c r="V181" i="28"/>
  <c r="V178" i="28"/>
  <c r="V176" i="28"/>
  <c r="V173" i="28"/>
  <c r="V169" i="28"/>
  <c r="V166" i="28"/>
  <c r="V157" i="28"/>
  <c r="V154" i="28"/>
  <c r="V148" i="28"/>
  <c r="V145" i="28"/>
  <c r="V144" i="28"/>
  <c r="V143" i="28"/>
  <c r="V142" i="28"/>
  <c r="V139" i="28"/>
  <c r="V136" i="28"/>
  <c r="V133" i="28"/>
  <c r="V131" i="28"/>
  <c r="V128" i="28"/>
  <c r="V122" i="28"/>
  <c r="V119" i="28"/>
  <c r="V113" i="28"/>
  <c r="V110" i="28"/>
  <c r="V107" i="28"/>
  <c r="V104" i="28"/>
  <c r="V101" i="28"/>
  <c r="V98" i="28"/>
  <c r="V94" i="28"/>
  <c r="V91" i="28"/>
  <c r="V88" i="28"/>
  <c r="V85" i="28"/>
  <c r="V82" i="28"/>
  <c r="V76" i="28"/>
  <c r="V73" i="28"/>
  <c r="V70" i="28"/>
  <c r="V67" i="28"/>
  <c r="V64" i="28"/>
  <c r="V61" i="28"/>
  <c r="V58" i="28"/>
  <c r="V55" i="28"/>
  <c r="V53" i="28"/>
  <c r="V51" i="28"/>
  <c r="V50" i="28"/>
  <c r="V49" i="28"/>
  <c r="V47" i="28"/>
  <c r="V44" i="28"/>
  <c r="V39" i="28"/>
  <c r="R244" i="28"/>
  <c r="E117" i="32"/>
  <c r="E114" i="32"/>
  <c r="H254" i="25" l="1"/>
  <c r="E125" i="24"/>
  <c r="N15" i="60"/>
  <c r="N12" i="60"/>
  <c r="N11" i="60"/>
  <c r="N18" i="60"/>
  <c r="H267" i="44"/>
  <c r="H150" i="45"/>
  <c r="D154" i="53"/>
  <c r="D271" i="54"/>
  <c r="D155" i="53"/>
  <c r="D272" i="54"/>
  <c r="D156" i="53"/>
  <c r="D273" i="54"/>
  <c r="C157" i="53"/>
  <c r="C153" i="53"/>
  <c r="C270" i="54"/>
  <c r="C154" i="53"/>
  <c r="C271" i="54"/>
  <c r="D153" i="53"/>
  <c r="D270" i="54"/>
  <c r="D152" i="53"/>
  <c r="D269" i="54"/>
  <c r="C155" i="53"/>
  <c r="C272" i="54"/>
  <c r="C156" i="53"/>
  <c r="C273" i="54"/>
  <c r="C152" i="53"/>
  <c r="C269" i="54"/>
  <c r="E153" i="45"/>
  <c r="E270" i="44"/>
  <c r="E269" i="44"/>
  <c r="E152" i="45"/>
  <c r="C272" i="44"/>
  <c r="C155" i="45"/>
  <c r="C154" i="45"/>
  <c r="C271" i="44"/>
  <c r="C157" i="45"/>
  <c r="D153" i="45"/>
  <c r="D270" i="44"/>
  <c r="D269" i="44"/>
  <c r="D152" i="45"/>
  <c r="H114" i="44"/>
  <c r="H157" i="45" s="1"/>
  <c r="H109" i="44"/>
  <c r="H111" i="44"/>
  <c r="H110" i="44"/>
  <c r="H112" i="44"/>
  <c r="E272" i="44"/>
  <c r="E155" i="45"/>
  <c r="E271" i="44"/>
  <c r="E154" i="45"/>
  <c r="C153" i="45"/>
  <c r="C270" i="44"/>
  <c r="C152" i="45"/>
  <c r="C269" i="44"/>
  <c r="D272" i="44"/>
  <c r="D155" i="45"/>
  <c r="D271" i="44"/>
  <c r="D154" i="45"/>
  <c r="S8" i="27"/>
  <c r="V105" i="15" s="1"/>
  <c r="W100" i="15"/>
  <c r="H254" i="19"/>
  <c r="E125" i="21"/>
  <c r="L93" i="44"/>
  <c r="C266" i="56"/>
  <c r="D149" i="53"/>
  <c r="L93" i="56"/>
  <c r="C149" i="53"/>
  <c r="D266" i="54"/>
  <c r="L93" i="54"/>
  <c r="D149" i="45"/>
  <c r="E149" i="45"/>
  <c r="C266" i="54"/>
  <c r="I73" i="53"/>
  <c r="J60" i="53"/>
  <c r="E107" i="54" s="1"/>
  <c r="H113" i="44"/>
  <c r="H273" i="44" s="1"/>
  <c r="D273" i="44"/>
  <c r="E273" i="44"/>
  <c r="C149" i="45"/>
  <c r="D156" i="45"/>
  <c r="E266" i="44"/>
  <c r="D266" i="44"/>
  <c r="E122" i="36"/>
  <c r="C156" i="45"/>
  <c r="C273" i="44"/>
  <c r="H106" i="44"/>
  <c r="J77" i="45"/>
  <c r="F107" i="44" s="1"/>
  <c r="J103" i="45"/>
  <c r="H96" i="44"/>
  <c r="L96" i="44" s="1"/>
  <c r="H98" i="44"/>
  <c r="L98" i="44" s="1"/>
  <c r="J89" i="45"/>
  <c r="G107" i="44" s="1"/>
  <c r="J96" i="45"/>
  <c r="E113" i="32"/>
  <c r="R244" i="31"/>
  <c r="E125" i="32" s="1"/>
  <c r="M107" i="44" l="1"/>
  <c r="H99" i="44"/>
  <c r="N108" i="44"/>
  <c r="H100" i="44"/>
  <c r="N14" i="60"/>
  <c r="N13" i="60"/>
  <c r="M267" i="44"/>
  <c r="I150" i="45"/>
  <c r="G267" i="44"/>
  <c r="G150" i="45"/>
  <c r="J151" i="45"/>
  <c r="N268" i="44"/>
  <c r="Q108" i="44"/>
  <c r="F150" i="45"/>
  <c r="F267" i="44"/>
  <c r="Q107" i="44"/>
  <c r="E150" i="53"/>
  <c r="E267" i="54"/>
  <c r="E110" i="54"/>
  <c r="E113" i="54"/>
  <c r="E112" i="54"/>
  <c r="E114" i="54"/>
  <c r="E109" i="54"/>
  <c r="E111" i="54"/>
  <c r="N114" i="44"/>
  <c r="J157" i="45" s="1"/>
  <c r="N109" i="44"/>
  <c r="N111" i="44"/>
  <c r="N110" i="44"/>
  <c r="N112" i="44"/>
  <c r="H269" i="44"/>
  <c r="H152" i="45"/>
  <c r="M114" i="44"/>
  <c r="I157" i="45" s="1"/>
  <c r="M109" i="44"/>
  <c r="M111" i="44"/>
  <c r="M110" i="44"/>
  <c r="M112" i="44"/>
  <c r="H270" i="44"/>
  <c r="H153" i="45"/>
  <c r="G114" i="44"/>
  <c r="G157" i="45" s="1"/>
  <c r="G109" i="44"/>
  <c r="G111" i="44"/>
  <c r="G110" i="44"/>
  <c r="G112" i="44"/>
  <c r="F114" i="44"/>
  <c r="F109" i="44"/>
  <c r="F111" i="44"/>
  <c r="F110" i="44"/>
  <c r="F112" i="44"/>
  <c r="H272" i="44"/>
  <c r="H155" i="45"/>
  <c r="H271" i="44"/>
  <c r="H154" i="45"/>
  <c r="X100" i="15"/>
  <c r="A1" i="8" s="1"/>
  <c r="G10" i="60" s="1"/>
  <c r="H156" i="45"/>
  <c r="H95" i="54"/>
  <c r="E106" i="54"/>
  <c r="J77" i="53"/>
  <c r="F107" i="54" s="1"/>
  <c r="J96" i="53"/>
  <c r="M108" i="54" s="1"/>
  <c r="J103" i="53"/>
  <c r="N108" i="54" s="1"/>
  <c r="J89" i="53"/>
  <c r="G107" i="54" s="1"/>
  <c r="J92" i="53"/>
  <c r="H107" i="54" s="1"/>
  <c r="G113" i="44"/>
  <c r="G273" i="44" s="1"/>
  <c r="G106" i="44"/>
  <c r="N113" i="44"/>
  <c r="J156" i="45" s="1"/>
  <c r="N106" i="44"/>
  <c r="F113" i="44"/>
  <c r="F156" i="45" s="1"/>
  <c r="F106" i="44"/>
  <c r="M106" i="44"/>
  <c r="M266" i="44" s="1"/>
  <c r="M113" i="44"/>
  <c r="J109" i="45"/>
  <c r="H118" i="45" s="1"/>
  <c r="H266" i="44"/>
  <c r="H149" i="45"/>
  <c r="H97" i="44"/>
  <c r="H101" i="44" s="1"/>
  <c r="L99" i="44"/>
  <c r="V241" i="31"/>
  <c r="V238" i="31"/>
  <c r="V235" i="31"/>
  <c r="V232" i="31"/>
  <c r="V229" i="31"/>
  <c r="V226" i="31"/>
  <c r="V223" i="31"/>
  <c r="V220" i="31"/>
  <c r="V217" i="31"/>
  <c r="V214" i="31"/>
  <c r="V211" i="31"/>
  <c r="V208" i="31"/>
  <c r="V205" i="31"/>
  <c r="V202" i="31"/>
  <c r="V199" i="31"/>
  <c r="V196" i="31"/>
  <c r="V193" i="31"/>
  <c r="V190" i="31"/>
  <c r="V187" i="31"/>
  <c r="V184" i="31"/>
  <c r="V181" i="31"/>
  <c r="V178" i="31"/>
  <c r="V176" i="31"/>
  <c r="V173" i="31"/>
  <c r="V169" i="31"/>
  <c r="V166" i="31"/>
  <c r="V157" i="31"/>
  <c r="V154" i="31"/>
  <c r="V150" i="31"/>
  <c r="V148" i="31"/>
  <c r="V145" i="31"/>
  <c r="V144" i="31"/>
  <c r="V143" i="31"/>
  <c r="V142" i="31"/>
  <c r="V139" i="31"/>
  <c r="V136" i="31"/>
  <c r="V133" i="31"/>
  <c r="V131" i="31"/>
  <c r="V128" i="31"/>
  <c r="V125" i="31"/>
  <c r="V122" i="31"/>
  <c r="V119" i="31"/>
  <c r="V113" i="31"/>
  <c r="V110" i="31"/>
  <c r="V107" i="31"/>
  <c r="V104" i="31"/>
  <c r="V101" i="31"/>
  <c r="V98" i="31"/>
  <c r="V94" i="31"/>
  <c r="V91" i="31"/>
  <c r="V88" i="31"/>
  <c r="V85" i="31"/>
  <c r="V82" i="31"/>
  <c r="V76" i="31"/>
  <c r="V73" i="31"/>
  <c r="V70" i="31"/>
  <c r="V67" i="31"/>
  <c r="V64" i="31"/>
  <c r="V61" i="31"/>
  <c r="V58" i="31"/>
  <c r="V55" i="31"/>
  <c r="V53" i="31"/>
  <c r="V51" i="31"/>
  <c r="V50" i="31"/>
  <c r="V49" i="31"/>
  <c r="V47" i="31"/>
  <c r="V44" i="31"/>
  <c r="V39" i="31"/>
  <c r="V37" i="34"/>
  <c r="H150" i="53" l="1"/>
  <c r="H267" i="54"/>
  <c r="G150" i="53"/>
  <c r="G267" i="54"/>
  <c r="J151" i="53"/>
  <c r="N268" i="54"/>
  <c r="I151" i="53"/>
  <c r="Q151" i="53" s="1"/>
  <c r="M268" i="54"/>
  <c r="Q108" i="54"/>
  <c r="F150" i="53"/>
  <c r="F267" i="54"/>
  <c r="Q107" i="54"/>
  <c r="Q150" i="53"/>
  <c r="G112" i="54"/>
  <c r="G114" i="54"/>
  <c r="G157" i="53" s="1"/>
  <c r="G109" i="54"/>
  <c r="G111" i="54"/>
  <c r="G110" i="54"/>
  <c r="G113" i="54"/>
  <c r="M110" i="54"/>
  <c r="M112" i="54"/>
  <c r="M114" i="54"/>
  <c r="I157" i="53" s="1"/>
  <c r="M109" i="54"/>
  <c r="M111" i="54"/>
  <c r="M113" i="54"/>
  <c r="E152" i="53"/>
  <c r="E269" i="54"/>
  <c r="E155" i="53"/>
  <c r="E272" i="54"/>
  <c r="E153" i="53"/>
  <c r="E270" i="54"/>
  <c r="H111" i="54"/>
  <c r="H113" i="54"/>
  <c r="H110" i="54"/>
  <c r="H112" i="54"/>
  <c r="H114" i="54"/>
  <c r="H157" i="53" s="1"/>
  <c r="H109" i="54"/>
  <c r="N110" i="54"/>
  <c r="N112" i="54"/>
  <c r="N114" i="54"/>
  <c r="J157" i="53" s="1"/>
  <c r="N109" i="54"/>
  <c r="N111" i="54"/>
  <c r="N113" i="54"/>
  <c r="F110" i="54"/>
  <c r="F112" i="54"/>
  <c r="Q112" i="54" s="1"/>
  <c r="F114" i="54"/>
  <c r="F157" i="53" s="1"/>
  <c r="F109" i="54"/>
  <c r="F111" i="54"/>
  <c r="F113" i="54"/>
  <c r="E154" i="53"/>
  <c r="E271" i="54"/>
  <c r="Q111" i="54"/>
  <c r="E157" i="53"/>
  <c r="Q114" i="54"/>
  <c r="E156" i="53"/>
  <c r="E273" i="54"/>
  <c r="F155" i="45"/>
  <c r="F272" i="44"/>
  <c r="Q112" i="44"/>
  <c r="F271" i="44"/>
  <c r="F154" i="45"/>
  <c r="Q111" i="44"/>
  <c r="F157" i="45"/>
  <c r="Q114" i="44"/>
  <c r="G270" i="44"/>
  <c r="G153" i="45"/>
  <c r="G269" i="44"/>
  <c r="G152" i="45"/>
  <c r="I155" i="45"/>
  <c r="M272" i="44"/>
  <c r="I154" i="45"/>
  <c r="M271" i="44"/>
  <c r="N270" i="44"/>
  <c r="J153" i="45"/>
  <c r="J152" i="45"/>
  <c r="N269" i="44"/>
  <c r="F153" i="45"/>
  <c r="F270" i="44"/>
  <c r="Q110" i="44"/>
  <c r="F269" i="44"/>
  <c r="F152" i="45"/>
  <c r="Q109" i="44"/>
  <c r="G272" i="44"/>
  <c r="G155" i="45"/>
  <c r="G271" i="44"/>
  <c r="G154" i="45"/>
  <c r="M270" i="44"/>
  <c r="I153" i="45"/>
  <c r="I152" i="45"/>
  <c r="M269" i="44"/>
  <c r="J155" i="45"/>
  <c r="N272" i="44"/>
  <c r="J154" i="45"/>
  <c r="N271" i="44"/>
  <c r="N266" i="56"/>
  <c r="L96" i="56"/>
  <c r="F266" i="56"/>
  <c r="L95" i="56"/>
  <c r="H266" i="56"/>
  <c r="L98" i="56"/>
  <c r="L97" i="56"/>
  <c r="G266" i="56"/>
  <c r="L99" i="56"/>
  <c r="M266" i="56"/>
  <c r="E266" i="56"/>
  <c r="E149" i="53"/>
  <c r="H97" i="54"/>
  <c r="L97" i="54" s="1"/>
  <c r="G106" i="54"/>
  <c r="H99" i="54"/>
  <c r="L99" i="54" s="1"/>
  <c r="M106" i="54"/>
  <c r="H106" i="54"/>
  <c r="H98" i="54"/>
  <c r="L98" i="54" s="1"/>
  <c r="N106" i="54"/>
  <c r="H100" i="54"/>
  <c r="F106" i="54"/>
  <c r="H96" i="54"/>
  <c r="L96" i="54" s="1"/>
  <c r="L95" i="54"/>
  <c r="E266" i="54"/>
  <c r="I149" i="45"/>
  <c r="Q106" i="44"/>
  <c r="G156" i="45"/>
  <c r="F273" i="44"/>
  <c r="I156" i="45"/>
  <c r="J149" i="45"/>
  <c r="J109" i="53"/>
  <c r="H118" i="53" s="1"/>
  <c r="M273" i="44"/>
  <c r="N266" i="44"/>
  <c r="F149" i="45"/>
  <c r="F266" i="44"/>
  <c r="H120" i="45"/>
  <c r="G266" i="44"/>
  <c r="G149" i="45"/>
  <c r="L97" i="44"/>
  <c r="N273" i="44"/>
  <c r="Q113" i="44"/>
  <c r="E110" i="32"/>
  <c r="V40" i="37"/>
  <c r="V41" i="37"/>
  <c r="V42" i="37"/>
  <c r="V43" i="37"/>
  <c r="V44" i="37"/>
  <c r="V45" i="37"/>
  <c r="V46" i="37"/>
  <c r="V47" i="37"/>
  <c r="V48" i="37"/>
  <c r="V49" i="37"/>
  <c r="V50" i="37"/>
  <c r="V51" i="37"/>
  <c r="V52" i="37"/>
  <c r="V53" i="37"/>
  <c r="V54" i="37"/>
  <c r="V55" i="37"/>
  <c r="V56" i="37"/>
  <c r="V57" i="37"/>
  <c r="V58" i="37"/>
  <c r="V59" i="37"/>
  <c r="V60" i="37"/>
  <c r="V61" i="37"/>
  <c r="V62" i="37"/>
  <c r="V63" i="37"/>
  <c r="V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116" i="37"/>
  <c r="V117" i="37"/>
  <c r="V118" i="37"/>
  <c r="V119" i="37"/>
  <c r="V120" i="37"/>
  <c r="V121" i="37"/>
  <c r="V122" i="37"/>
  <c r="V123" i="37"/>
  <c r="V124" i="37"/>
  <c r="V125" i="37"/>
  <c r="V126" i="37"/>
  <c r="V127" i="37"/>
  <c r="V128" i="37"/>
  <c r="V129" i="37"/>
  <c r="V130" i="37"/>
  <c r="V131" i="37"/>
  <c r="V133" i="37"/>
  <c r="V134" i="37"/>
  <c r="V135" i="37"/>
  <c r="V137" i="37"/>
  <c r="V138" i="37"/>
  <c r="J120" i="38"/>
  <c r="J119" i="38"/>
  <c r="J118" i="38"/>
  <c r="J117" i="38"/>
  <c r="J116" i="38"/>
  <c r="L110" i="37"/>
  <c r="J115" i="38" s="1"/>
  <c r="L89" i="37"/>
  <c r="J114" i="38" s="1"/>
  <c r="J121" i="38"/>
  <c r="L126" i="37"/>
  <c r="W108" i="37"/>
  <c r="W106" i="37"/>
  <c r="W104" i="37"/>
  <c r="W98" i="37"/>
  <c r="W96" i="37"/>
  <c r="R139" i="37"/>
  <c r="H152" i="37" s="1"/>
  <c r="W135" i="37"/>
  <c r="W131" i="37"/>
  <c r="W127" i="37"/>
  <c r="W124" i="37"/>
  <c r="I124" i="37" s="1"/>
  <c r="W120" i="37"/>
  <c r="I120" i="37" s="1"/>
  <c r="W116" i="37"/>
  <c r="I116" i="37" s="1"/>
  <c r="W114" i="37"/>
  <c r="W87" i="37"/>
  <c r="W85" i="37"/>
  <c r="W82" i="37"/>
  <c r="W83" i="37"/>
  <c r="W81" i="37"/>
  <c r="W78" i="37"/>
  <c r="W73" i="37"/>
  <c r="W72" i="37"/>
  <c r="W68" i="37"/>
  <c r="W46" i="37"/>
  <c r="W47" i="37"/>
  <c r="W62" i="37"/>
  <c r="W60" i="37"/>
  <c r="W58" i="37"/>
  <c r="W50" i="37"/>
  <c r="W43" i="37"/>
  <c r="W42" i="37"/>
  <c r="W39" i="37"/>
  <c r="W76" i="34"/>
  <c r="L45" i="37"/>
  <c r="J112" i="38" s="1"/>
  <c r="L64" i="37"/>
  <c r="J113" i="38" s="1"/>
  <c r="G63" i="38"/>
  <c r="G62" i="38"/>
  <c r="K58" i="38"/>
  <c r="I58" i="38"/>
  <c r="G58" i="38"/>
  <c r="H76" i="38" s="1" a="1"/>
  <c r="H76" i="38" s="1"/>
  <c r="G27" i="38"/>
  <c r="B134" i="38"/>
  <c r="B133" i="38"/>
  <c r="B132" i="38"/>
  <c r="B131" i="38"/>
  <c r="B130" i="38"/>
  <c r="B129" i="38"/>
  <c r="B128" i="38"/>
  <c r="B127" i="38"/>
  <c r="P27" i="38"/>
  <c r="M27" i="38"/>
  <c r="J27" i="38"/>
  <c r="P26" i="38"/>
  <c r="M26" i="38"/>
  <c r="J26" i="38"/>
  <c r="G26" i="38"/>
  <c r="P25" i="38"/>
  <c r="M25" i="38"/>
  <c r="J25" i="38"/>
  <c r="G25" i="38"/>
  <c r="P24" i="38"/>
  <c r="M24" i="38"/>
  <c r="J24" i="38"/>
  <c r="G24" i="38"/>
  <c r="P23" i="38"/>
  <c r="M23" i="38"/>
  <c r="J23" i="38"/>
  <c r="G23" i="38"/>
  <c r="P22" i="38"/>
  <c r="M22" i="38"/>
  <c r="J22" i="38"/>
  <c r="G22" i="38"/>
  <c r="P21" i="38"/>
  <c r="M21" i="38"/>
  <c r="J21" i="38"/>
  <c r="G21" i="38"/>
  <c r="P20" i="38"/>
  <c r="M20" i="38"/>
  <c r="J20" i="38"/>
  <c r="G20" i="38"/>
  <c r="P19" i="38"/>
  <c r="M19" i="38"/>
  <c r="J19" i="38"/>
  <c r="G19" i="38"/>
  <c r="P18" i="38"/>
  <c r="M18" i="38"/>
  <c r="J18" i="38"/>
  <c r="G18" i="38"/>
  <c r="P17" i="38"/>
  <c r="M17" i="38"/>
  <c r="J17" i="38"/>
  <c r="G17" i="38"/>
  <c r="P16" i="38"/>
  <c r="M16" i="38"/>
  <c r="J16" i="38"/>
  <c r="G16" i="38"/>
  <c r="P15" i="38"/>
  <c r="M15" i="38"/>
  <c r="J15" i="38"/>
  <c r="G15" i="38"/>
  <c r="P14" i="38"/>
  <c r="M14" i="38"/>
  <c r="J14" i="38"/>
  <c r="G14" i="38"/>
  <c r="P13" i="38"/>
  <c r="M13" i="38"/>
  <c r="J13" i="38"/>
  <c r="G13" i="38"/>
  <c r="P12" i="38"/>
  <c r="M12" i="38"/>
  <c r="J12" i="38"/>
  <c r="G12" i="38"/>
  <c r="P11" i="38"/>
  <c r="M11" i="38"/>
  <c r="J11" i="38"/>
  <c r="G11" i="38"/>
  <c r="P10" i="38"/>
  <c r="M10" i="38"/>
  <c r="J10" i="38"/>
  <c r="G10" i="38"/>
  <c r="P9" i="38"/>
  <c r="M9" i="38"/>
  <c r="J9" i="38"/>
  <c r="G9" i="38"/>
  <c r="P8" i="38"/>
  <c r="M8" i="38"/>
  <c r="J8" i="38"/>
  <c r="G8" i="38"/>
  <c r="B186" i="37"/>
  <c r="B185" i="37"/>
  <c r="B184" i="37"/>
  <c r="B183" i="37"/>
  <c r="B182" i="37"/>
  <c r="B181" i="37"/>
  <c r="B180" i="37"/>
  <c r="B179" i="37"/>
  <c r="G171" i="37"/>
  <c r="G165" i="37"/>
  <c r="G156" i="37"/>
  <c r="G150" i="37"/>
  <c r="W111" i="37"/>
  <c r="I111" i="37" s="1"/>
  <c r="W93" i="37"/>
  <c r="V39" i="37"/>
  <c r="R8" i="37"/>
  <c r="S8" i="37" s="1"/>
  <c r="N8" i="37"/>
  <c r="J8" i="37"/>
  <c r="F8" i="37"/>
  <c r="B1" i="37"/>
  <c r="L214" i="34"/>
  <c r="L157" i="34"/>
  <c r="J122" i="33" s="1"/>
  <c r="J119" i="33"/>
  <c r="J121" i="33"/>
  <c r="J120" i="33"/>
  <c r="J118" i="33"/>
  <c r="J117" i="33"/>
  <c r="J116" i="33"/>
  <c r="J115" i="33"/>
  <c r="G63" i="33"/>
  <c r="G62" i="33"/>
  <c r="G108" i="33" s="1"/>
  <c r="K58" i="33"/>
  <c r="L76" i="33" s="1" a="1"/>
  <c r="L76" i="33" s="1"/>
  <c r="L72" i="34"/>
  <c r="J113" i="33" s="1"/>
  <c r="V122" i="34"/>
  <c r="V123" i="34"/>
  <c r="V124" i="34"/>
  <c r="V125" i="34"/>
  <c r="V126" i="34"/>
  <c r="V127" i="34"/>
  <c r="V128" i="34"/>
  <c r="V38" i="34"/>
  <c r="V39" i="34"/>
  <c r="V40" i="34"/>
  <c r="V41" i="34"/>
  <c r="V42" i="34"/>
  <c r="V43" i="34"/>
  <c r="V44" i="34"/>
  <c r="V45" i="34"/>
  <c r="V46" i="34"/>
  <c r="V47" i="34"/>
  <c r="V48" i="34"/>
  <c r="V49" i="34"/>
  <c r="V50" i="34"/>
  <c r="V51" i="34"/>
  <c r="V52" i="34"/>
  <c r="V53" i="34"/>
  <c r="V54" i="34"/>
  <c r="V55" i="34"/>
  <c r="V56" i="34"/>
  <c r="V57" i="34"/>
  <c r="V58" i="34"/>
  <c r="V59" i="34"/>
  <c r="V60" i="34"/>
  <c r="V61" i="34"/>
  <c r="V62" i="34"/>
  <c r="V63" i="34"/>
  <c r="V64" i="34"/>
  <c r="V65" i="34"/>
  <c r="V66" i="34"/>
  <c r="V67" i="34"/>
  <c r="V68" i="34"/>
  <c r="V69" i="34"/>
  <c r="V70" i="34"/>
  <c r="V71" i="34"/>
  <c r="V72" i="34"/>
  <c r="V73" i="34"/>
  <c r="V74" i="34"/>
  <c r="V75" i="34"/>
  <c r="V76" i="34"/>
  <c r="V77" i="34"/>
  <c r="V78" i="34"/>
  <c r="V79" i="34"/>
  <c r="V80" i="34"/>
  <c r="V81" i="34"/>
  <c r="V82" i="34"/>
  <c r="V83" i="34"/>
  <c r="V84" i="34"/>
  <c r="V85" i="34"/>
  <c r="V86" i="34"/>
  <c r="V87" i="34"/>
  <c r="V88" i="34"/>
  <c r="V89" i="34"/>
  <c r="V90" i="34"/>
  <c r="V91" i="34"/>
  <c r="V92" i="34"/>
  <c r="V93" i="34"/>
  <c r="V94" i="34"/>
  <c r="V95" i="34"/>
  <c r="V96" i="34"/>
  <c r="V97" i="34"/>
  <c r="V98" i="34"/>
  <c r="V99" i="34"/>
  <c r="V100" i="34"/>
  <c r="V101" i="34"/>
  <c r="V102" i="34"/>
  <c r="V103" i="34"/>
  <c r="V104" i="34"/>
  <c r="V105" i="34"/>
  <c r="V106" i="34"/>
  <c r="V107" i="34"/>
  <c r="V108" i="34"/>
  <c r="V109" i="34"/>
  <c r="V110" i="34"/>
  <c r="V111" i="34"/>
  <c r="V112" i="34"/>
  <c r="V113" i="34"/>
  <c r="V114" i="34"/>
  <c r="V115" i="34"/>
  <c r="V116" i="34"/>
  <c r="V117" i="34"/>
  <c r="V118" i="34"/>
  <c r="V119" i="34"/>
  <c r="V120" i="34"/>
  <c r="V121" i="34"/>
  <c r="V129" i="34"/>
  <c r="V130" i="34"/>
  <c r="V131" i="34"/>
  <c r="V132" i="34"/>
  <c r="V133" i="34"/>
  <c r="V134" i="34"/>
  <c r="V135" i="34"/>
  <c r="V136" i="34"/>
  <c r="V137" i="34"/>
  <c r="V138" i="34"/>
  <c r="V139" i="34"/>
  <c r="V140" i="34"/>
  <c r="V141" i="34"/>
  <c r="V142" i="34"/>
  <c r="V143" i="34"/>
  <c r="V144" i="34"/>
  <c r="V145" i="34"/>
  <c r="V146" i="34"/>
  <c r="V147" i="34"/>
  <c r="V148" i="34"/>
  <c r="V149" i="34"/>
  <c r="V150" i="34"/>
  <c r="V151" i="34"/>
  <c r="V152" i="34"/>
  <c r="V153" i="34"/>
  <c r="V154" i="34"/>
  <c r="V155" i="34"/>
  <c r="V156" i="34"/>
  <c r="V158" i="34"/>
  <c r="V159" i="34"/>
  <c r="V160" i="34"/>
  <c r="V161" i="34"/>
  <c r="V162" i="34"/>
  <c r="V163" i="34"/>
  <c r="V164" i="34"/>
  <c r="V165" i="34"/>
  <c r="V166" i="34"/>
  <c r="V167" i="34"/>
  <c r="V168" i="34"/>
  <c r="V169" i="34"/>
  <c r="V170" i="34"/>
  <c r="V171" i="34"/>
  <c r="V172" i="34"/>
  <c r="V173" i="34"/>
  <c r="V174" i="34"/>
  <c r="V175" i="34"/>
  <c r="V176" i="34"/>
  <c r="V177" i="34"/>
  <c r="V178" i="34"/>
  <c r="V179" i="34"/>
  <c r="V180" i="34"/>
  <c r="V181" i="34"/>
  <c r="V182" i="34"/>
  <c r="V183" i="34"/>
  <c r="V184" i="34"/>
  <c r="V185" i="34"/>
  <c r="V186" i="34"/>
  <c r="V187" i="34"/>
  <c r="V188" i="34"/>
  <c r="V189" i="34"/>
  <c r="V190" i="34"/>
  <c r="V191" i="34"/>
  <c r="V192" i="34"/>
  <c r="V193" i="34"/>
  <c r="V194" i="34"/>
  <c r="V195" i="34"/>
  <c r="V196" i="34"/>
  <c r="V197" i="34"/>
  <c r="V198" i="34"/>
  <c r="V199" i="34"/>
  <c r="V200" i="34"/>
  <c r="V201" i="34"/>
  <c r="V202" i="34"/>
  <c r="V203" i="34"/>
  <c r="V204" i="34"/>
  <c r="V205" i="34"/>
  <c r="V206" i="34"/>
  <c r="V207" i="34"/>
  <c r="V208" i="34"/>
  <c r="V209" i="34"/>
  <c r="V210" i="34"/>
  <c r="V211" i="34"/>
  <c r="V212" i="34"/>
  <c r="V213" i="34"/>
  <c r="R214" i="34"/>
  <c r="H226" i="34" s="1"/>
  <c r="L204" i="34"/>
  <c r="W152" i="34"/>
  <c r="W146" i="34"/>
  <c r="W142" i="34"/>
  <c r="W210" i="34"/>
  <c r="W213" i="34"/>
  <c r="W205" i="34"/>
  <c r="W203" i="34"/>
  <c r="W202" i="34"/>
  <c r="W201" i="34"/>
  <c r="W200" i="34"/>
  <c r="W199" i="34"/>
  <c r="W197" i="34"/>
  <c r="W196" i="34"/>
  <c r="W195" i="34"/>
  <c r="W192" i="34"/>
  <c r="W190" i="34"/>
  <c r="W188" i="34"/>
  <c r="W186" i="34"/>
  <c r="W184" i="34"/>
  <c r="W182" i="34"/>
  <c r="W180" i="34"/>
  <c r="W179" i="34"/>
  <c r="W174" i="34"/>
  <c r="W172" i="34"/>
  <c r="W169" i="34"/>
  <c r="W167" i="34"/>
  <c r="W165" i="34"/>
  <c r="W164" i="34"/>
  <c r="W159" i="34"/>
  <c r="W158" i="34"/>
  <c r="W156" i="34"/>
  <c r="W154" i="34"/>
  <c r="W149" i="34"/>
  <c r="W144" i="34"/>
  <c r="W139" i="34"/>
  <c r="I139" i="34" s="1"/>
  <c r="W138" i="34"/>
  <c r="I138" i="34" s="1"/>
  <c r="W129" i="34"/>
  <c r="I129" i="34" s="1"/>
  <c r="W127" i="34"/>
  <c r="I127" i="34" s="1"/>
  <c r="W125" i="34"/>
  <c r="I125" i="34" s="1"/>
  <c r="W121" i="34"/>
  <c r="I121" i="34" s="1"/>
  <c r="W114" i="34"/>
  <c r="W111" i="34"/>
  <c r="W103" i="34"/>
  <c r="W97" i="34"/>
  <c r="W96" i="34"/>
  <c r="W94" i="34"/>
  <c r="W91" i="34"/>
  <c r="W85" i="34"/>
  <c r="W83" i="34"/>
  <c r="W70" i="34"/>
  <c r="W68" i="34"/>
  <c r="W66" i="34"/>
  <c r="W53" i="34"/>
  <c r="W51" i="34"/>
  <c r="W50" i="34"/>
  <c r="W48" i="34"/>
  <c r="W45" i="34"/>
  <c r="W43" i="34"/>
  <c r="W41" i="34"/>
  <c r="W40" i="34"/>
  <c r="W37" i="34"/>
  <c r="G65" i="36"/>
  <c r="G64" i="36"/>
  <c r="K62" i="36"/>
  <c r="I62" i="36"/>
  <c r="G62" i="36"/>
  <c r="B142" i="36"/>
  <c r="B141" i="36"/>
  <c r="B140" i="36"/>
  <c r="B139" i="36"/>
  <c r="B138" i="36"/>
  <c r="B137" i="36"/>
  <c r="B136" i="36"/>
  <c r="B135" i="36"/>
  <c r="B287" i="35"/>
  <c r="B286" i="35"/>
  <c r="B285" i="35"/>
  <c r="B284" i="35"/>
  <c r="B283" i="35"/>
  <c r="B282" i="35"/>
  <c r="B281" i="35"/>
  <c r="B280" i="35"/>
  <c r="G272" i="35"/>
  <c r="G266" i="35"/>
  <c r="G257" i="35"/>
  <c r="G251" i="35"/>
  <c r="Z243" i="35"/>
  <c r="Z240" i="35"/>
  <c r="Z235" i="35"/>
  <c r="Z231" i="35"/>
  <c r="Z229" i="35"/>
  <c r="Z227" i="35"/>
  <c r="Z223" i="35"/>
  <c r="Z222" i="35"/>
  <c r="Z218" i="35"/>
  <c r="Z217" i="35"/>
  <c r="Z216" i="35"/>
  <c r="Z212" i="35"/>
  <c r="Z208" i="35"/>
  <c r="Z207" i="35"/>
  <c r="Z204" i="35"/>
  <c r="Z203" i="35"/>
  <c r="Z201" i="35"/>
  <c r="Z200" i="35"/>
  <c r="Z193" i="35"/>
  <c r="Z190" i="35"/>
  <c r="Z188" i="35"/>
  <c r="Z185" i="35"/>
  <c r="Z184" i="35"/>
  <c r="Z179" i="35"/>
  <c r="Z178" i="35"/>
  <c r="Z176" i="35"/>
  <c r="Z173" i="35"/>
  <c r="Z170" i="35"/>
  <c r="Z167" i="35"/>
  <c r="Z157" i="35"/>
  <c r="Z154" i="35"/>
  <c r="Z150" i="35"/>
  <c r="I150" i="35" s="1"/>
  <c r="Z145" i="35"/>
  <c r="I145" i="35" s="1"/>
  <c r="Z144" i="35"/>
  <c r="I144" i="35" s="1"/>
  <c r="Z143" i="35"/>
  <c r="I143" i="35" s="1"/>
  <c r="Z133" i="35"/>
  <c r="I133" i="35" s="1"/>
  <c r="Z128" i="35"/>
  <c r="I128" i="35" s="1"/>
  <c r="Z124" i="35"/>
  <c r="Z119" i="35"/>
  <c r="Z113" i="35"/>
  <c r="Z111" i="35"/>
  <c r="Z109" i="35"/>
  <c r="Z107" i="35"/>
  <c r="Z101" i="35"/>
  <c r="Z88" i="35"/>
  <c r="Z87" i="35"/>
  <c r="Z82" i="35"/>
  <c r="Z76" i="35"/>
  <c r="Z74" i="35"/>
  <c r="Z71" i="35"/>
  <c r="Z67" i="35"/>
  <c r="Z65" i="35"/>
  <c r="Z57" i="35"/>
  <c r="Z55" i="35"/>
  <c r="Z45" i="35"/>
  <c r="Z42" i="35"/>
  <c r="Z39" i="35"/>
  <c r="R8" i="35"/>
  <c r="S8" i="35" s="1"/>
  <c r="N8" i="35"/>
  <c r="J8" i="35"/>
  <c r="F8" i="35"/>
  <c r="B1" i="35"/>
  <c r="K62" i="32"/>
  <c r="I62" i="32"/>
  <c r="G65" i="32"/>
  <c r="G64" i="32"/>
  <c r="G62" i="32"/>
  <c r="E118" i="32"/>
  <c r="E116" i="32"/>
  <c r="E115" i="32"/>
  <c r="B260" i="34"/>
  <c r="B259" i="34"/>
  <c r="B258" i="34"/>
  <c r="B257" i="34"/>
  <c r="B256" i="34"/>
  <c r="B255" i="34"/>
  <c r="B254" i="34"/>
  <c r="B253" i="34"/>
  <c r="G245" i="34"/>
  <c r="G239" i="34"/>
  <c r="G224" i="34"/>
  <c r="L173" i="34"/>
  <c r="J123" i="33" s="1"/>
  <c r="L141" i="34"/>
  <c r="L120" i="34"/>
  <c r="L99" i="34"/>
  <c r="J114" i="33" s="1"/>
  <c r="L47" i="34"/>
  <c r="J112" i="33" s="1"/>
  <c r="R8" i="34"/>
  <c r="S8" i="34" s="1"/>
  <c r="N8" i="34"/>
  <c r="J8" i="34"/>
  <c r="F8" i="34"/>
  <c r="B1" i="34"/>
  <c r="P9" i="33"/>
  <c r="P10" i="33"/>
  <c r="P11" i="33"/>
  <c r="P12" i="33"/>
  <c r="P13" i="33"/>
  <c r="P14" i="33"/>
  <c r="P15" i="33"/>
  <c r="P16" i="33"/>
  <c r="P17" i="33"/>
  <c r="P18" i="33"/>
  <c r="P19" i="33"/>
  <c r="P20" i="33"/>
  <c r="P21" i="33"/>
  <c r="P22" i="33"/>
  <c r="P23" i="33"/>
  <c r="P24" i="33"/>
  <c r="P25" i="33"/>
  <c r="P26" i="33"/>
  <c r="P27" i="33"/>
  <c r="P8" i="33"/>
  <c r="M9" i="33"/>
  <c r="M10" i="33"/>
  <c r="M11" i="33"/>
  <c r="M12" i="33"/>
  <c r="M13" i="33"/>
  <c r="M14" i="33"/>
  <c r="M15" i="33"/>
  <c r="M16" i="33"/>
  <c r="M17" i="33"/>
  <c r="M18" i="33"/>
  <c r="M19" i="33"/>
  <c r="M20" i="33"/>
  <c r="M21" i="33"/>
  <c r="M22" i="33"/>
  <c r="M23" i="33"/>
  <c r="M24" i="33"/>
  <c r="M25" i="33"/>
  <c r="M26" i="33"/>
  <c r="M27" i="33"/>
  <c r="M8" i="33"/>
  <c r="J9" i="33"/>
  <c r="J10" i="33"/>
  <c r="J11" i="33"/>
  <c r="J12" i="33"/>
  <c r="J13" i="33"/>
  <c r="J14" i="33"/>
  <c r="J15" i="33"/>
  <c r="J16" i="33"/>
  <c r="J17" i="33"/>
  <c r="J18" i="33"/>
  <c r="J19" i="33"/>
  <c r="J20" i="33"/>
  <c r="J21" i="33"/>
  <c r="J22" i="33"/>
  <c r="J23" i="33"/>
  <c r="J24" i="33"/>
  <c r="J25" i="33"/>
  <c r="J26" i="33"/>
  <c r="J27" i="33"/>
  <c r="J8" i="33"/>
  <c r="G9" i="33"/>
  <c r="G10" i="33"/>
  <c r="G11" i="33"/>
  <c r="G12" i="33"/>
  <c r="G13" i="33"/>
  <c r="G14" i="33"/>
  <c r="G15" i="33"/>
  <c r="G16" i="33"/>
  <c r="G17" i="33"/>
  <c r="G18" i="33"/>
  <c r="G19" i="33"/>
  <c r="G20" i="33"/>
  <c r="G21" i="33"/>
  <c r="G22" i="33"/>
  <c r="G23" i="33"/>
  <c r="G24" i="33"/>
  <c r="G25" i="33"/>
  <c r="G26" i="33"/>
  <c r="G27" i="33"/>
  <c r="G8" i="33"/>
  <c r="B138" i="33"/>
  <c r="B137" i="33"/>
  <c r="B136" i="33"/>
  <c r="B135" i="33"/>
  <c r="B134" i="33"/>
  <c r="B133" i="33"/>
  <c r="B132" i="33"/>
  <c r="B131" i="33"/>
  <c r="B142" i="32"/>
  <c r="B141" i="32"/>
  <c r="B140" i="32"/>
  <c r="B139" i="32"/>
  <c r="B138" i="32"/>
  <c r="B137" i="32"/>
  <c r="B136" i="32"/>
  <c r="B135" i="32"/>
  <c r="L88" i="32"/>
  <c r="B287" i="31"/>
  <c r="B286" i="31"/>
  <c r="B285" i="31"/>
  <c r="B284" i="31"/>
  <c r="B283" i="31"/>
  <c r="B282" i="31"/>
  <c r="B281" i="31"/>
  <c r="B280" i="31"/>
  <c r="G272" i="31"/>
  <c r="G266" i="31"/>
  <c r="G257" i="31"/>
  <c r="G251" i="31"/>
  <c r="H253" i="31"/>
  <c r="Z243" i="31"/>
  <c r="Z240" i="31"/>
  <c r="Z235" i="31"/>
  <c r="E121" i="32"/>
  <c r="Z231" i="31"/>
  <c r="Z229" i="31"/>
  <c r="Z227" i="31"/>
  <c r="Z223" i="31"/>
  <c r="Z222" i="31"/>
  <c r="Z218" i="31"/>
  <c r="Z217" i="31"/>
  <c r="Z216" i="31"/>
  <c r="Z212" i="31"/>
  <c r="Z208" i="31"/>
  <c r="Z207" i="31"/>
  <c r="Z204" i="31"/>
  <c r="Z203" i="31"/>
  <c r="Z201" i="31"/>
  <c r="Z200" i="31"/>
  <c r="Z193" i="31"/>
  <c r="E120" i="32"/>
  <c r="Z190" i="31"/>
  <c r="Z188" i="31"/>
  <c r="Z185" i="31"/>
  <c r="Z184" i="31"/>
  <c r="Z179" i="31"/>
  <c r="Z178" i="31"/>
  <c r="E119" i="32"/>
  <c r="Z176" i="31"/>
  <c r="Z173" i="31"/>
  <c r="Z170" i="31"/>
  <c r="Z167" i="31"/>
  <c r="Z157" i="31"/>
  <c r="Z154" i="31"/>
  <c r="Z150" i="31"/>
  <c r="I150" i="31" s="1"/>
  <c r="Z145" i="31"/>
  <c r="I145" i="31" s="1"/>
  <c r="Z144" i="31"/>
  <c r="I144" i="31" s="1"/>
  <c r="Z143" i="31"/>
  <c r="I143" i="31" s="1"/>
  <c r="Z133" i="31"/>
  <c r="I133" i="31" s="1"/>
  <c r="Z128" i="31"/>
  <c r="E112" i="32"/>
  <c r="Z124" i="31"/>
  <c r="Z119" i="31"/>
  <c r="E111" i="32"/>
  <c r="Z113" i="31"/>
  <c r="Z111" i="31"/>
  <c r="Z109" i="31"/>
  <c r="Z107" i="31"/>
  <c r="Z101" i="31"/>
  <c r="Z88" i="31"/>
  <c r="Z87" i="31"/>
  <c r="Z82" i="31"/>
  <c r="Z76" i="31"/>
  <c r="Z74" i="31"/>
  <c r="Z71" i="31"/>
  <c r="Z67" i="31"/>
  <c r="Z65" i="31"/>
  <c r="Z57" i="31"/>
  <c r="Z55" i="31"/>
  <c r="E109" i="32"/>
  <c r="Z45" i="31"/>
  <c r="Z42" i="31"/>
  <c r="Z39" i="31"/>
  <c r="R8" i="31"/>
  <c r="S8" i="31" s="1"/>
  <c r="N8" i="31"/>
  <c r="J8" i="31"/>
  <c r="F8" i="31"/>
  <c r="B1" i="31"/>
  <c r="E118" i="30"/>
  <c r="E116" i="30"/>
  <c r="E115" i="30"/>
  <c r="G65" i="30"/>
  <c r="G64" i="30"/>
  <c r="K62" i="30"/>
  <c r="I62" i="30"/>
  <c r="G62" i="30"/>
  <c r="B142" i="30"/>
  <c r="B141" i="30"/>
  <c r="B140" i="30"/>
  <c r="B139" i="30"/>
  <c r="B138" i="30"/>
  <c r="B137" i="30"/>
  <c r="B136" i="30"/>
  <c r="B135" i="30"/>
  <c r="L88" i="30"/>
  <c r="B287" i="28"/>
  <c r="B286" i="28"/>
  <c r="B285" i="28"/>
  <c r="B284" i="28"/>
  <c r="B283" i="28"/>
  <c r="B282" i="28"/>
  <c r="B281" i="28"/>
  <c r="B280" i="28"/>
  <c r="G272" i="28"/>
  <c r="G266" i="28"/>
  <c r="G257" i="28"/>
  <c r="G251" i="28"/>
  <c r="H253" i="28"/>
  <c r="E122" i="30"/>
  <c r="Z243" i="28"/>
  <c r="Z240" i="28"/>
  <c r="Z235" i="28"/>
  <c r="Z231" i="28"/>
  <c r="Z229" i="28"/>
  <c r="Z227" i="28"/>
  <c r="Z223" i="28"/>
  <c r="Z222" i="28"/>
  <c r="Z218" i="28"/>
  <c r="Z217" i="28"/>
  <c r="Z216" i="28"/>
  <c r="Z212" i="28"/>
  <c r="Z208" i="28"/>
  <c r="Z207" i="28"/>
  <c r="Z204" i="28"/>
  <c r="Z203" i="28"/>
  <c r="Z201" i="28"/>
  <c r="Z200" i="28"/>
  <c r="Z193" i="28"/>
  <c r="E120" i="30"/>
  <c r="Z190" i="28"/>
  <c r="Z188" i="28"/>
  <c r="Z185" i="28"/>
  <c r="Z184" i="28"/>
  <c r="Z179" i="28"/>
  <c r="Z178" i="28"/>
  <c r="Z176" i="28"/>
  <c r="Z173" i="28"/>
  <c r="Z170" i="28"/>
  <c r="Z167" i="28"/>
  <c r="Z157" i="28"/>
  <c r="Z154" i="28"/>
  <c r="Z150" i="28"/>
  <c r="I150" i="28" s="1"/>
  <c r="Z145" i="28"/>
  <c r="I145" i="28" s="1"/>
  <c r="Z144" i="28"/>
  <c r="I144" i="28" s="1"/>
  <c r="Z143" i="28"/>
  <c r="I143" i="28" s="1"/>
  <c r="Z133" i="28"/>
  <c r="I133" i="28" s="1"/>
  <c r="Z128" i="28"/>
  <c r="I128" i="28" s="1"/>
  <c r="E112" i="30"/>
  <c r="Z124" i="28"/>
  <c r="Z119" i="28"/>
  <c r="E111" i="30"/>
  <c r="Z113" i="28"/>
  <c r="Z111" i="28"/>
  <c r="Z109" i="28"/>
  <c r="Z107" i="28"/>
  <c r="Z101" i="28"/>
  <c r="Z88" i="28"/>
  <c r="Z87" i="28"/>
  <c r="Z82" i="28"/>
  <c r="Z76" i="28"/>
  <c r="Z74" i="28"/>
  <c r="Z71" i="28"/>
  <c r="Z67" i="28"/>
  <c r="Z65" i="28"/>
  <c r="Z57" i="28"/>
  <c r="Z55" i="28"/>
  <c r="E109" i="30"/>
  <c r="Z45" i="28"/>
  <c r="Z42" i="28"/>
  <c r="Z39" i="28"/>
  <c r="R8" i="28"/>
  <c r="S8" i="28" s="1"/>
  <c r="N8" i="28"/>
  <c r="J8" i="28"/>
  <c r="F8" i="28"/>
  <c r="B1" i="28"/>
  <c r="G65" i="26"/>
  <c r="G64" i="26"/>
  <c r="I105" i="26" s="1"/>
  <c r="K62" i="26"/>
  <c r="I62" i="26"/>
  <c r="G62" i="26"/>
  <c r="B288" i="27"/>
  <c r="B287" i="27"/>
  <c r="B286" i="27"/>
  <c r="B285" i="27"/>
  <c r="B284" i="27"/>
  <c r="B283" i="27"/>
  <c r="B282" i="27"/>
  <c r="B281" i="27"/>
  <c r="G273" i="27"/>
  <c r="G267" i="27"/>
  <c r="G258" i="27"/>
  <c r="G252" i="27"/>
  <c r="Z244" i="27"/>
  <c r="Z241" i="27"/>
  <c r="Z236" i="27"/>
  <c r="Z232" i="27"/>
  <c r="Z230" i="27"/>
  <c r="Z228" i="27"/>
  <c r="Z224" i="27"/>
  <c r="Z223" i="27"/>
  <c r="Z219" i="27"/>
  <c r="Z218" i="27"/>
  <c r="Z217" i="27"/>
  <c r="Z213" i="27"/>
  <c r="Z209" i="27"/>
  <c r="Z208" i="27"/>
  <c r="Z205" i="27"/>
  <c r="Z204" i="27"/>
  <c r="Z202" i="27"/>
  <c r="Z201" i="27"/>
  <c r="Z194" i="27"/>
  <c r="Z191" i="27"/>
  <c r="Z189" i="27"/>
  <c r="Z186" i="27"/>
  <c r="Z185" i="27"/>
  <c r="Z180" i="27"/>
  <c r="Z179" i="27"/>
  <c r="Z177" i="27"/>
  <c r="Z174" i="27"/>
  <c r="Z171" i="27"/>
  <c r="Z168" i="27"/>
  <c r="Z157" i="27"/>
  <c r="Z154" i="27"/>
  <c r="Z150" i="27"/>
  <c r="I150" i="27" s="1"/>
  <c r="Z145" i="27"/>
  <c r="I145" i="27" s="1"/>
  <c r="Z144" i="27"/>
  <c r="I144" i="27" s="1"/>
  <c r="Z143" i="27"/>
  <c r="I143" i="27" s="1"/>
  <c r="Z133" i="27"/>
  <c r="I133" i="27" s="1"/>
  <c r="Z128" i="27"/>
  <c r="I128" i="27" s="1"/>
  <c r="Z124" i="27"/>
  <c r="Z119" i="27"/>
  <c r="Z113" i="27"/>
  <c r="Z111" i="27"/>
  <c r="Z109" i="27"/>
  <c r="Z107" i="27"/>
  <c r="Z101" i="27"/>
  <c r="Z88" i="27"/>
  <c r="Z87" i="27"/>
  <c r="Z82" i="27"/>
  <c r="Z76" i="27"/>
  <c r="Z74" i="27"/>
  <c r="Z71" i="27"/>
  <c r="Z67" i="27"/>
  <c r="Z65" i="27"/>
  <c r="Z57" i="27"/>
  <c r="Z55" i="27"/>
  <c r="Z45" i="27"/>
  <c r="Z42" i="27"/>
  <c r="Z39" i="27"/>
  <c r="R23" i="27"/>
  <c r="V246" i="27" s="1"/>
  <c r="S103" i="15" s="1"/>
  <c r="T103" i="15" s="1"/>
  <c r="N8" i="27"/>
  <c r="J8" i="27"/>
  <c r="F8" i="27"/>
  <c r="B1" i="27"/>
  <c r="B142" i="26"/>
  <c r="B141" i="26"/>
  <c r="B140" i="26"/>
  <c r="B139" i="26"/>
  <c r="B137" i="26"/>
  <c r="B136" i="26"/>
  <c r="B135" i="26"/>
  <c r="G65" i="24"/>
  <c r="G64" i="24"/>
  <c r="K62" i="24"/>
  <c r="I62" i="24"/>
  <c r="G62" i="24"/>
  <c r="B288" i="25"/>
  <c r="B287" i="25"/>
  <c r="B286" i="25"/>
  <c r="B285" i="25"/>
  <c r="B284" i="25"/>
  <c r="B283" i="25"/>
  <c r="B282" i="25"/>
  <c r="B281" i="25"/>
  <c r="G273" i="25"/>
  <c r="G267" i="25"/>
  <c r="G258" i="25"/>
  <c r="G252" i="25"/>
  <c r="Z244" i="25"/>
  <c r="Z241" i="25"/>
  <c r="Z236" i="25"/>
  <c r="Z232" i="25"/>
  <c r="Z230" i="25"/>
  <c r="Z228" i="25"/>
  <c r="Z224" i="25"/>
  <c r="Z223" i="25"/>
  <c r="Z219" i="25"/>
  <c r="Z218" i="25"/>
  <c r="Z217" i="25"/>
  <c r="Z213" i="25"/>
  <c r="Z209" i="25"/>
  <c r="Z208" i="25"/>
  <c r="Z205" i="25"/>
  <c r="Z204" i="25"/>
  <c r="Z202" i="25"/>
  <c r="Z201" i="25"/>
  <c r="Z194" i="25"/>
  <c r="Z191" i="25"/>
  <c r="Z189" i="25"/>
  <c r="Z186" i="25"/>
  <c r="Z185" i="25"/>
  <c r="Z180" i="25"/>
  <c r="Z179" i="25"/>
  <c r="Z177" i="25"/>
  <c r="Z174" i="25"/>
  <c r="Z171" i="25"/>
  <c r="Z168" i="25"/>
  <c r="Z157" i="25"/>
  <c r="Z154" i="25"/>
  <c r="Z150" i="25"/>
  <c r="I150" i="25" s="1"/>
  <c r="Z145" i="25"/>
  <c r="I145" i="25" s="1"/>
  <c r="Z144" i="25"/>
  <c r="I144" i="25" s="1"/>
  <c r="Z143" i="25"/>
  <c r="I143" i="25" s="1"/>
  <c r="Z133" i="25"/>
  <c r="I133" i="25" s="1"/>
  <c r="Z128" i="25"/>
  <c r="I128" i="25" s="1"/>
  <c r="Z124" i="25"/>
  <c r="Z119" i="25"/>
  <c r="Z113" i="25"/>
  <c r="Z111" i="25"/>
  <c r="Z109" i="25"/>
  <c r="Z107" i="25"/>
  <c r="Z101" i="25"/>
  <c r="Z88" i="25"/>
  <c r="Z87" i="25"/>
  <c r="Z82" i="25"/>
  <c r="Z76" i="25"/>
  <c r="Z74" i="25"/>
  <c r="Z71" i="25"/>
  <c r="Z67" i="25"/>
  <c r="Z65" i="25"/>
  <c r="Z57" i="25"/>
  <c r="Z55" i="25"/>
  <c r="Z45" i="25"/>
  <c r="Z42" i="25"/>
  <c r="Z39" i="25"/>
  <c r="R23" i="25"/>
  <c r="V246" i="25" s="1"/>
  <c r="S101" i="15" s="1"/>
  <c r="N8" i="25"/>
  <c r="J8" i="25"/>
  <c r="F8" i="25"/>
  <c r="B1" i="25"/>
  <c r="B142" i="24"/>
  <c r="B141" i="24"/>
  <c r="B140" i="24"/>
  <c r="B139" i="24"/>
  <c r="B138" i="24"/>
  <c r="B137" i="24"/>
  <c r="B136" i="24"/>
  <c r="B135" i="24"/>
  <c r="L88" i="24"/>
  <c r="G65" i="21"/>
  <c r="G64" i="21"/>
  <c r="I105" i="21" s="1"/>
  <c r="K62" i="21"/>
  <c r="I62" i="21"/>
  <c r="G62" i="21"/>
  <c r="B142" i="21"/>
  <c r="B141" i="21"/>
  <c r="B140" i="21"/>
  <c r="B139" i="21"/>
  <c r="B138" i="21"/>
  <c r="B137" i="21"/>
  <c r="B136" i="21"/>
  <c r="B135" i="21"/>
  <c r="B288" i="19"/>
  <c r="B287" i="19"/>
  <c r="B286" i="19"/>
  <c r="B285" i="19"/>
  <c r="B284" i="19"/>
  <c r="B283" i="19"/>
  <c r="B282" i="19"/>
  <c r="B281" i="19"/>
  <c r="G273" i="19"/>
  <c r="G267" i="19"/>
  <c r="G258" i="19"/>
  <c r="G252" i="19"/>
  <c r="Z244" i="19"/>
  <c r="Z241" i="19"/>
  <c r="Z236" i="19"/>
  <c r="Z232" i="19"/>
  <c r="Z230" i="19"/>
  <c r="Z228" i="19"/>
  <c r="Z224" i="19"/>
  <c r="Z223" i="19"/>
  <c r="Z219" i="19"/>
  <c r="Z218" i="19"/>
  <c r="Z217" i="19"/>
  <c r="Z213" i="19"/>
  <c r="Z209" i="19"/>
  <c r="Z208" i="19"/>
  <c r="Z205" i="19"/>
  <c r="Z204" i="19"/>
  <c r="Z202" i="19"/>
  <c r="Z201" i="19"/>
  <c r="Z194" i="19"/>
  <c r="Z191" i="19"/>
  <c r="Z189" i="19"/>
  <c r="Z186" i="19"/>
  <c r="Z185" i="19"/>
  <c r="Z180" i="19"/>
  <c r="Z179" i="19"/>
  <c r="Z177" i="19"/>
  <c r="Z174" i="19"/>
  <c r="Z171" i="19"/>
  <c r="Z168" i="19"/>
  <c r="Z157" i="19"/>
  <c r="Z154" i="19"/>
  <c r="Z150" i="19"/>
  <c r="I150" i="19" s="1"/>
  <c r="Z145" i="19"/>
  <c r="I145" i="19" s="1"/>
  <c r="Z144" i="19"/>
  <c r="I144" i="19" s="1"/>
  <c r="Z143" i="19"/>
  <c r="I143" i="19" s="1"/>
  <c r="Z133" i="19"/>
  <c r="I133" i="19" s="1"/>
  <c r="Z128" i="19"/>
  <c r="I128" i="19" s="1"/>
  <c r="Z124" i="19"/>
  <c r="Z119" i="19"/>
  <c r="Z113" i="19"/>
  <c r="Z111" i="19"/>
  <c r="Z109" i="19"/>
  <c r="Z107" i="19"/>
  <c r="Z101" i="19"/>
  <c r="Z88" i="19"/>
  <c r="Z87" i="19"/>
  <c r="Z82" i="19"/>
  <c r="Z76" i="19"/>
  <c r="Z74" i="19"/>
  <c r="Z71" i="19"/>
  <c r="Z67" i="19"/>
  <c r="Z65" i="19"/>
  <c r="Z57" i="19"/>
  <c r="Z55" i="19"/>
  <c r="Z45" i="19"/>
  <c r="Z42" i="19"/>
  <c r="Z39" i="19"/>
  <c r="N8" i="19"/>
  <c r="J8" i="19"/>
  <c r="F8" i="19"/>
  <c r="B1" i="19"/>
  <c r="L101" i="8"/>
  <c r="G116" i="15"/>
  <c r="D131" i="14"/>
  <c r="L129" i="8"/>
  <c r="B138" i="14"/>
  <c r="G65" i="18"/>
  <c r="G64" i="18"/>
  <c r="H88" i="18" s="1"/>
  <c r="K62" i="18"/>
  <c r="I62" i="18"/>
  <c r="G62" i="18"/>
  <c r="H76" i="18" s="1"/>
  <c r="G78" i="18" s="1"/>
  <c r="B142" i="18"/>
  <c r="B141" i="18"/>
  <c r="B140" i="18"/>
  <c r="B139" i="18"/>
  <c r="B138" i="18"/>
  <c r="B137" i="18"/>
  <c r="B136" i="18"/>
  <c r="B135" i="18"/>
  <c r="B287" i="17"/>
  <c r="B286" i="17"/>
  <c r="B285" i="17"/>
  <c r="B284" i="17"/>
  <c r="B283" i="17"/>
  <c r="B282" i="17"/>
  <c r="B281" i="17"/>
  <c r="B280" i="17"/>
  <c r="G272" i="17"/>
  <c r="G266" i="17"/>
  <c r="G257" i="17"/>
  <c r="G251" i="17"/>
  <c r="Z243" i="17"/>
  <c r="Z240" i="17"/>
  <c r="Z235" i="17"/>
  <c r="Z231" i="17"/>
  <c r="Z229" i="17"/>
  <c r="Z227" i="17"/>
  <c r="Z223" i="17"/>
  <c r="Z222" i="17"/>
  <c r="Z218" i="17"/>
  <c r="Z217" i="17"/>
  <c r="Z216" i="17"/>
  <c r="Z212" i="17"/>
  <c r="Z208" i="17"/>
  <c r="Z207" i="17"/>
  <c r="Z204" i="17"/>
  <c r="Z203" i="17"/>
  <c r="Z201" i="17"/>
  <c r="Z200" i="17"/>
  <c r="Z193" i="17"/>
  <c r="Z190" i="17"/>
  <c r="Z188" i="17"/>
  <c r="Z185" i="17"/>
  <c r="Z184" i="17"/>
  <c r="Z179" i="17"/>
  <c r="Z178" i="17"/>
  <c r="Z176" i="17"/>
  <c r="Z173" i="17"/>
  <c r="Z170" i="17"/>
  <c r="Z167" i="17"/>
  <c r="Z157" i="17"/>
  <c r="Z154" i="17"/>
  <c r="Z150" i="17"/>
  <c r="I150" i="17" s="1"/>
  <c r="Z145" i="17"/>
  <c r="I145" i="17" s="1"/>
  <c r="Z144" i="17"/>
  <c r="I144" i="17" s="1"/>
  <c r="Z143" i="17"/>
  <c r="I143" i="17" s="1"/>
  <c r="Z133" i="17"/>
  <c r="I133" i="17" s="1"/>
  <c r="Z128" i="17"/>
  <c r="I128" i="17" s="1"/>
  <c r="Z124" i="17"/>
  <c r="Z119" i="17"/>
  <c r="Z113" i="17"/>
  <c r="Z111" i="17"/>
  <c r="Z109" i="17"/>
  <c r="Z107" i="17"/>
  <c r="Z101" i="17"/>
  <c r="Z88" i="17"/>
  <c r="Z87" i="17"/>
  <c r="Z82" i="17"/>
  <c r="Z76" i="17"/>
  <c r="Z74" i="17"/>
  <c r="Z71" i="17"/>
  <c r="Z67" i="17"/>
  <c r="Z65" i="17"/>
  <c r="Z57" i="17"/>
  <c r="Z55" i="17"/>
  <c r="Z45" i="17"/>
  <c r="Z42" i="17"/>
  <c r="Z39" i="17"/>
  <c r="R8" i="17"/>
  <c r="S8" i="17" s="1"/>
  <c r="N8" i="17"/>
  <c r="J8" i="17"/>
  <c r="F8" i="17"/>
  <c r="B1" i="17"/>
  <c r="B1" i="11"/>
  <c r="R35" i="11" s="1"/>
  <c r="B1" i="8"/>
  <c r="B309" i="8" s="1"/>
  <c r="J80" i="32" l="1"/>
  <c r="J79" i="32"/>
  <c r="J78" i="32"/>
  <c r="J76" i="32"/>
  <c r="I80" i="32"/>
  <c r="I79" i="32"/>
  <c r="I78" i="32"/>
  <c r="J74" i="32"/>
  <c r="J73" i="32"/>
  <c r="J72" i="32"/>
  <c r="I74" i="32"/>
  <c r="I73" i="32"/>
  <c r="I72" i="32"/>
  <c r="J70" i="32"/>
  <c r="L76" i="32"/>
  <c r="L80" i="32"/>
  <c r="L79" i="32"/>
  <c r="L78" i="32"/>
  <c r="K80" i="32"/>
  <c r="K79" i="32"/>
  <c r="K78" i="32"/>
  <c r="L74" i="32"/>
  <c r="L73" i="32"/>
  <c r="L72" i="32"/>
  <c r="K74" i="32"/>
  <c r="K73" i="32"/>
  <c r="K72" i="32"/>
  <c r="L70" i="32"/>
  <c r="N23" i="60"/>
  <c r="N22" i="60"/>
  <c r="N17" i="60"/>
  <c r="N16" i="60"/>
  <c r="K120" i="45"/>
  <c r="L19" i="60"/>
  <c r="P19" i="60" s="1"/>
  <c r="H76" i="32"/>
  <c r="H70" i="32"/>
  <c r="C136" i="26"/>
  <c r="L136" i="26"/>
  <c r="K136" i="26"/>
  <c r="J136" i="26"/>
  <c r="I136" i="26"/>
  <c r="H136" i="26"/>
  <c r="G136" i="26"/>
  <c r="C137" i="26"/>
  <c r="F154" i="53"/>
  <c r="F271" i="54"/>
  <c r="F153" i="53"/>
  <c r="F270" i="54"/>
  <c r="J154" i="53"/>
  <c r="N271" i="54"/>
  <c r="J153" i="53"/>
  <c r="N270" i="54"/>
  <c r="H153" i="53"/>
  <c r="H270" i="54"/>
  <c r="H154" i="53"/>
  <c r="H271" i="54"/>
  <c r="I156" i="53"/>
  <c r="M273" i="54"/>
  <c r="I152" i="53"/>
  <c r="M269" i="54"/>
  <c r="I155" i="53"/>
  <c r="M272" i="54"/>
  <c r="G156" i="53"/>
  <c r="G273" i="54"/>
  <c r="G154" i="53"/>
  <c r="G271" i="54"/>
  <c r="Q113" i="54"/>
  <c r="F156" i="53"/>
  <c r="F273" i="54"/>
  <c r="F152" i="53"/>
  <c r="F269" i="54"/>
  <c r="F155" i="53"/>
  <c r="F272" i="54"/>
  <c r="J156" i="53"/>
  <c r="N273" i="54"/>
  <c r="J152" i="53"/>
  <c r="N269" i="54"/>
  <c r="J155" i="53"/>
  <c r="N272" i="54"/>
  <c r="H152" i="53"/>
  <c r="H269" i="54"/>
  <c r="H155" i="53"/>
  <c r="H272" i="54"/>
  <c r="H156" i="53"/>
  <c r="H273" i="54"/>
  <c r="Q110" i="54"/>
  <c r="Q109" i="54"/>
  <c r="I154" i="53"/>
  <c r="M271" i="54"/>
  <c r="I153" i="53"/>
  <c r="M270" i="54"/>
  <c r="G153" i="53"/>
  <c r="Q153" i="53" s="1"/>
  <c r="G270" i="54"/>
  <c r="G152" i="53"/>
  <c r="G269" i="54"/>
  <c r="G155" i="53"/>
  <c r="G272" i="54"/>
  <c r="R21" i="34"/>
  <c r="V113" i="15"/>
  <c r="R23" i="37"/>
  <c r="V112" i="15"/>
  <c r="R23" i="35"/>
  <c r="V245" i="35" s="1"/>
  <c r="V108" i="15"/>
  <c r="R23" i="31"/>
  <c r="V107" i="15"/>
  <c r="R23" i="28"/>
  <c r="V245" i="28" s="1"/>
  <c r="S105" i="15" s="1"/>
  <c r="T105" i="15" s="1"/>
  <c r="V106" i="15"/>
  <c r="R23" i="19"/>
  <c r="V246" i="19" s="1"/>
  <c r="S99" i="15" s="1"/>
  <c r="T99" i="15" s="1"/>
  <c r="V103" i="15"/>
  <c r="R23" i="17"/>
  <c r="V245" i="17" s="1"/>
  <c r="V102" i="15"/>
  <c r="B277" i="17"/>
  <c r="R35" i="17"/>
  <c r="B278" i="19"/>
  <c r="R35" i="19"/>
  <c r="B278" i="27"/>
  <c r="R35" i="27"/>
  <c r="B277" i="31"/>
  <c r="R35" i="31"/>
  <c r="B250" i="34"/>
  <c r="R33" i="34"/>
  <c r="B278" i="25"/>
  <c r="R35" i="25"/>
  <c r="B277" i="28"/>
  <c r="R35" i="28"/>
  <c r="B277" i="35"/>
  <c r="R35" i="35"/>
  <c r="B176" i="37"/>
  <c r="R35" i="37"/>
  <c r="R57" i="8"/>
  <c r="H70" i="36"/>
  <c r="G73" i="36" s="1"/>
  <c r="H73" i="36" s="1"/>
  <c r="H76" i="36"/>
  <c r="G78" i="36" s="1"/>
  <c r="H78" i="36" s="1"/>
  <c r="G74" i="36"/>
  <c r="H74" i="36" s="1"/>
  <c r="J79" i="36"/>
  <c r="I80" i="36"/>
  <c r="I78" i="36"/>
  <c r="J73" i="36"/>
  <c r="I74" i="36"/>
  <c r="I72" i="36"/>
  <c r="J80" i="36"/>
  <c r="J78" i="36"/>
  <c r="I79" i="36"/>
  <c r="J76" i="36"/>
  <c r="J74" i="36"/>
  <c r="J72" i="36"/>
  <c r="I73" i="36"/>
  <c r="J70" i="36"/>
  <c r="L70" i="36"/>
  <c r="K73" i="36" s="1"/>
  <c r="L73" i="36" s="1"/>
  <c r="L76" i="36"/>
  <c r="K78" i="36" s="1"/>
  <c r="L78" i="36" s="1"/>
  <c r="K74" i="36"/>
  <c r="L74" i="36" s="1"/>
  <c r="K72" i="36"/>
  <c r="L72" i="36" s="1"/>
  <c r="J80" i="30"/>
  <c r="J79" i="30"/>
  <c r="J78" i="30"/>
  <c r="I74" i="30"/>
  <c r="I73" i="30"/>
  <c r="I72" i="30"/>
  <c r="J70" i="30"/>
  <c r="I88" i="30" s="1"/>
  <c r="I80" i="30"/>
  <c r="I79" i="30"/>
  <c r="I78" i="30"/>
  <c r="J76" i="30"/>
  <c r="J74" i="30"/>
  <c r="J73" i="30"/>
  <c r="J72" i="30"/>
  <c r="H76" i="30"/>
  <c r="G79" i="30" s="1"/>
  <c r="H79" i="30" s="1"/>
  <c r="G78" i="30"/>
  <c r="H78" i="30" s="1"/>
  <c r="H70" i="30"/>
  <c r="G88" i="30" s="1"/>
  <c r="L80" i="30"/>
  <c r="L79" i="30"/>
  <c r="L78" i="30"/>
  <c r="L86" i="30" s="1"/>
  <c r="L76" i="30"/>
  <c r="K74" i="30"/>
  <c r="K73" i="30"/>
  <c r="K72" i="30"/>
  <c r="K80" i="30"/>
  <c r="K79" i="30"/>
  <c r="K78" i="30"/>
  <c r="L74" i="30"/>
  <c r="L73" i="30"/>
  <c r="L72" i="30"/>
  <c r="L70" i="30"/>
  <c r="L76" i="38" a="1"/>
  <c r="L76" i="38" s="1"/>
  <c r="K78" i="38" s="1"/>
  <c r="L78" i="38" s="1"/>
  <c r="L68" i="38"/>
  <c r="K72" i="38" s="1"/>
  <c r="L72" i="38" s="1"/>
  <c r="J81" i="38"/>
  <c r="J79" i="38"/>
  <c r="I82" i="38"/>
  <c r="I80" i="38"/>
  <c r="I78" i="38"/>
  <c r="J82" i="38"/>
  <c r="J80" i="38"/>
  <c r="J78" i="38"/>
  <c r="I79" i="38"/>
  <c r="I81" i="38"/>
  <c r="J73" i="38"/>
  <c r="J71" i="38"/>
  <c r="I70" i="38"/>
  <c r="I72" i="38"/>
  <c r="I74" i="38"/>
  <c r="J76" i="38"/>
  <c r="J74" i="38"/>
  <c r="J72" i="38"/>
  <c r="J70" i="38"/>
  <c r="I71" i="38"/>
  <c r="I73" i="38"/>
  <c r="J68" i="38"/>
  <c r="G82" i="38"/>
  <c r="H82" i="38" s="1"/>
  <c r="H68" i="38"/>
  <c r="G74" i="38" s="1"/>
  <c r="H74" i="38" s="1"/>
  <c r="K82" i="33"/>
  <c r="L82" i="33" s="1"/>
  <c r="K81" i="33"/>
  <c r="L81" i="33" s="1"/>
  <c r="L68" i="33"/>
  <c r="K74" i="33" s="1"/>
  <c r="L74" i="33" s="1"/>
  <c r="L70" i="26"/>
  <c r="K74" i="26" s="1"/>
  <c r="L74" i="26" s="1"/>
  <c r="L76" i="26"/>
  <c r="K80" i="26" s="1"/>
  <c r="L80" i="26" s="1"/>
  <c r="K73" i="26"/>
  <c r="L73" i="26" s="1"/>
  <c r="J76" i="26"/>
  <c r="I80" i="26" s="1"/>
  <c r="J80" i="26" s="1"/>
  <c r="J70" i="26"/>
  <c r="I74" i="26" s="1"/>
  <c r="J74" i="26" s="1"/>
  <c r="H70" i="26"/>
  <c r="H76" i="26"/>
  <c r="G80" i="26" s="1"/>
  <c r="H80" i="26" s="1"/>
  <c r="G74" i="26"/>
  <c r="H74" i="26" s="1"/>
  <c r="G73" i="26"/>
  <c r="H73" i="26" s="1"/>
  <c r="G72" i="26"/>
  <c r="H72" i="26" s="1"/>
  <c r="L70" i="24"/>
  <c r="K74" i="24" s="1"/>
  <c r="L74" i="24" s="1"/>
  <c r="L76" i="24"/>
  <c r="K80" i="24" s="1"/>
  <c r="L80" i="24" s="1"/>
  <c r="K73" i="24"/>
  <c r="L73" i="24" s="1"/>
  <c r="J76" i="24"/>
  <c r="I80" i="24" s="1"/>
  <c r="J80" i="24" s="1"/>
  <c r="J70" i="24"/>
  <c r="I74" i="24" s="1"/>
  <c r="J74" i="24" s="1"/>
  <c r="H70" i="24"/>
  <c r="G88" i="24" s="1"/>
  <c r="H76" i="24"/>
  <c r="G79" i="24" s="1"/>
  <c r="H79" i="24" s="1"/>
  <c r="G73" i="24"/>
  <c r="H73" i="24" s="1"/>
  <c r="L70" i="21"/>
  <c r="K74" i="21" s="1"/>
  <c r="L74" i="21" s="1"/>
  <c r="L76" i="21"/>
  <c r="K80" i="21" s="1"/>
  <c r="L80" i="21" s="1"/>
  <c r="K73" i="21"/>
  <c r="L73" i="21" s="1"/>
  <c r="J76" i="21"/>
  <c r="I80" i="21" s="1"/>
  <c r="J80" i="21" s="1"/>
  <c r="J70" i="21"/>
  <c r="I74" i="21" s="1"/>
  <c r="J74" i="21" s="1"/>
  <c r="H70" i="21"/>
  <c r="G74" i="21" s="1"/>
  <c r="H74" i="21" s="1"/>
  <c r="H76" i="21"/>
  <c r="G80" i="21" s="1"/>
  <c r="H80" i="21" s="1"/>
  <c r="G73" i="21"/>
  <c r="H73" i="21" s="1"/>
  <c r="J70" i="18"/>
  <c r="I73" i="18" s="1"/>
  <c r="J73" i="18" s="1"/>
  <c r="L76" i="18"/>
  <c r="K79" i="18" s="1"/>
  <c r="L79" i="18" s="1"/>
  <c r="L70" i="18"/>
  <c r="K74" i="18" s="1"/>
  <c r="L74" i="18" s="1"/>
  <c r="K80" i="18"/>
  <c r="L80" i="18" s="1"/>
  <c r="J76" i="18"/>
  <c r="I80" i="18" s="1"/>
  <c r="J80" i="18" s="1"/>
  <c r="G79" i="18"/>
  <c r="H79" i="18" s="1"/>
  <c r="H78" i="18"/>
  <c r="H70" i="18"/>
  <c r="G74" i="18" s="1"/>
  <c r="H74" i="18" s="1"/>
  <c r="H101" i="54"/>
  <c r="Q106" i="56"/>
  <c r="I149" i="53"/>
  <c r="G149" i="53"/>
  <c r="F149" i="53"/>
  <c r="J149" i="53"/>
  <c r="H149" i="53"/>
  <c r="H101" i="56"/>
  <c r="Q106" i="54"/>
  <c r="Q115" i="54" s="1"/>
  <c r="N266" i="54"/>
  <c r="F266" i="54"/>
  <c r="H266" i="54"/>
  <c r="M266" i="54"/>
  <c r="G266" i="54"/>
  <c r="H120" i="53"/>
  <c r="Q115" i="44"/>
  <c r="E122" i="32"/>
  <c r="E123" i="32" s="1"/>
  <c r="H268" i="31" s="1"/>
  <c r="H124" i="45"/>
  <c r="H126" i="45" s="1"/>
  <c r="H128" i="45" s="1"/>
  <c r="J129" i="38"/>
  <c r="J181" i="37" s="1"/>
  <c r="K129" i="38"/>
  <c r="C128" i="38"/>
  <c r="C180" i="37" s="1"/>
  <c r="M128" i="38"/>
  <c r="J125" i="33"/>
  <c r="C136" i="18"/>
  <c r="G136" i="18"/>
  <c r="I136" i="18"/>
  <c r="K136" i="18"/>
  <c r="M136" i="18"/>
  <c r="O136" i="18"/>
  <c r="D136" i="18"/>
  <c r="H136" i="18"/>
  <c r="H281" i="17" s="1"/>
  <c r="J136" i="18"/>
  <c r="L136" i="18"/>
  <c r="L281" i="17" s="1"/>
  <c r="N136" i="18"/>
  <c r="P136" i="18"/>
  <c r="P281" i="17" s="1"/>
  <c r="C137" i="18"/>
  <c r="E137" i="18"/>
  <c r="D137" i="18"/>
  <c r="D282" i="17" s="1"/>
  <c r="F137" i="18"/>
  <c r="H102" i="44"/>
  <c r="H133" i="45"/>
  <c r="Z245" i="25"/>
  <c r="I236" i="25" s="1"/>
  <c r="W89" i="37"/>
  <c r="I68" i="37" s="1"/>
  <c r="Z127" i="35"/>
  <c r="I119" i="35" s="1"/>
  <c r="Z245" i="27"/>
  <c r="I236" i="27" s="1"/>
  <c r="Z54" i="17"/>
  <c r="I39" i="17" s="1"/>
  <c r="Z244" i="31"/>
  <c r="I235" i="31" s="1"/>
  <c r="Z127" i="28"/>
  <c r="I119" i="28" s="1"/>
  <c r="Z127" i="19"/>
  <c r="I119" i="19" s="1"/>
  <c r="Z192" i="17"/>
  <c r="I178" i="17" s="1"/>
  <c r="B262" i="11"/>
  <c r="B277" i="11"/>
  <c r="C136" i="36"/>
  <c r="C281" i="35" s="1"/>
  <c r="O136" i="36"/>
  <c r="D136" i="36"/>
  <c r="P136" i="36"/>
  <c r="P281" i="35" s="1"/>
  <c r="C137" i="36"/>
  <c r="E137" i="36"/>
  <c r="G137" i="36"/>
  <c r="I137" i="36"/>
  <c r="I282" i="35" s="1"/>
  <c r="K137" i="36"/>
  <c r="M137" i="36"/>
  <c r="M282" i="35" s="1"/>
  <c r="D137" i="36"/>
  <c r="D282" i="35" s="1"/>
  <c r="F137" i="36"/>
  <c r="H137" i="36"/>
  <c r="H282" i="35" s="1"/>
  <c r="J137" i="36"/>
  <c r="L137" i="36"/>
  <c r="L282" i="35" s="1"/>
  <c r="N137" i="36"/>
  <c r="J87" i="38"/>
  <c r="D137" i="21"/>
  <c r="D283" i="19" s="1"/>
  <c r="F137" i="21"/>
  <c r="F283" i="19" s="1"/>
  <c r="H137" i="21"/>
  <c r="J137" i="21"/>
  <c r="J283" i="19" s="1"/>
  <c r="L137" i="21"/>
  <c r="N137" i="21"/>
  <c r="N283" i="19" s="1"/>
  <c r="P137" i="21"/>
  <c r="P283" i="19" s="1"/>
  <c r="C137" i="21"/>
  <c r="E137" i="21"/>
  <c r="G137" i="21"/>
  <c r="G283" i="19" s="1"/>
  <c r="I137" i="21"/>
  <c r="I283" i="19" s="1"/>
  <c r="K137" i="21"/>
  <c r="K283" i="19" s="1"/>
  <c r="M137" i="21"/>
  <c r="O137" i="21"/>
  <c r="O283" i="19" s="1"/>
  <c r="D137" i="24"/>
  <c r="G137" i="24"/>
  <c r="G283" i="25" s="1"/>
  <c r="I137" i="24"/>
  <c r="K137" i="24"/>
  <c r="K283" i="25" s="1"/>
  <c r="M137" i="24"/>
  <c r="O137" i="24"/>
  <c r="O283" i="25" s="1"/>
  <c r="C137" i="24"/>
  <c r="F137" i="24"/>
  <c r="F283" i="25" s="1"/>
  <c r="H137" i="24"/>
  <c r="J137" i="24"/>
  <c r="J283" i="25" s="1"/>
  <c r="L137" i="24"/>
  <c r="N137" i="24"/>
  <c r="N283" i="25" s="1"/>
  <c r="P137" i="24"/>
  <c r="C136" i="30"/>
  <c r="O136" i="30"/>
  <c r="D136" i="30"/>
  <c r="N136" i="30"/>
  <c r="P136" i="30"/>
  <c r="D136" i="32"/>
  <c r="P136" i="32"/>
  <c r="C136" i="32"/>
  <c r="E136" i="32"/>
  <c r="O136" i="32"/>
  <c r="O281" i="31" s="1"/>
  <c r="D136" i="21"/>
  <c r="F136" i="21"/>
  <c r="F282" i="19" s="1"/>
  <c r="H136" i="21"/>
  <c r="H282" i="19" s="1"/>
  <c r="J136" i="21"/>
  <c r="J282" i="19" s="1"/>
  <c r="L136" i="21"/>
  <c r="L282" i="19" s="1"/>
  <c r="N136" i="21"/>
  <c r="N282" i="19" s="1"/>
  <c r="P136" i="21"/>
  <c r="P282" i="19" s="1"/>
  <c r="C136" i="21"/>
  <c r="C282" i="19" s="1"/>
  <c r="E136" i="21"/>
  <c r="E282" i="19" s="1"/>
  <c r="G136" i="21"/>
  <c r="G282" i="19" s="1"/>
  <c r="I136" i="21"/>
  <c r="I282" i="19" s="1"/>
  <c r="K136" i="21"/>
  <c r="K282" i="19" s="1"/>
  <c r="M136" i="21"/>
  <c r="M282" i="19" s="1"/>
  <c r="O136" i="21"/>
  <c r="O282" i="19" s="1"/>
  <c r="C136" i="24"/>
  <c r="C282" i="25" s="1"/>
  <c r="F136" i="24"/>
  <c r="F282" i="25" s="1"/>
  <c r="H136" i="24"/>
  <c r="H282" i="25" s="1"/>
  <c r="J136" i="24"/>
  <c r="J282" i="25" s="1"/>
  <c r="L136" i="24"/>
  <c r="L282" i="25" s="1"/>
  <c r="N136" i="24"/>
  <c r="N282" i="25" s="1"/>
  <c r="P136" i="24"/>
  <c r="P282" i="25" s="1"/>
  <c r="E136" i="24"/>
  <c r="E282" i="25" s="1"/>
  <c r="G136" i="24"/>
  <c r="G282" i="25" s="1"/>
  <c r="I136" i="24"/>
  <c r="I282" i="25" s="1"/>
  <c r="K136" i="24"/>
  <c r="K282" i="25" s="1"/>
  <c r="M136" i="24"/>
  <c r="M282" i="25" s="1"/>
  <c r="O136" i="24"/>
  <c r="O282" i="25" s="1"/>
  <c r="C137" i="30"/>
  <c r="C282" i="28" s="1"/>
  <c r="F137" i="30"/>
  <c r="H137" i="30"/>
  <c r="J137" i="30"/>
  <c r="L137" i="30"/>
  <c r="D137" i="30"/>
  <c r="G137" i="30"/>
  <c r="I137" i="30"/>
  <c r="K137" i="30"/>
  <c r="M137" i="30"/>
  <c r="D137" i="32"/>
  <c r="D282" i="31" s="1"/>
  <c r="F137" i="32"/>
  <c r="F282" i="31" s="1"/>
  <c r="H137" i="32"/>
  <c r="H282" i="31" s="1"/>
  <c r="J137" i="32"/>
  <c r="J282" i="31" s="1"/>
  <c r="L137" i="32"/>
  <c r="L282" i="31" s="1"/>
  <c r="N137" i="32"/>
  <c r="N282" i="31" s="1"/>
  <c r="C137" i="32"/>
  <c r="C282" i="31" s="1"/>
  <c r="E137" i="32"/>
  <c r="G137" i="32"/>
  <c r="G282" i="31" s="1"/>
  <c r="I137" i="32"/>
  <c r="I282" i="31" s="1"/>
  <c r="K137" i="32"/>
  <c r="K282" i="31" s="1"/>
  <c r="M137" i="32"/>
  <c r="M282" i="31" s="1"/>
  <c r="Z78" i="17"/>
  <c r="I55" i="17" s="1"/>
  <c r="Z54" i="35"/>
  <c r="I39" i="35" s="1"/>
  <c r="E130" i="21"/>
  <c r="E123" i="24"/>
  <c r="H269" i="25" s="1"/>
  <c r="T101" i="15"/>
  <c r="Z178" i="27"/>
  <c r="I154" i="27" s="1"/>
  <c r="E125" i="26"/>
  <c r="E130" i="26" s="1"/>
  <c r="Z127" i="27"/>
  <c r="I119" i="27" s="1"/>
  <c r="Z127" i="31"/>
  <c r="I119" i="31" s="1"/>
  <c r="X99" i="34"/>
  <c r="Z78" i="28"/>
  <c r="I55" i="28" s="1"/>
  <c r="Z115" i="28"/>
  <c r="I82" i="28" s="1"/>
  <c r="E119" i="30"/>
  <c r="E130" i="36"/>
  <c r="V140" i="37"/>
  <c r="S119" i="15" s="1"/>
  <c r="T119" i="15" s="1"/>
  <c r="I129" i="38"/>
  <c r="I289" i="38" s="1"/>
  <c r="D129" i="38"/>
  <c r="D289" i="38" s="1"/>
  <c r="H129" i="38"/>
  <c r="E129" i="38"/>
  <c r="F129" i="38"/>
  <c r="K289" i="38"/>
  <c r="C129" i="38"/>
  <c r="D128" i="38"/>
  <c r="J289" i="38"/>
  <c r="G129" i="38"/>
  <c r="L293" i="38"/>
  <c r="L289" i="38"/>
  <c r="L290" i="38"/>
  <c r="L292" i="38"/>
  <c r="L294" i="38"/>
  <c r="L291" i="38"/>
  <c r="L288" i="38"/>
  <c r="W110" i="37"/>
  <c r="I93" i="37" s="1"/>
  <c r="W139" i="37"/>
  <c r="I127" i="37" s="1"/>
  <c r="W126" i="37"/>
  <c r="W45" i="37"/>
  <c r="I39" i="37" s="1"/>
  <c r="W64" i="37"/>
  <c r="I46" i="37" s="1"/>
  <c r="Z153" i="31"/>
  <c r="Z192" i="31"/>
  <c r="I178" i="31" s="1"/>
  <c r="I128" i="31"/>
  <c r="Z54" i="31"/>
  <c r="I39" i="31" s="1"/>
  <c r="Z177" i="31"/>
  <c r="I154" i="31" s="1"/>
  <c r="Z234" i="31"/>
  <c r="I193" i="31" s="1"/>
  <c r="Z78" i="31"/>
  <c r="I55" i="31" s="1"/>
  <c r="Z115" i="31"/>
  <c r="I82" i="31" s="1"/>
  <c r="Z78" i="27"/>
  <c r="I55" i="27" s="1"/>
  <c r="Z115" i="27"/>
  <c r="I82" i="27" s="1"/>
  <c r="I88" i="26"/>
  <c r="I94" i="26" s="1"/>
  <c r="Z235" i="27"/>
  <c r="I194" i="27" s="1"/>
  <c r="Z54" i="27"/>
  <c r="I39" i="27" s="1"/>
  <c r="Z193" i="27"/>
  <c r="I179" i="27" s="1"/>
  <c r="Z177" i="17"/>
  <c r="I154" i="17" s="1"/>
  <c r="Z244" i="17"/>
  <c r="I235" i="17" s="1"/>
  <c r="Z234" i="17"/>
  <c r="I193" i="17" s="1"/>
  <c r="Z115" i="17"/>
  <c r="I82" i="17" s="1"/>
  <c r="Z127" i="17"/>
  <c r="I119" i="17" s="1"/>
  <c r="Z192" i="35"/>
  <c r="I178" i="35" s="1"/>
  <c r="Z78" i="35"/>
  <c r="I55" i="35" s="1"/>
  <c r="Z115" i="35"/>
  <c r="I82" i="35" s="1"/>
  <c r="Z177" i="35"/>
  <c r="I154" i="35" s="1"/>
  <c r="Z244" i="35"/>
  <c r="I235" i="35" s="1"/>
  <c r="Z234" i="35"/>
  <c r="I193" i="35" s="1"/>
  <c r="S109" i="15"/>
  <c r="T109" i="15" s="1"/>
  <c r="Z54" i="19"/>
  <c r="I39" i="19" s="1"/>
  <c r="Z178" i="19"/>
  <c r="I154" i="19" s="1"/>
  <c r="Z245" i="19"/>
  <c r="I236" i="19" s="1"/>
  <c r="Z235" i="19"/>
  <c r="I194" i="19" s="1"/>
  <c r="Z78" i="19"/>
  <c r="I55" i="19" s="1"/>
  <c r="Z115" i="19"/>
  <c r="I82" i="19" s="1"/>
  <c r="Z193" i="19"/>
  <c r="I179" i="19" s="1"/>
  <c r="I88" i="21"/>
  <c r="J94" i="21" s="1"/>
  <c r="Z153" i="19"/>
  <c r="Z153" i="25"/>
  <c r="Z193" i="25"/>
  <c r="I179" i="25" s="1"/>
  <c r="Z127" i="25"/>
  <c r="I119" i="25" s="1"/>
  <c r="Z54" i="25"/>
  <c r="I39" i="25" s="1"/>
  <c r="Z178" i="25"/>
  <c r="I154" i="25" s="1"/>
  <c r="Z235" i="25"/>
  <c r="I194" i="25" s="1"/>
  <c r="K88" i="24"/>
  <c r="L94" i="24" s="1"/>
  <c r="Z78" i="25"/>
  <c r="I55" i="25" s="1"/>
  <c r="Z115" i="25"/>
  <c r="I82" i="25" s="1"/>
  <c r="E110" i="30"/>
  <c r="Z177" i="28"/>
  <c r="I154" i="28" s="1"/>
  <c r="Z244" i="28"/>
  <c r="I235" i="28" s="1"/>
  <c r="Z234" i="28"/>
  <c r="I193" i="28" s="1"/>
  <c r="K88" i="30"/>
  <c r="K94" i="30" s="1"/>
  <c r="E121" i="30"/>
  <c r="E125" i="30"/>
  <c r="Z54" i="28"/>
  <c r="I39" i="28" s="1"/>
  <c r="Z192" i="28"/>
  <c r="I178" i="28" s="1"/>
  <c r="H90" i="38"/>
  <c r="J90" i="38"/>
  <c r="G90" i="38"/>
  <c r="N288" i="38"/>
  <c r="N289" i="38"/>
  <c r="N290" i="38"/>
  <c r="N291" i="38"/>
  <c r="N292" i="38"/>
  <c r="N293" i="38"/>
  <c r="N294" i="38"/>
  <c r="I90" i="38"/>
  <c r="L90" i="38"/>
  <c r="G108" i="38"/>
  <c r="O287" i="38"/>
  <c r="O288" i="38"/>
  <c r="O289" i="38"/>
  <c r="O290" i="38"/>
  <c r="O291" i="38"/>
  <c r="O292" i="38"/>
  <c r="O293" i="38"/>
  <c r="O294" i="38"/>
  <c r="K90" i="38"/>
  <c r="P287" i="38"/>
  <c r="P288" i="38"/>
  <c r="P289" i="38"/>
  <c r="P290" i="38"/>
  <c r="P291" i="38"/>
  <c r="P292" i="38"/>
  <c r="P293" i="38"/>
  <c r="P294" i="38"/>
  <c r="B146" i="37"/>
  <c r="I114" i="37"/>
  <c r="B161" i="37"/>
  <c r="W173" i="34"/>
  <c r="I158" i="34" s="1"/>
  <c r="I76" i="34"/>
  <c r="W204" i="34"/>
  <c r="I174" i="34" s="1"/>
  <c r="W157" i="34"/>
  <c r="I142" i="34" s="1"/>
  <c r="W214" i="34"/>
  <c r="I205" i="34" s="1"/>
  <c r="V245" i="31"/>
  <c r="S107" i="15" s="1"/>
  <c r="T107" i="15" s="1"/>
  <c r="D133" i="33"/>
  <c r="F133" i="33"/>
  <c r="H133" i="33"/>
  <c r="J133" i="33"/>
  <c r="L133" i="33"/>
  <c r="N133" i="33"/>
  <c r="C133" i="33"/>
  <c r="E133" i="33"/>
  <c r="G133" i="33"/>
  <c r="I133" i="33"/>
  <c r="K133" i="33"/>
  <c r="M133" i="33"/>
  <c r="O133" i="33"/>
  <c r="D132" i="33"/>
  <c r="P132" i="33"/>
  <c r="C132" i="33"/>
  <c r="J124" i="33"/>
  <c r="W141" i="34"/>
  <c r="V215" i="34"/>
  <c r="S121" i="15" s="1"/>
  <c r="W72" i="34"/>
  <c r="I48" i="34" s="1"/>
  <c r="W120" i="34"/>
  <c r="I103" i="34" s="1"/>
  <c r="W47" i="34"/>
  <c r="I37" i="34" s="1"/>
  <c r="C282" i="35"/>
  <c r="G282" i="35"/>
  <c r="K282" i="35"/>
  <c r="F282" i="35"/>
  <c r="J282" i="35"/>
  <c r="N282" i="35"/>
  <c r="O281" i="35"/>
  <c r="E123" i="36"/>
  <c r="H268" i="35" s="1"/>
  <c r="K105" i="36"/>
  <c r="I105" i="36"/>
  <c r="G105" i="36"/>
  <c r="G88" i="36"/>
  <c r="K88" i="36"/>
  <c r="I88" i="36"/>
  <c r="I85" i="36"/>
  <c r="I93" i="36" s="1"/>
  <c r="K85" i="36"/>
  <c r="K93" i="36" s="1"/>
  <c r="H88" i="36"/>
  <c r="J88" i="36"/>
  <c r="L88" i="36"/>
  <c r="Z153" i="35"/>
  <c r="B247" i="35"/>
  <c r="B262" i="35"/>
  <c r="C281" i="31"/>
  <c r="P281" i="31"/>
  <c r="E281" i="31"/>
  <c r="B220" i="34"/>
  <c r="B235" i="34"/>
  <c r="I90" i="33"/>
  <c r="J90" i="33"/>
  <c r="H90" i="33"/>
  <c r="L90" i="33"/>
  <c r="G90" i="33"/>
  <c r="K90" i="33"/>
  <c r="L283" i="19"/>
  <c r="H283" i="19"/>
  <c r="C283" i="19"/>
  <c r="C283" i="25"/>
  <c r="I283" i="25"/>
  <c r="M283" i="25"/>
  <c r="D283" i="25"/>
  <c r="H283" i="25"/>
  <c r="L283" i="25"/>
  <c r="P283" i="25"/>
  <c r="M283" i="19"/>
  <c r="C283" i="27"/>
  <c r="F137" i="26"/>
  <c r="F283" i="27" s="1"/>
  <c r="P136" i="26"/>
  <c r="P282" i="27" s="1"/>
  <c r="L282" i="27"/>
  <c r="H282" i="27"/>
  <c r="C282" i="27"/>
  <c r="G282" i="27"/>
  <c r="I282" i="27"/>
  <c r="K282" i="27"/>
  <c r="M136" i="26"/>
  <c r="M282" i="27" s="1"/>
  <c r="O136" i="26"/>
  <c r="O282" i="27" s="1"/>
  <c r="D137" i="26"/>
  <c r="D283" i="27" s="1"/>
  <c r="N136" i="26"/>
  <c r="N282" i="27" s="1"/>
  <c r="J282" i="27"/>
  <c r="I88" i="32"/>
  <c r="H88" i="32"/>
  <c r="J88" i="32"/>
  <c r="K105" i="32"/>
  <c r="I105" i="32"/>
  <c r="G105" i="32"/>
  <c r="B247" i="31"/>
  <c r="B262" i="31"/>
  <c r="I85" i="30"/>
  <c r="I93" i="30" s="1"/>
  <c r="L85" i="30"/>
  <c r="L93" i="30" s="1"/>
  <c r="H88" i="30"/>
  <c r="J88" i="30"/>
  <c r="K105" i="30"/>
  <c r="I105" i="30"/>
  <c r="G105" i="30"/>
  <c r="J85" i="30"/>
  <c r="J93" i="30" s="1"/>
  <c r="Z153" i="28"/>
  <c r="B247" i="28"/>
  <c r="B262" i="28"/>
  <c r="E123" i="26"/>
  <c r="H269" i="27" s="1"/>
  <c r="Z153" i="27"/>
  <c r="B248" i="27"/>
  <c r="B263" i="27"/>
  <c r="J94" i="26"/>
  <c r="H88" i="26"/>
  <c r="J88" i="26"/>
  <c r="L88" i="26"/>
  <c r="G105" i="26"/>
  <c r="K105" i="26"/>
  <c r="G88" i="26"/>
  <c r="K88" i="26"/>
  <c r="B248" i="25"/>
  <c r="B263" i="25"/>
  <c r="I88" i="24"/>
  <c r="H88" i="24"/>
  <c r="J88" i="24"/>
  <c r="K105" i="24"/>
  <c r="I105" i="24"/>
  <c r="G105" i="24"/>
  <c r="E123" i="21"/>
  <c r="H269" i="19" s="1"/>
  <c r="I94" i="21"/>
  <c r="H88" i="21"/>
  <c r="J88" i="21"/>
  <c r="L88" i="21"/>
  <c r="G105" i="21"/>
  <c r="K105" i="21"/>
  <c r="G88" i="21"/>
  <c r="K88" i="21"/>
  <c r="B248" i="19"/>
  <c r="B263" i="19"/>
  <c r="C281" i="17"/>
  <c r="G281" i="17"/>
  <c r="I281" i="17"/>
  <c r="K281" i="17"/>
  <c r="M281" i="17"/>
  <c r="O281" i="17"/>
  <c r="J281" i="17"/>
  <c r="N281" i="17"/>
  <c r="E123" i="18"/>
  <c r="H268" i="17" s="1"/>
  <c r="I88" i="18"/>
  <c r="I94" i="18" s="1"/>
  <c r="K105" i="18"/>
  <c r="I105" i="18"/>
  <c r="G105" i="18"/>
  <c r="L88" i="18"/>
  <c r="J88" i="18"/>
  <c r="K88" i="18"/>
  <c r="C282" i="17"/>
  <c r="Z153" i="17"/>
  <c r="B247" i="17"/>
  <c r="B262" i="17"/>
  <c r="B247" i="11"/>
  <c r="L20" i="60" l="1"/>
  <c r="P20" i="60" s="1"/>
  <c r="H135" i="45"/>
  <c r="G88" i="32"/>
  <c r="G74" i="32"/>
  <c r="H74" i="32" s="1"/>
  <c r="G73" i="32"/>
  <c r="H73" i="32" s="1"/>
  <c r="G72" i="32"/>
  <c r="G80" i="32"/>
  <c r="H80" i="32" s="1"/>
  <c r="G79" i="32"/>
  <c r="H79" i="32" s="1"/>
  <c r="G78" i="32"/>
  <c r="H78" i="32" s="1"/>
  <c r="Q155" i="53"/>
  <c r="Q152" i="53"/>
  <c r="Q154" i="53"/>
  <c r="Q156" i="53"/>
  <c r="T121" i="15"/>
  <c r="T123" i="15"/>
  <c r="S124" i="15" s="1"/>
  <c r="S104" i="15"/>
  <c r="S120" i="15"/>
  <c r="S114" i="15"/>
  <c r="S102" i="15"/>
  <c r="S108" i="15"/>
  <c r="G72" i="38"/>
  <c r="H72" i="38" s="1"/>
  <c r="G71" i="38"/>
  <c r="H71" i="38" s="1"/>
  <c r="G72" i="36"/>
  <c r="H72" i="36" s="1"/>
  <c r="G79" i="36"/>
  <c r="H79" i="36" s="1"/>
  <c r="G80" i="36"/>
  <c r="H80" i="36" s="1"/>
  <c r="G80" i="30"/>
  <c r="H80" i="30" s="1"/>
  <c r="K94" i="24"/>
  <c r="K73" i="38"/>
  <c r="L73" i="38" s="1"/>
  <c r="K71" i="38"/>
  <c r="L71" i="38" s="1"/>
  <c r="K80" i="38"/>
  <c r="L80" i="38" s="1"/>
  <c r="K70" i="38"/>
  <c r="K74" i="38"/>
  <c r="L74" i="38" s="1"/>
  <c r="K81" i="38"/>
  <c r="L81" i="38" s="1"/>
  <c r="K82" i="38"/>
  <c r="L82" i="38" s="1"/>
  <c r="K79" i="38"/>
  <c r="L79" i="38" s="1"/>
  <c r="K80" i="36"/>
  <c r="L80" i="36" s="1"/>
  <c r="K79" i="36"/>
  <c r="L79" i="36" s="1"/>
  <c r="G73" i="30"/>
  <c r="H73" i="30" s="1"/>
  <c r="G72" i="30"/>
  <c r="H72" i="30" s="1"/>
  <c r="H85" i="30" s="1"/>
  <c r="H93" i="30" s="1"/>
  <c r="G74" i="30"/>
  <c r="H74" i="30" s="1"/>
  <c r="G94" i="30"/>
  <c r="H94" i="30"/>
  <c r="G73" i="38"/>
  <c r="H73" i="38" s="1"/>
  <c r="G70" i="38"/>
  <c r="H70" i="38" s="1"/>
  <c r="G81" i="38"/>
  <c r="H81" i="38" s="1"/>
  <c r="G80" i="38"/>
  <c r="H80" i="38" s="1"/>
  <c r="G79" i="38"/>
  <c r="H79" i="38" s="1"/>
  <c r="G78" i="38"/>
  <c r="H78" i="38" s="1"/>
  <c r="K72" i="33"/>
  <c r="L72" i="33" s="1"/>
  <c r="K71" i="33"/>
  <c r="L71" i="33" s="1"/>
  <c r="K70" i="33"/>
  <c r="L70" i="33" s="1"/>
  <c r="K73" i="33"/>
  <c r="L73" i="33" s="1"/>
  <c r="K79" i="33"/>
  <c r="L79" i="33" s="1"/>
  <c r="K80" i="33"/>
  <c r="L80" i="33" s="1"/>
  <c r="K78" i="33"/>
  <c r="L78" i="33" s="1"/>
  <c r="E123" i="30"/>
  <c r="H268" i="28" s="1"/>
  <c r="K72" i="26"/>
  <c r="K79" i="26"/>
  <c r="L79" i="26" s="1"/>
  <c r="K78" i="26"/>
  <c r="I73" i="26"/>
  <c r="J73" i="26" s="1"/>
  <c r="I79" i="26"/>
  <c r="J79" i="26" s="1"/>
  <c r="I72" i="26"/>
  <c r="I78" i="26"/>
  <c r="J78" i="26" s="1"/>
  <c r="G79" i="26"/>
  <c r="H79" i="26" s="1"/>
  <c r="G78" i="26"/>
  <c r="H78" i="26" s="1"/>
  <c r="K72" i="24"/>
  <c r="L72" i="24" s="1"/>
  <c r="L85" i="24" s="1"/>
  <c r="L93" i="24" s="1"/>
  <c r="K79" i="24"/>
  <c r="L79" i="24" s="1"/>
  <c r="K78" i="24"/>
  <c r="L78" i="24" s="1"/>
  <c r="L86" i="24" s="1"/>
  <c r="I73" i="24"/>
  <c r="J73" i="24" s="1"/>
  <c r="I79" i="24"/>
  <c r="J79" i="24" s="1"/>
  <c r="I72" i="24"/>
  <c r="I78" i="24"/>
  <c r="J78" i="24" s="1"/>
  <c r="G94" i="24"/>
  <c r="H94" i="24"/>
  <c r="G78" i="24"/>
  <c r="H78" i="24" s="1"/>
  <c r="G80" i="24"/>
  <c r="H80" i="24" s="1"/>
  <c r="G72" i="24"/>
  <c r="H72" i="24" s="1"/>
  <c r="H85" i="24" s="1"/>
  <c r="H93" i="24" s="1"/>
  <c r="G74" i="24"/>
  <c r="H74" i="24" s="1"/>
  <c r="K78" i="18"/>
  <c r="L78" i="18" s="1"/>
  <c r="I72" i="18"/>
  <c r="K79" i="21"/>
  <c r="L79" i="21" s="1"/>
  <c r="K72" i="21"/>
  <c r="K78" i="21"/>
  <c r="I73" i="21"/>
  <c r="J73" i="21" s="1"/>
  <c r="I79" i="21"/>
  <c r="J79" i="21" s="1"/>
  <c r="I72" i="21"/>
  <c r="I78" i="21"/>
  <c r="G72" i="21"/>
  <c r="H72" i="21" s="1"/>
  <c r="G79" i="21"/>
  <c r="H79" i="21" s="1"/>
  <c r="G78" i="21"/>
  <c r="H78" i="21" s="1"/>
  <c r="I74" i="18"/>
  <c r="J74" i="18" s="1"/>
  <c r="K72" i="18"/>
  <c r="L72" i="18" s="1"/>
  <c r="K73" i="18"/>
  <c r="L73" i="18" s="1"/>
  <c r="G80" i="18"/>
  <c r="H80" i="18" s="1"/>
  <c r="I79" i="18"/>
  <c r="J79" i="18" s="1"/>
  <c r="I78" i="18"/>
  <c r="J78" i="18" s="1"/>
  <c r="G73" i="18"/>
  <c r="H73" i="18" s="1"/>
  <c r="G72" i="18"/>
  <c r="H72" i="18" s="1"/>
  <c r="H85" i="18" s="1"/>
  <c r="H93" i="18" s="1"/>
  <c r="Q149" i="53"/>
  <c r="H124" i="53"/>
  <c r="H126" i="53" s="1"/>
  <c r="H128" i="53" s="1"/>
  <c r="Q115" i="56"/>
  <c r="H102" i="56"/>
  <c r="H133" i="55"/>
  <c r="Q149" i="55"/>
  <c r="H102" i="54"/>
  <c r="H133" i="53"/>
  <c r="K120" i="53"/>
  <c r="I244" i="31"/>
  <c r="I245" i="27"/>
  <c r="I245" i="25"/>
  <c r="L85" i="36"/>
  <c r="L93" i="36" s="1"/>
  <c r="I86" i="36"/>
  <c r="J86" i="36"/>
  <c r="J85" i="36"/>
  <c r="J93" i="36" s="1"/>
  <c r="L180" i="37"/>
  <c r="C181" i="37"/>
  <c r="H181" i="37"/>
  <c r="I181" i="37"/>
  <c r="G181" i="37"/>
  <c r="D180" i="37"/>
  <c r="K181" i="37"/>
  <c r="F181" i="37"/>
  <c r="E181" i="37"/>
  <c r="D181" i="37"/>
  <c r="Q155" i="45"/>
  <c r="G86" i="36"/>
  <c r="H86" i="36"/>
  <c r="T385" i="40"/>
  <c r="T383" i="40"/>
  <c r="T381" i="40"/>
  <c r="T386" i="40"/>
  <c r="T384" i="40"/>
  <c r="T382" i="40"/>
  <c r="I244" i="17"/>
  <c r="I244" i="35"/>
  <c r="I245" i="19"/>
  <c r="I139" i="37"/>
  <c r="I244" i="28"/>
  <c r="K85" i="30"/>
  <c r="K93" i="30" s="1"/>
  <c r="H289" i="38"/>
  <c r="G289" i="38"/>
  <c r="F289" i="38"/>
  <c r="M288" i="38"/>
  <c r="D288" i="38"/>
  <c r="E289" i="38"/>
  <c r="K88" i="38"/>
  <c r="J87" i="33"/>
  <c r="J96" i="33" s="1"/>
  <c r="J122" i="38"/>
  <c r="G85" i="30"/>
  <c r="G93" i="30" s="1"/>
  <c r="S97" i="15"/>
  <c r="T97" i="15" s="1"/>
  <c r="S98" i="15" s="1"/>
  <c r="J94" i="18"/>
  <c r="E130" i="18"/>
  <c r="J86" i="24"/>
  <c r="E130" i="24"/>
  <c r="G85" i="24"/>
  <c r="G93" i="24" s="1"/>
  <c r="L94" i="30"/>
  <c r="E130" i="30"/>
  <c r="K97" i="38"/>
  <c r="L97" i="38"/>
  <c r="L99" i="38"/>
  <c r="K99" i="38"/>
  <c r="G99" i="38"/>
  <c r="H99" i="38"/>
  <c r="H97" i="38"/>
  <c r="G97" i="38"/>
  <c r="J99" i="38"/>
  <c r="I99" i="38"/>
  <c r="J97" i="38"/>
  <c r="I97" i="38"/>
  <c r="C289" i="38"/>
  <c r="C288" i="38"/>
  <c r="G87" i="33"/>
  <c r="G96" i="33" s="1"/>
  <c r="C292" i="33"/>
  <c r="C254" i="34"/>
  <c r="M293" i="33"/>
  <c r="M255" i="34"/>
  <c r="I293" i="33"/>
  <c r="I255" i="34"/>
  <c r="E293" i="33"/>
  <c r="E255" i="34"/>
  <c r="L293" i="33"/>
  <c r="L255" i="34"/>
  <c r="H293" i="33"/>
  <c r="H255" i="34"/>
  <c r="D293" i="33"/>
  <c r="D255" i="34"/>
  <c r="P292" i="33"/>
  <c r="P254" i="34"/>
  <c r="D292" i="33"/>
  <c r="D254" i="34"/>
  <c r="O293" i="33"/>
  <c r="O255" i="34"/>
  <c r="K293" i="33"/>
  <c r="K255" i="34"/>
  <c r="G293" i="33"/>
  <c r="G255" i="34"/>
  <c r="C293" i="33"/>
  <c r="C255" i="34"/>
  <c r="N293" i="33"/>
  <c r="N255" i="34"/>
  <c r="J293" i="33"/>
  <c r="J255" i="34"/>
  <c r="F293" i="33"/>
  <c r="F255" i="34"/>
  <c r="L87" i="33"/>
  <c r="L96" i="33" s="1"/>
  <c r="I214" i="34"/>
  <c r="L86" i="32"/>
  <c r="J94" i="36"/>
  <c r="I94" i="36"/>
  <c r="L96" i="36"/>
  <c r="K96" i="36"/>
  <c r="H96" i="36"/>
  <c r="G96" i="36"/>
  <c r="L94" i="36"/>
  <c r="K94" i="36"/>
  <c r="H94" i="36"/>
  <c r="G94" i="36"/>
  <c r="I87" i="36"/>
  <c r="I95" i="36" s="1"/>
  <c r="J96" i="36"/>
  <c r="I96" i="36"/>
  <c r="K86" i="32"/>
  <c r="E130" i="32"/>
  <c r="J86" i="32"/>
  <c r="I86" i="32"/>
  <c r="H86" i="32"/>
  <c r="G86" i="32"/>
  <c r="I97" i="33"/>
  <c r="J97" i="33"/>
  <c r="H99" i="33"/>
  <c r="G99" i="33"/>
  <c r="L97" i="33"/>
  <c r="K97" i="33"/>
  <c r="H87" i="33"/>
  <c r="H96" i="33" s="1"/>
  <c r="L99" i="33"/>
  <c r="K99" i="33"/>
  <c r="H97" i="33"/>
  <c r="G97" i="33"/>
  <c r="J99" i="33"/>
  <c r="I99" i="33"/>
  <c r="F282" i="28"/>
  <c r="J282" i="28"/>
  <c r="C281" i="28"/>
  <c r="P281" i="28"/>
  <c r="G282" i="28"/>
  <c r="K282" i="28"/>
  <c r="O281" i="28"/>
  <c r="H282" i="28"/>
  <c r="L282" i="28"/>
  <c r="N281" i="28"/>
  <c r="D282" i="28"/>
  <c r="I282" i="28"/>
  <c r="M282" i="28"/>
  <c r="G94" i="32"/>
  <c r="H94" i="32"/>
  <c r="I94" i="32"/>
  <c r="J94" i="32"/>
  <c r="I96" i="32"/>
  <c r="J96" i="32"/>
  <c r="K96" i="32"/>
  <c r="L96" i="32"/>
  <c r="K88" i="32"/>
  <c r="G96" i="32"/>
  <c r="H96" i="32"/>
  <c r="K86" i="30"/>
  <c r="K87" i="30" s="1"/>
  <c r="K95" i="30" s="1"/>
  <c r="I94" i="30"/>
  <c r="J94" i="30"/>
  <c r="I96" i="30"/>
  <c r="J96" i="30"/>
  <c r="K96" i="30"/>
  <c r="L96" i="30"/>
  <c r="L87" i="30"/>
  <c r="L95" i="30" s="1"/>
  <c r="G96" i="30"/>
  <c r="H96" i="30"/>
  <c r="J86" i="26"/>
  <c r="I86" i="26"/>
  <c r="G94" i="26"/>
  <c r="H94" i="26"/>
  <c r="K94" i="26"/>
  <c r="L94" i="26"/>
  <c r="I96" i="26"/>
  <c r="J96" i="26"/>
  <c r="G96" i="26"/>
  <c r="H96" i="26"/>
  <c r="K96" i="26"/>
  <c r="L96" i="26"/>
  <c r="I94" i="24"/>
  <c r="J94" i="24"/>
  <c r="L87" i="24"/>
  <c r="L95" i="24" s="1"/>
  <c r="G96" i="24"/>
  <c r="H96" i="24"/>
  <c r="I96" i="24"/>
  <c r="J96" i="24"/>
  <c r="K96" i="24"/>
  <c r="L96" i="24"/>
  <c r="L102" i="24" s="1"/>
  <c r="H86" i="21"/>
  <c r="G86" i="21"/>
  <c r="G94" i="21"/>
  <c r="H94" i="21"/>
  <c r="K94" i="21"/>
  <c r="L94" i="21"/>
  <c r="G96" i="21"/>
  <c r="H96" i="21"/>
  <c r="I96" i="21"/>
  <c r="J96" i="21"/>
  <c r="K96" i="21"/>
  <c r="L96" i="21"/>
  <c r="J86" i="18"/>
  <c r="K86" i="18"/>
  <c r="L86" i="18"/>
  <c r="I86" i="18"/>
  <c r="H86" i="18"/>
  <c r="G86" i="18"/>
  <c r="G85" i="18"/>
  <c r="G93" i="18" s="1"/>
  <c r="L94" i="18"/>
  <c r="K94" i="18"/>
  <c r="L96" i="18"/>
  <c r="K96" i="18"/>
  <c r="J96" i="18"/>
  <c r="I96" i="18"/>
  <c r="G88" i="18"/>
  <c r="H96" i="18"/>
  <c r="G96" i="18"/>
  <c r="H135" i="53" l="1"/>
  <c r="G85" i="32"/>
  <c r="H72" i="32"/>
  <c r="H85" i="32" s="1"/>
  <c r="G85" i="36"/>
  <c r="G93" i="36" s="1"/>
  <c r="S122" i="15"/>
  <c r="S100" i="15"/>
  <c r="S106" i="15"/>
  <c r="S112" i="15"/>
  <c r="S118" i="15"/>
  <c r="S110" i="15"/>
  <c r="I86" i="24"/>
  <c r="K85" i="24"/>
  <c r="K93" i="24" s="1"/>
  <c r="L70" i="38"/>
  <c r="L87" i="38" s="1"/>
  <c r="K87" i="38"/>
  <c r="J98" i="36"/>
  <c r="J87" i="36"/>
  <c r="J95" i="36" s="1"/>
  <c r="J102" i="36" s="1"/>
  <c r="G87" i="36"/>
  <c r="G95" i="36" s="1"/>
  <c r="L78" i="26"/>
  <c r="L86" i="26" s="1"/>
  <c r="K86" i="26"/>
  <c r="K85" i="26"/>
  <c r="K93" i="26" s="1"/>
  <c r="L72" i="26"/>
  <c r="L85" i="26" s="1"/>
  <c r="L93" i="26" s="1"/>
  <c r="I85" i="26"/>
  <c r="I93" i="26" s="1"/>
  <c r="J72" i="26"/>
  <c r="J85" i="26" s="1"/>
  <c r="J93" i="26" s="1"/>
  <c r="K86" i="24"/>
  <c r="K87" i="24" s="1"/>
  <c r="K95" i="24" s="1"/>
  <c r="L98" i="24"/>
  <c r="L101" i="24" s="1"/>
  <c r="J72" i="24"/>
  <c r="J85" i="24" s="1"/>
  <c r="I85" i="24"/>
  <c r="I93" i="24" s="1"/>
  <c r="J72" i="18"/>
  <c r="J85" i="18" s="1"/>
  <c r="J93" i="18" s="1"/>
  <c r="I85" i="18"/>
  <c r="I93" i="18" s="1"/>
  <c r="K85" i="21"/>
  <c r="K93" i="21" s="1"/>
  <c r="L72" i="21"/>
  <c r="L85" i="21" s="1"/>
  <c r="L93" i="21" s="1"/>
  <c r="L78" i="21"/>
  <c r="L86" i="21" s="1"/>
  <c r="K86" i="21"/>
  <c r="J78" i="21"/>
  <c r="J86" i="21" s="1"/>
  <c r="I86" i="21"/>
  <c r="I85" i="21"/>
  <c r="I93" i="21" s="1"/>
  <c r="J72" i="21"/>
  <c r="J85" i="21" s="1"/>
  <c r="J93" i="21" s="1"/>
  <c r="H135" i="55"/>
  <c r="H167" i="37"/>
  <c r="H85" i="36"/>
  <c r="K86" i="36"/>
  <c r="K87" i="36" s="1"/>
  <c r="K95" i="36" s="1"/>
  <c r="L98" i="36" s="1"/>
  <c r="L86" i="36"/>
  <c r="L87" i="36" s="1"/>
  <c r="L95" i="36" s="1"/>
  <c r="L102" i="36" s="1"/>
  <c r="Q150" i="45"/>
  <c r="Q153" i="45"/>
  <c r="Q151" i="45"/>
  <c r="Q152" i="45"/>
  <c r="Q154" i="45"/>
  <c r="H98" i="36"/>
  <c r="K96" i="38"/>
  <c r="H87" i="38"/>
  <c r="H96" i="38" s="1"/>
  <c r="L88" i="38"/>
  <c r="G87" i="38"/>
  <c r="G96" i="38" s="1"/>
  <c r="J88" i="38"/>
  <c r="I88" i="38"/>
  <c r="K87" i="33"/>
  <c r="K96" i="33" s="1"/>
  <c r="L96" i="38"/>
  <c r="I87" i="38"/>
  <c r="I87" i="33"/>
  <c r="I96" i="33" s="1"/>
  <c r="G88" i="38"/>
  <c r="H88" i="38"/>
  <c r="K88" i="33"/>
  <c r="L88" i="33"/>
  <c r="L89" i="33" s="1"/>
  <c r="L98" i="33" s="1"/>
  <c r="L105" i="33" s="1"/>
  <c r="I88" i="33"/>
  <c r="J88" i="33"/>
  <c r="J89" i="33" s="1"/>
  <c r="J98" i="33" s="1"/>
  <c r="J105" i="33" s="1"/>
  <c r="J85" i="32"/>
  <c r="I85" i="32"/>
  <c r="I93" i="32" s="1"/>
  <c r="G88" i="33"/>
  <c r="G89" i="33" s="1"/>
  <c r="G98" i="33" s="1"/>
  <c r="H101" i="33" s="1"/>
  <c r="H88" i="33"/>
  <c r="H89" i="33" s="1"/>
  <c r="H98" i="33" s="1"/>
  <c r="H105" i="33" s="1"/>
  <c r="K94" i="32"/>
  <c r="L94" i="32"/>
  <c r="L85" i="32"/>
  <c r="K85" i="32"/>
  <c r="L102" i="30"/>
  <c r="L98" i="30"/>
  <c r="H86" i="30"/>
  <c r="H87" i="30" s="1"/>
  <c r="H95" i="30" s="1"/>
  <c r="H102" i="30" s="1"/>
  <c r="G86" i="30"/>
  <c r="G87" i="30" s="1"/>
  <c r="G95" i="30" s="1"/>
  <c r="H98" i="30" s="1"/>
  <c r="J86" i="30"/>
  <c r="J87" i="30" s="1"/>
  <c r="J95" i="30" s="1"/>
  <c r="J102" i="30" s="1"/>
  <c r="I86" i="30"/>
  <c r="I87" i="30" s="1"/>
  <c r="I95" i="30" s="1"/>
  <c r="J98" i="30" s="1"/>
  <c r="H85" i="26"/>
  <c r="H93" i="26" s="1"/>
  <c r="G85" i="26"/>
  <c r="G93" i="26" s="1"/>
  <c r="G86" i="26"/>
  <c r="H86" i="26"/>
  <c r="H86" i="24"/>
  <c r="H87" i="24" s="1"/>
  <c r="H95" i="24" s="1"/>
  <c r="H102" i="24" s="1"/>
  <c r="G86" i="24"/>
  <c r="G87" i="24" s="1"/>
  <c r="G95" i="24" s="1"/>
  <c r="H98" i="24" s="1"/>
  <c r="G85" i="21"/>
  <c r="H85" i="21"/>
  <c r="L85" i="18"/>
  <c r="K85" i="18"/>
  <c r="G87" i="18"/>
  <c r="G95" i="18" s="1"/>
  <c r="H87" i="18"/>
  <c r="H95" i="18" s="1"/>
  <c r="H94" i="18"/>
  <c r="G94" i="18"/>
  <c r="H139" i="53" l="1"/>
  <c r="H141" i="53" s="1"/>
  <c r="H143" i="53" s="1"/>
  <c r="J100" i="36"/>
  <c r="J99" i="36"/>
  <c r="J101" i="36"/>
  <c r="H139" i="55"/>
  <c r="H141" i="55" s="1"/>
  <c r="H143" i="55" s="1"/>
  <c r="K87" i="26"/>
  <c r="K95" i="26" s="1"/>
  <c r="L98" i="26"/>
  <c r="L105" i="26" s="1"/>
  <c r="N19" i="27" s="1"/>
  <c r="L87" i="26"/>
  <c r="L95" i="26" s="1"/>
  <c r="L102" i="26" s="1"/>
  <c r="J87" i="26"/>
  <c r="J95" i="26" s="1"/>
  <c r="J102" i="26" s="1"/>
  <c r="I87" i="26"/>
  <c r="I95" i="26" s="1"/>
  <c r="J98" i="26" s="1"/>
  <c r="L99" i="24"/>
  <c r="L100" i="24"/>
  <c r="L105" i="24" s="1"/>
  <c r="N19" i="25" s="1"/>
  <c r="J93" i="24"/>
  <c r="J87" i="24"/>
  <c r="J95" i="24" s="1"/>
  <c r="I87" i="24"/>
  <c r="I95" i="24" s="1"/>
  <c r="J98" i="24" s="1"/>
  <c r="K87" i="21"/>
  <c r="K95" i="21" s="1"/>
  <c r="L98" i="21" s="1"/>
  <c r="L87" i="21"/>
  <c r="L95" i="21" s="1"/>
  <c r="L102" i="21" s="1"/>
  <c r="J87" i="18"/>
  <c r="J95" i="18" s="1"/>
  <c r="J102" i="18" s="1"/>
  <c r="I87" i="18"/>
  <c r="I95" i="18" s="1"/>
  <c r="J98" i="18" s="1"/>
  <c r="J87" i="21"/>
  <c r="J95" i="21" s="1"/>
  <c r="J102" i="21" s="1"/>
  <c r="I87" i="21"/>
  <c r="I95" i="21" s="1"/>
  <c r="J98" i="21" s="1"/>
  <c r="H93" i="36"/>
  <c r="H87" i="36"/>
  <c r="H95" i="36" s="1"/>
  <c r="L101" i="36"/>
  <c r="L100" i="36"/>
  <c r="L105" i="36" s="1"/>
  <c r="N19" i="35" s="1"/>
  <c r="L99" i="36"/>
  <c r="J105" i="36"/>
  <c r="J19" i="35" s="1"/>
  <c r="K89" i="38"/>
  <c r="K98" i="38" s="1"/>
  <c r="L101" i="38" s="1"/>
  <c r="H89" i="38"/>
  <c r="H98" i="38" s="1"/>
  <c r="H105" i="38" s="1"/>
  <c r="G89" i="38"/>
  <c r="G98" i="38" s="1"/>
  <c r="H101" i="38" s="1"/>
  <c r="L89" i="38"/>
  <c r="L98" i="38" s="1"/>
  <c r="L105" i="38" s="1"/>
  <c r="K89" i="33"/>
  <c r="K98" i="33" s="1"/>
  <c r="L101" i="33" s="1"/>
  <c r="J96" i="38"/>
  <c r="J89" i="38"/>
  <c r="J98" i="38" s="1"/>
  <c r="I89" i="33"/>
  <c r="I98" i="33" s="1"/>
  <c r="J101" i="33" s="1"/>
  <c r="J103" i="33" s="1"/>
  <c r="J108" i="33" s="1"/>
  <c r="J17" i="34" s="1"/>
  <c r="I96" i="38"/>
  <c r="I89" i="38"/>
  <c r="I98" i="38" s="1"/>
  <c r="H87" i="26"/>
  <c r="H95" i="26" s="1"/>
  <c r="H102" i="26" s="1"/>
  <c r="H98" i="18"/>
  <c r="L101" i="30"/>
  <c r="L99" i="30"/>
  <c r="I87" i="32"/>
  <c r="I95" i="32" s="1"/>
  <c r="J98" i="32" s="1"/>
  <c r="J93" i="32"/>
  <c r="J87" i="32"/>
  <c r="J95" i="32" s="1"/>
  <c r="H104" i="33"/>
  <c r="H102" i="33"/>
  <c r="H103" i="33"/>
  <c r="H93" i="32"/>
  <c r="H87" i="32"/>
  <c r="H95" i="32" s="1"/>
  <c r="L93" i="32"/>
  <c r="L87" i="32"/>
  <c r="L95" i="32" s="1"/>
  <c r="G93" i="32"/>
  <c r="G87" i="32"/>
  <c r="G95" i="32" s="1"/>
  <c r="K93" i="32"/>
  <c r="K87" i="32"/>
  <c r="K95" i="32" s="1"/>
  <c r="L100" i="30"/>
  <c r="J100" i="30"/>
  <c r="J99" i="30"/>
  <c r="J101" i="30"/>
  <c r="H101" i="30"/>
  <c r="H99" i="30"/>
  <c r="H100" i="30"/>
  <c r="G87" i="26"/>
  <c r="G95" i="26" s="1"/>
  <c r="H98" i="26" s="1"/>
  <c r="H101" i="24"/>
  <c r="H99" i="24"/>
  <c r="H100" i="24"/>
  <c r="G93" i="21"/>
  <c r="G87" i="21"/>
  <c r="G95" i="21" s="1"/>
  <c r="H93" i="21"/>
  <c r="H87" i="21"/>
  <c r="H95" i="21" s="1"/>
  <c r="H102" i="18"/>
  <c r="H101" i="18" s="1"/>
  <c r="K93" i="18"/>
  <c r="K87" i="18"/>
  <c r="K95" i="18" s="1"/>
  <c r="L93" i="18"/>
  <c r="L87" i="18"/>
  <c r="L95" i="18" s="1"/>
  <c r="L108" i="38" l="1"/>
  <c r="H108" i="38"/>
  <c r="F19" i="37" s="1"/>
  <c r="L99" i="26"/>
  <c r="L100" i="26"/>
  <c r="L101" i="26"/>
  <c r="J101" i="26"/>
  <c r="J99" i="26"/>
  <c r="J100" i="26"/>
  <c r="J102" i="24"/>
  <c r="J99" i="24" s="1"/>
  <c r="L100" i="21"/>
  <c r="L105" i="21" s="1"/>
  <c r="N19" i="19" s="1"/>
  <c r="L99" i="21"/>
  <c r="L101" i="21"/>
  <c r="J101" i="18"/>
  <c r="J100" i="18"/>
  <c r="J99" i="18"/>
  <c r="J99" i="21"/>
  <c r="J101" i="21"/>
  <c r="J100" i="21"/>
  <c r="J105" i="21" s="1"/>
  <c r="J19" i="19" s="1"/>
  <c r="H100" i="26"/>
  <c r="H102" i="36"/>
  <c r="H99" i="18"/>
  <c r="J105" i="18"/>
  <c r="J19" i="17" s="1"/>
  <c r="H105" i="24"/>
  <c r="F19" i="25" s="1"/>
  <c r="I35" i="25" s="1"/>
  <c r="H105" i="26"/>
  <c r="F19" i="27" s="1"/>
  <c r="I35" i="27" s="1"/>
  <c r="J105" i="26"/>
  <c r="J19" i="27" s="1"/>
  <c r="J105" i="30"/>
  <c r="J19" i="28" s="1"/>
  <c r="H105" i="30"/>
  <c r="L105" i="30"/>
  <c r="N19" i="28" s="1"/>
  <c r="J104" i="33"/>
  <c r="H108" i="33"/>
  <c r="F17" i="34" s="1"/>
  <c r="I33" i="34" s="1"/>
  <c r="H103" i="38"/>
  <c r="H102" i="38"/>
  <c r="H104" i="38"/>
  <c r="L103" i="38"/>
  <c r="L102" i="38"/>
  <c r="L104" i="38"/>
  <c r="L104" i="33"/>
  <c r="L103" i="33"/>
  <c r="L102" i="33"/>
  <c r="J101" i="38"/>
  <c r="J102" i="33"/>
  <c r="J105" i="38"/>
  <c r="J108" i="38" s="1"/>
  <c r="J102" i="32"/>
  <c r="J101" i="32" s="1"/>
  <c r="L98" i="32"/>
  <c r="H98" i="32"/>
  <c r="L102" i="32"/>
  <c r="H102" i="32"/>
  <c r="H101" i="26"/>
  <c r="H99" i="26"/>
  <c r="H102" i="21"/>
  <c r="H98" i="21"/>
  <c r="H100" i="18"/>
  <c r="L102" i="18"/>
  <c r="L98" i="18"/>
  <c r="J39" i="27" l="1"/>
  <c r="J55" i="27"/>
  <c r="N19" i="37"/>
  <c r="J101" i="24"/>
  <c r="J100" i="24"/>
  <c r="J105" i="24" s="1"/>
  <c r="J19" i="25" s="1"/>
  <c r="I78" i="25" s="1"/>
  <c r="H101" i="36"/>
  <c r="H100" i="36"/>
  <c r="H105" i="36" s="1"/>
  <c r="F19" i="35" s="1"/>
  <c r="I35" i="35" s="1"/>
  <c r="H99" i="36"/>
  <c r="H105" i="18"/>
  <c r="F19" i="17" s="1"/>
  <c r="I35" i="17" s="1"/>
  <c r="F19" i="28"/>
  <c r="I35" i="28" s="1"/>
  <c r="I78" i="27"/>
  <c r="J82" i="27" s="1"/>
  <c r="E136" i="26" s="1"/>
  <c r="E282" i="27" s="1"/>
  <c r="J39" i="25"/>
  <c r="J55" i="25"/>
  <c r="D135" i="26"/>
  <c r="L108" i="33"/>
  <c r="N17" i="34" s="1"/>
  <c r="R17" i="34" s="1"/>
  <c r="J104" i="38"/>
  <c r="J103" i="38"/>
  <c r="J19" i="37" s="1"/>
  <c r="J102" i="38"/>
  <c r="J37" i="34"/>
  <c r="I35" i="37"/>
  <c r="C109" i="26"/>
  <c r="G109" i="26" s="1"/>
  <c r="C110" i="26"/>
  <c r="G110" i="26" s="1"/>
  <c r="D281" i="35"/>
  <c r="E282" i="35"/>
  <c r="C109" i="24"/>
  <c r="J100" i="32"/>
  <c r="J99" i="32"/>
  <c r="E282" i="31"/>
  <c r="H100" i="32"/>
  <c r="H101" i="32"/>
  <c r="H99" i="32"/>
  <c r="L100" i="32"/>
  <c r="L101" i="32"/>
  <c r="L99" i="32"/>
  <c r="E137" i="26"/>
  <c r="C111" i="26"/>
  <c r="H100" i="21"/>
  <c r="H101" i="21"/>
  <c r="H99" i="21"/>
  <c r="L101" i="18"/>
  <c r="L100" i="18"/>
  <c r="L105" i="18" s="1"/>
  <c r="N19" i="17" s="1"/>
  <c r="L99" i="18"/>
  <c r="H112" i="33" l="1"/>
  <c r="C139" i="33"/>
  <c r="C138" i="33"/>
  <c r="C135" i="33"/>
  <c r="C137" i="33"/>
  <c r="C134" i="33"/>
  <c r="C136" i="33"/>
  <c r="J55" i="35"/>
  <c r="J39" i="35"/>
  <c r="C109" i="36" s="1"/>
  <c r="G109" i="36" s="1"/>
  <c r="J55" i="28"/>
  <c r="C110" i="30" s="1"/>
  <c r="G110" i="30" s="1"/>
  <c r="J39" i="28"/>
  <c r="E143" i="26"/>
  <c r="E289" i="27" s="1"/>
  <c r="E140" i="26"/>
  <c r="E286" i="27" s="1"/>
  <c r="E141" i="26"/>
  <c r="E287" i="27" s="1"/>
  <c r="E142" i="26"/>
  <c r="E288" i="27" s="1"/>
  <c r="E138" i="26"/>
  <c r="E284" i="27" s="1"/>
  <c r="E139" i="26"/>
  <c r="E285" i="27" s="1"/>
  <c r="D143" i="26"/>
  <c r="D289" i="27" s="1"/>
  <c r="D141" i="26"/>
  <c r="D287" i="27" s="1"/>
  <c r="D139" i="26"/>
  <c r="D285" i="27" s="1"/>
  <c r="D138" i="26"/>
  <c r="D284" i="27" s="1"/>
  <c r="D140" i="26"/>
  <c r="D286" i="27" s="1"/>
  <c r="D142" i="26"/>
  <c r="D288" i="27" s="1"/>
  <c r="C138" i="26"/>
  <c r="C284" i="27" s="1"/>
  <c r="C140" i="26"/>
  <c r="C286" i="27" s="1"/>
  <c r="C142" i="26"/>
  <c r="C288" i="27" s="1"/>
  <c r="C139" i="26"/>
  <c r="C285" i="27" s="1"/>
  <c r="C141" i="26"/>
  <c r="C287" i="27" s="1"/>
  <c r="D135" i="24"/>
  <c r="D281" i="25" s="1"/>
  <c r="D143" i="24"/>
  <c r="D289" i="25" s="1"/>
  <c r="D141" i="24"/>
  <c r="D287" i="25" s="1"/>
  <c r="D138" i="24"/>
  <c r="D284" i="25" s="1"/>
  <c r="D140" i="24"/>
  <c r="D286" i="25" s="1"/>
  <c r="D139" i="24"/>
  <c r="D285" i="25" s="1"/>
  <c r="D142" i="24"/>
  <c r="D288" i="25" s="1"/>
  <c r="C141" i="24"/>
  <c r="C287" i="25" s="1"/>
  <c r="C138" i="24"/>
  <c r="C284" i="25" s="1"/>
  <c r="C142" i="24"/>
  <c r="C288" i="25" s="1"/>
  <c r="C139" i="24"/>
  <c r="C285" i="25" s="1"/>
  <c r="C140" i="24"/>
  <c r="C286" i="25" s="1"/>
  <c r="I115" i="25"/>
  <c r="J128" i="25" s="1"/>
  <c r="J82" i="25"/>
  <c r="C135" i="24"/>
  <c r="C281" i="25" s="1"/>
  <c r="C143" i="24"/>
  <c r="C135" i="26"/>
  <c r="C281" i="27" s="1"/>
  <c r="C143" i="26"/>
  <c r="C135" i="36"/>
  <c r="C280" i="35" s="1"/>
  <c r="I78" i="35"/>
  <c r="J82" i="35" s="1"/>
  <c r="C111" i="36" s="1"/>
  <c r="G111" i="36" s="1"/>
  <c r="I115" i="27"/>
  <c r="E137" i="24"/>
  <c r="I78" i="17"/>
  <c r="J82" i="17" s="1"/>
  <c r="J55" i="17"/>
  <c r="C110" i="18" s="1"/>
  <c r="J39" i="17"/>
  <c r="C109" i="18" s="1"/>
  <c r="H105" i="21"/>
  <c r="F19" i="19" s="1"/>
  <c r="I35" i="19" s="1"/>
  <c r="C110" i="24"/>
  <c r="G110" i="24" s="1"/>
  <c r="D136" i="24"/>
  <c r="Q136" i="24" s="1"/>
  <c r="D135" i="30"/>
  <c r="D280" i="28" s="1"/>
  <c r="I78" i="28"/>
  <c r="E135" i="26"/>
  <c r="E281" i="27" s="1"/>
  <c r="D136" i="26"/>
  <c r="D282" i="27" s="1"/>
  <c r="D281" i="27"/>
  <c r="E137" i="30"/>
  <c r="E282" i="28" s="1"/>
  <c r="L105" i="32"/>
  <c r="N19" i="31" s="1"/>
  <c r="H105" i="32"/>
  <c r="J105" i="32"/>
  <c r="J19" i="31" s="1"/>
  <c r="R19" i="37"/>
  <c r="I64" i="37"/>
  <c r="J68" i="37" s="1"/>
  <c r="E128" i="38" s="1"/>
  <c r="C131" i="33"/>
  <c r="I72" i="34"/>
  <c r="I99" i="34" s="1"/>
  <c r="J48" i="34"/>
  <c r="J46" i="37"/>
  <c r="J39" i="37"/>
  <c r="H112" i="38" s="1"/>
  <c r="C127" i="38" s="1"/>
  <c r="C111" i="24"/>
  <c r="G111" i="24" s="1"/>
  <c r="G109" i="24"/>
  <c r="D281" i="28"/>
  <c r="C120" i="26"/>
  <c r="G120" i="26" s="1"/>
  <c r="C121" i="26"/>
  <c r="G121" i="26" s="1"/>
  <c r="G111" i="26"/>
  <c r="C117" i="26"/>
  <c r="G117" i="26" s="1"/>
  <c r="C112" i="26"/>
  <c r="G112" i="26" s="1"/>
  <c r="C119" i="26"/>
  <c r="G119" i="26" s="1"/>
  <c r="C114" i="26"/>
  <c r="G114" i="26" s="1"/>
  <c r="C118" i="26"/>
  <c r="G118" i="26" s="1"/>
  <c r="C116" i="26"/>
  <c r="G116" i="26" s="1"/>
  <c r="C122" i="26"/>
  <c r="G122" i="26" s="1"/>
  <c r="C113" i="26"/>
  <c r="G113" i="26" s="1"/>
  <c r="C115" i="26"/>
  <c r="G115" i="26" s="1"/>
  <c r="E283" i="27"/>
  <c r="E180" i="37" l="1"/>
  <c r="E288" i="38"/>
  <c r="C111" i="18"/>
  <c r="G111" i="18" s="1"/>
  <c r="E136" i="18"/>
  <c r="C294" i="33"/>
  <c r="C256" i="34"/>
  <c r="C295" i="33"/>
  <c r="C257" i="34"/>
  <c r="C261" i="34"/>
  <c r="H113" i="33"/>
  <c r="D139" i="33"/>
  <c r="D261" i="34" s="1"/>
  <c r="D135" i="33"/>
  <c r="D137" i="33"/>
  <c r="D134" i="33"/>
  <c r="D136" i="33"/>
  <c r="D138" i="33"/>
  <c r="C296" i="33"/>
  <c r="C258" i="34"/>
  <c r="C297" i="33"/>
  <c r="C259" i="34"/>
  <c r="C298" i="33"/>
  <c r="C260" i="34"/>
  <c r="D132" i="38"/>
  <c r="D133" i="38"/>
  <c r="D134" i="38"/>
  <c r="D130" i="38"/>
  <c r="D131" i="38"/>
  <c r="E132" i="38"/>
  <c r="E130" i="38"/>
  <c r="E134" i="38"/>
  <c r="E133" i="38"/>
  <c r="E131" i="38"/>
  <c r="C143" i="36"/>
  <c r="C140" i="36"/>
  <c r="C285" i="35" s="1"/>
  <c r="C142" i="36"/>
  <c r="C287" i="35" s="1"/>
  <c r="C141" i="36"/>
  <c r="C286" i="35" s="1"/>
  <c r="C138" i="36"/>
  <c r="C283" i="35" s="1"/>
  <c r="C139" i="36"/>
  <c r="C284" i="35" s="1"/>
  <c r="E143" i="36"/>
  <c r="E288" i="35" s="1"/>
  <c r="E138" i="36"/>
  <c r="E283" i="35" s="1"/>
  <c r="E139" i="36"/>
  <c r="E284" i="35" s="1"/>
  <c r="E140" i="36"/>
  <c r="E285" i="35" s="1"/>
  <c r="E142" i="36"/>
  <c r="E287" i="35" s="1"/>
  <c r="E141" i="36"/>
  <c r="E286" i="35" s="1"/>
  <c r="D143" i="36"/>
  <c r="D288" i="35" s="1"/>
  <c r="D138" i="36"/>
  <c r="D283" i="35" s="1"/>
  <c r="D142" i="36"/>
  <c r="D287" i="35" s="1"/>
  <c r="D139" i="36"/>
  <c r="D284" i="35" s="1"/>
  <c r="D141" i="36"/>
  <c r="D286" i="35" s="1"/>
  <c r="D140" i="36"/>
  <c r="D285" i="35" s="1"/>
  <c r="C143" i="30"/>
  <c r="C140" i="30"/>
  <c r="C285" i="28" s="1"/>
  <c r="C142" i="30"/>
  <c r="C287" i="28" s="1"/>
  <c r="C138" i="30"/>
  <c r="C283" i="28" s="1"/>
  <c r="C139" i="30"/>
  <c r="C284" i="28" s="1"/>
  <c r="C141" i="30"/>
  <c r="C286" i="28" s="1"/>
  <c r="E135" i="30"/>
  <c r="E280" i="28" s="1"/>
  <c r="J82" i="28"/>
  <c r="D143" i="30"/>
  <c r="D288" i="28" s="1"/>
  <c r="D142" i="30"/>
  <c r="D287" i="28" s="1"/>
  <c r="D139" i="30"/>
  <c r="D284" i="28" s="1"/>
  <c r="D138" i="30"/>
  <c r="D283" i="28" s="1"/>
  <c r="D140" i="30"/>
  <c r="D285" i="28" s="1"/>
  <c r="D141" i="30"/>
  <c r="D286" i="28" s="1"/>
  <c r="J179" i="27"/>
  <c r="N137" i="26" s="1"/>
  <c r="N283" i="27" s="1"/>
  <c r="J144" i="27"/>
  <c r="J137" i="26" s="1"/>
  <c r="J283" i="27" s="1"/>
  <c r="J119" i="27"/>
  <c r="F136" i="26" s="1"/>
  <c r="F282" i="27" s="1"/>
  <c r="Q282" i="27" s="1"/>
  <c r="J194" i="27"/>
  <c r="O137" i="26" s="1"/>
  <c r="O283" i="27" s="1"/>
  <c r="J154" i="27"/>
  <c r="M137" i="26" s="1"/>
  <c r="M283" i="27" s="1"/>
  <c r="J145" i="27"/>
  <c r="K137" i="26" s="1"/>
  <c r="K283" i="27" s="1"/>
  <c r="J143" i="27"/>
  <c r="I137" i="26" s="1"/>
  <c r="I283" i="27" s="1"/>
  <c r="J128" i="27"/>
  <c r="G137" i="26" s="1"/>
  <c r="J236" i="27"/>
  <c r="P137" i="26" s="1"/>
  <c r="P283" i="27" s="1"/>
  <c r="J150" i="27"/>
  <c r="L137" i="26" s="1"/>
  <c r="L283" i="27" s="1"/>
  <c r="J133" i="27"/>
  <c r="H137" i="26" s="1"/>
  <c r="H283" i="27" s="1"/>
  <c r="E135" i="24"/>
  <c r="E281" i="25" s="1"/>
  <c r="E143" i="24"/>
  <c r="E289" i="25" s="1"/>
  <c r="E139" i="24"/>
  <c r="E285" i="25" s="1"/>
  <c r="E140" i="24"/>
  <c r="E286" i="25" s="1"/>
  <c r="E141" i="24"/>
  <c r="E287" i="25" s="1"/>
  <c r="E138" i="24"/>
  <c r="E284" i="25" s="1"/>
  <c r="E142" i="24"/>
  <c r="E288" i="25" s="1"/>
  <c r="G143" i="24"/>
  <c r="G289" i="25" s="1"/>
  <c r="G141" i="24"/>
  <c r="G287" i="25" s="1"/>
  <c r="G142" i="24"/>
  <c r="G288" i="25" s="1"/>
  <c r="G139" i="24"/>
  <c r="G285" i="25" s="1"/>
  <c r="G140" i="24"/>
  <c r="G286" i="25" s="1"/>
  <c r="C138" i="18"/>
  <c r="C283" i="17" s="1"/>
  <c r="C140" i="18"/>
  <c r="C285" i="17" s="1"/>
  <c r="C142" i="18"/>
  <c r="C287" i="17" s="1"/>
  <c r="C139" i="18"/>
  <c r="C284" i="17" s="1"/>
  <c r="C141" i="18"/>
  <c r="C286" i="17" s="1"/>
  <c r="D135" i="18"/>
  <c r="D143" i="18"/>
  <c r="D288" i="17" s="1"/>
  <c r="D138" i="18"/>
  <c r="D283" i="17" s="1"/>
  <c r="D140" i="18"/>
  <c r="D285" i="17" s="1"/>
  <c r="D142" i="18"/>
  <c r="D287" i="17" s="1"/>
  <c r="D139" i="18"/>
  <c r="D284" i="17" s="1"/>
  <c r="D141" i="18"/>
  <c r="D286" i="17" s="1"/>
  <c r="E143" i="18"/>
  <c r="E288" i="17" s="1"/>
  <c r="E138" i="18"/>
  <c r="E283" i="17" s="1"/>
  <c r="E140" i="18"/>
  <c r="E285" i="17" s="1"/>
  <c r="E142" i="18"/>
  <c r="E287" i="17" s="1"/>
  <c r="E139" i="18"/>
  <c r="E284" i="17" s="1"/>
  <c r="E141" i="18"/>
  <c r="E286" i="17" s="1"/>
  <c r="C135" i="30"/>
  <c r="C280" i="28" s="1"/>
  <c r="C109" i="30"/>
  <c r="G109" i="30" s="1"/>
  <c r="F135" i="26"/>
  <c r="F281" i="27" s="1"/>
  <c r="J194" i="25"/>
  <c r="J119" i="25"/>
  <c r="J142" i="34"/>
  <c r="M132" i="33" s="1"/>
  <c r="J205" i="34"/>
  <c r="P133" i="33" s="1"/>
  <c r="P135" i="26"/>
  <c r="P281" i="27" s="1"/>
  <c r="C289" i="25"/>
  <c r="C135" i="18"/>
  <c r="C280" i="17" s="1"/>
  <c r="C143" i="18"/>
  <c r="C289" i="27"/>
  <c r="P143" i="26"/>
  <c r="P289" i="27" s="1"/>
  <c r="I115" i="17"/>
  <c r="J193" i="17" s="1"/>
  <c r="O135" i="26"/>
  <c r="O281" i="27" s="1"/>
  <c r="M135" i="26"/>
  <c r="M281" i="27" s="1"/>
  <c r="I115" i="35"/>
  <c r="C110" i="36"/>
  <c r="G110" i="36" s="1"/>
  <c r="D135" i="36"/>
  <c r="I135" i="26"/>
  <c r="I281" i="27" s="1"/>
  <c r="K135" i="26"/>
  <c r="K281" i="27" s="1"/>
  <c r="I115" i="28"/>
  <c r="F19" i="31"/>
  <c r="I35" i="31" s="1"/>
  <c r="D282" i="25"/>
  <c r="Q282" i="25" s="1"/>
  <c r="C291" i="33"/>
  <c r="E282" i="17"/>
  <c r="E135" i="18"/>
  <c r="D281" i="17"/>
  <c r="G110" i="18"/>
  <c r="G138" i="24"/>
  <c r="G284" i="25" s="1"/>
  <c r="G135" i="24"/>
  <c r="G281" i="25" s="1"/>
  <c r="G109" i="18"/>
  <c r="J55" i="19"/>
  <c r="I78" i="19"/>
  <c r="I115" i="19" s="1"/>
  <c r="J194" i="19" s="1"/>
  <c r="J39" i="19"/>
  <c r="Q136" i="26"/>
  <c r="G135" i="26"/>
  <c r="G281" i="27" s="1"/>
  <c r="L135" i="26"/>
  <c r="L281" i="27" s="1"/>
  <c r="N135" i="26"/>
  <c r="N281" i="27" s="1"/>
  <c r="O141" i="26"/>
  <c r="J135" i="26"/>
  <c r="J281" i="27" s="1"/>
  <c r="C253" i="34"/>
  <c r="D131" i="33"/>
  <c r="L112" i="38"/>
  <c r="H114" i="38"/>
  <c r="L114" i="38" s="1"/>
  <c r="E127" i="38"/>
  <c r="H113" i="38"/>
  <c r="L113" i="38" s="1"/>
  <c r="D127" i="38"/>
  <c r="J144" i="25"/>
  <c r="J236" i="25"/>
  <c r="J150" i="25"/>
  <c r="O141" i="24"/>
  <c r="I89" i="37"/>
  <c r="J127" i="34"/>
  <c r="I132" i="33" s="1"/>
  <c r="J129" i="34"/>
  <c r="J132" i="33" s="1"/>
  <c r="J103" i="34"/>
  <c r="F132" i="33" s="1"/>
  <c r="J158" i="34"/>
  <c r="N132" i="33" s="1"/>
  <c r="J121" i="34"/>
  <c r="G132" i="33" s="1"/>
  <c r="J174" i="34"/>
  <c r="O132" i="33" s="1"/>
  <c r="J139" i="34"/>
  <c r="L132" i="33" s="1"/>
  <c r="J138" i="34"/>
  <c r="K132" i="33" s="1"/>
  <c r="J76" i="34"/>
  <c r="E132" i="33" s="1"/>
  <c r="J125" i="34"/>
  <c r="H132" i="33" s="1"/>
  <c r="J179" i="25"/>
  <c r="J154" i="25"/>
  <c r="J133" i="25"/>
  <c r="J145" i="25"/>
  <c r="J143" i="25"/>
  <c r="C117" i="24"/>
  <c r="G117" i="24" s="1"/>
  <c r="C116" i="24"/>
  <c r="G116" i="24" s="1"/>
  <c r="C113" i="24"/>
  <c r="G113" i="24" s="1"/>
  <c r="E283" i="25"/>
  <c r="Q283" i="25" s="1"/>
  <c r="Q137" i="24"/>
  <c r="H122" i="33"/>
  <c r="C123" i="26"/>
  <c r="H265" i="27" s="1"/>
  <c r="G110" i="21"/>
  <c r="H292" i="33" l="1"/>
  <c r="H254" i="34"/>
  <c r="E292" i="33"/>
  <c r="E254" i="34"/>
  <c r="Q132" i="33"/>
  <c r="K292" i="33"/>
  <c r="K254" i="34"/>
  <c r="L292" i="33"/>
  <c r="L254" i="34"/>
  <c r="O292" i="33"/>
  <c r="O254" i="34"/>
  <c r="G292" i="33"/>
  <c r="G254" i="34"/>
  <c r="N292" i="33"/>
  <c r="N254" i="34"/>
  <c r="F292" i="33"/>
  <c r="F254" i="34"/>
  <c r="J292" i="33"/>
  <c r="J254" i="34"/>
  <c r="I292" i="33"/>
  <c r="I254" i="34"/>
  <c r="P293" i="33"/>
  <c r="P255" i="34"/>
  <c r="Q133" i="33"/>
  <c r="M292" i="33"/>
  <c r="M254" i="34"/>
  <c r="E136" i="30"/>
  <c r="C111" i="30"/>
  <c r="G111" i="30" s="1"/>
  <c r="C121" i="18"/>
  <c r="G121" i="18" s="1"/>
  <c r="O137" i="18"/>
  <c r="O282" i="17" s="1"/>
  <c r="G283" i="27"/>
  <c r="Q283" i="27" s="1"/>
  <c r="Q137" i="26"/>
  <c r="H131" i="33"/>
  <c r="H139" i="33"/>
  <c r="H261" i="34" s="1"/>
  <c r="H135" i="33"/>
  <c r="H137" i="33"/>
  <c r="H134" i="33"/>
  <c r="H136" i="33"/>
  <c r="H138" i="33"/>
  <c r="H120" i="33"/>
  <c r="K139" i="33"/>
  <c r="K261" i="34" s="1"/>
  <c r="K138" i="33"/>
  <c r="K135" i="33"/>
  <c r="K137" i="33"/>
  <c r="K134" i="33"/>
  <c r="K136" i="33"/>
  <c r="O131" i="33"/>
  <c r="O139" i="33"/>
  <c r="O261" i="34" s="1"/>
  <c r="O135" i="33"/>
  <c r="O137" i="33"/>
  <c r="O134" i="33"/>
  <c r="O136" i="33"/>
  <c r="H123" i="33"/>
  <c r="N139" i="33"/>
  <c r="N261" i="34" s="1"/>
  <c r="N135" i="33"/>
  <c r="N137" i="33"/>
  <c r="N134" i="33"/>
  <c r="N136" i="33"/>
  <c r="N138" i="33"/>
  <c r="J139" i="33"/>
  <c r="J261" i="34" s="1"/>
  <c r="J135" i="33"/>
  <c r="J137" i="33"/>
  <c r="J134" i="33"/>
  <c r="J136" i="33"/>
  <c r="J138" i="33"/>
  <c r="P139" i="33"/>
  <c r="P261" i="34" s="1"/>
  <c r="P135" i="33"/>
  <c r="P137" i="33"/>
  <c r="P134" i="33"/>
  <c r="P136" i="33"/>
  <c r="D296" i="33"/>
  <c r="D258" i="34"/>
  <c r="D297" i="33"/>
  <c r="D259" i="34"/>
  <c r="E131" i="33"/>
  <c r="E139" i="33"/>
  <c r="E261" i="34" s="1"/>
  <c r="E135" i="33"/>
  <c r="E137" i="33"/>
  <c r="E134" i="33"/>
  <c r="E136" i="33"/>
  <c r="E138" i="33"/>
  <c r="L139" i="33"/>
  <c r="L261" i="34" s="1"/>
  <c r="L135" i="33"/>
  <c r="L137" i="33"/>
  <c r="L134" i="33"/>
  <c r="L136" i="33"/>
  <c r="L138" i="33"/>
  <c r="G139" i="33"/>
  <c r="G261" i="34" s="1"/>
  <c r="G138" i="33"/>
  <c r="G135" i="33"/>
  <c r="G137" i="33"/>
  <c r="G134" i="33"/>
  <c r="G136" i="33"/>
  <c r="H115" i="33"/>
  <c r="F139" i="33"/>
  <c r="F261" i="34" s="1"/>
  <c r="F135" i="33"/>
  <c r="F137" i="33"/>
  <c r="F134" i="33"/>
  <c r="F136" i="33"/>
  <c r="F138" i="33"/>
  <c r="I131" i="33"/>
  <c r="I139" i="33"/>
  <c r="I261" i="34" s="1"/>
  <c r="I135" i="33"/>
  <c r="I137" i="33"/>
  <c r="I134" i="33"/>
  <c r="I136" i="33"/>
  <c r="I138" i="33"/>
  <c r="M131" i="33"/>
  <c r="M139" i="33"/>
  <c r="M261" i="34" s="1"/>
  <c r="M135" i="33"/>
  <c r="M137" i="33"/>
  <c r="M134" i="33"/>
  <c r="M136" i="33"/>
  <c r="M138" i="33"/>
  <c r="D298" i="33"/>
  <c r="D260" i="34"/>
  <c r="D294" i="33"/>
  <c r="D256" i="34"/>
  <c r="D295" i="33"/>
  <c r="D257" i="34"/>
  <c r="E183" i="37"/>
  <c r="E291" i="38"/>
  <c r="E186" i="37"/>
  <c r="E294" i="38"/>
  <c r="E184" i="37"/>
  <c r="E292" i="38"/>
  <c r="D182" i="37"/>
  <c r="D290" i="38"/>
  <c r="D185" i="37"/>
  <c r="D293" i="38"/>
  <c r="E293" i="38"/>
  <c r="E185" i="37"/>
  <c r="E182" i="37"/>
  <c r="E290" i="38"/>
  <c r="D183" i="37"/>
  <c r="D291" i="38"/>
  <c r="D186" i="37"/>
  <c r="D294" i="38"/>
  <c r="D292" i="38"/>
  <c r="D184" i="37"/>
  <c r="J178" i="35"/>
  <c r="J150" i="35"/>
  <c r="J144" i="35"/>
  <c r="J133" i="35"/>
  <c r="J119" i="35"/>
  <c r="J193" i="35"/>
  <c r="J154" i="35"/>
  <c r="J145" i="35"/>
  <c r="J143" i="35"/>
  <c r="J128" i="35"/>
  <c r="C288" i="35"/>
  <c r="E143" i="30"/>
  <c r="E288" i="28" s="1"/>
  <c r="E138" i="30"/>
  <c r="E283" i="28" s="1"/>
  <c r="E139" i="30"/>
  <c r="E284" i="28" s="1"/>
  <c r="E141" i="30"/>
  <c r="E286" i="28" s="1"/>
  <c r="E140" i="30"/>
  <c r="E285" i="28" s="1"/>
  <c r="E142" i="30"/>
  <c r="E287" i="28" s="1"/>
  <c r="H135" i="30"/>
  <c r="J193" i="28"/>
  <c r="O137" i="30" s="1"/>
  <c r="O282" i="28" s="1"/>
  <c r="J133" i="28"/>
  <c r="H136" i="30" s="1"/>
  <c r="H281" i="28" s="1"/>
  <c r="J119" i="28"/>
  <c r="F136" i="30" s="1"/>
  <c r="F281" i="28" s="1"/>
  <c r="J235" i="28"/>
  <c r="P137" i="30" s="1"/>
  <c r="P282" i="28" s="1"/>
  <c r="J143" i="28"/>
  <c r="I136" i="30" s="1"/>
  <c r="I281" i="28" s="1"/>
  <c r="J128" i="28"/>
  <c r="G136" i="30" s="1"/>
  <c r="G281" i="28" s="1"/>
  <c r="C288" i="28"/>
  <c r="L138" i="26"/>
  <c r="L284" i="27" s="1"/>
  <c r="L140" i="26"/>
  <c r="L286" i="27" s="1"/>
  <c r="L142" i="26"/>
  <c r="L288" i="27" s="1"/>
  <c r="L139" i="26"/>
  <c r="L285" i="27" s="1"/>
  <c r="L141" i="26"/>
  <c r="L287" i="27" s="1"/>
  <c r="L143" i="26"/>
  <c r="L289" i="27" s="1"/>
  <c r="G140" i="26"/>
  <c r="G286" i="27" s="1"/>
  <c r="G142" i="26"/>
  <c r="G288" i="27" s="1"/>
  <c r="G138" i="26"/>
  <c r="G284" i="27" s="1"/>
  <c r="G139" i="26"/>
  <c r="G285" i="27" s="1"/>
  <c r="G141" i="26"/>
  <c r="G287" i="27" s="1"/>
  <c r="G143" i="26"/>
  <c r="G289" i="27" s="1"/>
  <c r="K138" i="26"/>
  <c r="K284" i="27" s="1"/>
  <c r="K140" i="26"/>
  <c r="K286" i="27" s="1"/>
  <c r="K142" i="26"/>
  <c r="K288" i="27" s="1"/>
  <c r="K139" i="26"/>
  <c r="K285" i="27" s="1"/>
  <c r="K141" i="26"/>
  <c r="K287" i="27" s="1"/>
  <c r="K143" i="26"/>
  <c r="K289" i="27" s="1"/>
  <c r="O143" i="26"/>
  <c r="O289" i="27" s="1"/>
  <c r="O142" i="26"/>
  <c r="O288" i="27" s="1"/>
  <c r="O138" i="26"/>
  <c r="O284" i="27" s="1"/>
  <c r="O139" i="26"/>
  <c r="O285" i="27" s="1"/>
  <c r="O140" i="26"/>
  <c r="O286" i="27" s="1"/>
  <c r="J138" i="26"/>
  <c r="J284" i="27" s="1"/>
  <c r="J140" i="26"/>
  <c r="J286" i="27" s="1"/>
  <c r="J142" i="26"/>
  <c r="J288" i="27" s="1"/>
  <c r="J139" i="26"/>
  <c r="J285" i="27" s="1"/>
  <c r="J141" i="26"/>
  <c r="J287" i="27" s="1"/>
  <c r="J143" i="26"/>
  <c r="J289" i="27" s="1"/>
  <c r="H138" i="26"/>
  <c r="H284" i="27" s="1"/>
  <c r="H140" i="26"/>
  <c r="H286" i="27" s="1"/>
  <c r="H142" i="26"/>
  <c r="H288" i="27" s="1"/>
  <c r="H139" i="26"/>
  <c r="H285" i="27" s="1"/>
  <c r="H141" i="26"/>
  <c r="H287" i="27" s="1"/>
  <c r="H143" i="26"/>
  <c r="H289" i="27" s="1"/>
  <c r="P139" i="26"/>
  <c r="P285" i="27" s="1"/>
  <c r="P140" i="26"/>
  <c r="P286" i="27" s="1"/>
  <c r="P138" i="26"/>
  <c r="P284" i="27" s="1"/>
  <c r="P141" i="26"/>
  <c r="P287" i="27" s="1"/>
  <c r="P142" i="26"/>
  <c r="P288" i="27" s="1"/>
  <c r="I138" i="26"/>
  <c r="I284" i="27" s="1"/>
  <c r="I140" i="26"/>
  <c r="I286" i="27" s="1"/>
  <c r="I142" i="26"/>
  <c r="I288" i="27" s="1"/>
  <c r="I139" i="26"/>
  <c r="I285" i="27" s="1"/>
  <c r="I141" i="26"/>
  <c r="I287" i="27" s="1"/>
  <c r="I143" i="26"/>
  <c r="I289" i="27" s="1"/>
  <c r="M143" i="26"/>
  <c r="M289" i="27" s="1"/>
  <c r="M140" i="26"/>
  <c r="M286" i="27" s="1"/>
  <c r="M141" i="26"/>
  <c r="M287" i="27" s="1"/>
  <c r="M142" i="26"/>
  <c r="M288" i="27" s="1"/>
  <c r="M138" i="26"/>
  <c r="M284" i="27" s="1"/>
  <c r="M139" i="26"/>
  <c r="M285" i="27" s="1"/>
  <c r="F143" i="26"/>
  <c r="F289" i="27" s="1"/>
  <c r="F142" i="26"/>
  <c r="F141" i="26"/>
  <c r="F287" i="27" s="1"/>
  <c r="F139" i="26"/>
  <c r="F140" i="26"/>
  <c r="F138" i="26"/>
  <c r="N143" i="26"/>
  <c r="N289" i="27" s="1"/>
  <c r="N138" i="26"/>
  <c r="N284" i="27" s="1"/>
  <c r="N142" i="26"/>
  <c r="N288" i="27" s="1"/>
  <c r="N141" i="26"/>
  <c r="N287" i="27" s="1"/>
  <c r="N139" i="26"/>
  <c r="N285" i="27" s="1"/>
  <c r="N140" i="26"/>
  <c r="N286" i="27" s="1"/>
  <c r="H135" i="24"/>
  <c r="H281" i="25" s="1"/>
  <c r="H143" i="24"/>
  <c r="H289" i="25" s="1"/>
  <c r="H141" i="24"/>
  <c r="H287" i="25" s="1"/>
  <c r="H140" i="24"/>
  <c r="H286" i="25" s="1"/>
  <c r="H139" i="24"/>
  <c r="H285" i="25" s="1"/>
  <c r="H142" i="24"/>
  <c r="H288" i="25" s="1"/>
  <c r="P141" i="24"/>
  <c r="P287" i="25" s="1"/>
  <c r="P139" i="24"/>
  <c r="P285" i="25" s="1"/>
  <c r="P138" i="24"/>
  <c r="P284" i="25" s="1"/>
  <c r="P140" i="24"/>
  <c r="P286" i="25" s="1"/>
  <c r="I135" i="24"/>
  <c r="I281" i="25" s="1"/>
  <c r="I143" i="24"/>
  <c r="I289" i="25" s="1"/>
  <c r="I139" i="24"/>
  <c r="I285" i="25" s="1"/>
  <c r="I140" i="24"/>
  <c r="I286" i="25" s="1"/>
  <c r="I141" i="24"/>
  <c r="I287" i="25" s="1"/>
  <c r="I142" i="24"/>
  <c r="I288" i="25" s="1"/>
  <c r="N143" i="24"/>
  <c r="N289" i="25" s="1"/>
  <c r="N139" i="24"/>
  <c r="N285" i="25" s="1"/>
  <c r="N138" i="24"/>
  <c r="N284" i="25" s="1"/>
  <c r="N142" i="24"/>
  <c r="N288" i="25" s="1"/>
  <c r="N141" i="24"/>
  <c r="N287" i="25" s="1"/>
  <c r="O135" i="24"/>
  <c r="O281" i="25" s="1"/>
  <c r="O143" i="24"/>
  <c r="O289" i="25" s="1"/>
  <c r="O139" i="24"/>
  <c r="O285" i="25" s="1"/>
  <c r="O138" i="24"/>
  <c r="O284" i="25" s="1"/>
  <c r="O142" i="24"/>
  <c r="O288" i="25" s="1"/>
  <c r="O140" i="24"/>
  <c r="O286" i="25" s="1"/>
  <c r="K135" i="24"/>
  <c r="K281" i="25" s="1"/>
  <c r="K143" i="24"/>
  <c r="K289" i="25" s="1"/>
  <c r="K141" i="24"/>
  <c r="K287" i="25" s="1"/>
  <c r="K142" i="24"/>
  <c r="K288" i="25" s="1"/>
  <c r="K139" i="24"/>
  <c r="K285" i="25" s="1"/>
  <c r="K140" i="24"/>
  <c r="K286" i="25" s="1"/>
  <c r="M135" i="24"/>
  <c r="M281" i="25" s="1"/>
  <c r="M143" i="24"/>
  <c r="M289" i="25" s="1"/>
  <c r="M140" i="24"/>
  <c r="M286" i="25" s="1"/>
  <c r="M141" i="24"/>
  <c r="M287" i="25" s="1"/>
  <c r="M138" i="24"/>
  <c r="M284" i="25" s="1"/>
  <c r="M142" i="24"/>
  <c r="M288" i="25" s="1"/>
  <c r="L135" i="24"/>
  <c r="L281" i="25" s="1"/>
  <c r="L143" i="24"/>
  <c r="L289" i="25" s="1"/>
  <c r="L141" i="24"/>
  <c r="L287" i="25" s="1"/>
  <c r="L140" i="24"/>
  <c r="L286" i="25" s="1"/>
  <c r="L139" i="24"/>
  <c r="L285" i="25" s="1"/>
  <c r="L142" i="24"/>
  <c r="L288" i="25" s="1"/>
  <c r="J143" i="24"/>
  <c r="J289" i="25" s="1"/>
  <c r="J139" i="24"/>
  <c r="J285" i="25" s="1"/>
  <c r="J142" i="24"/>
  <c r="J288" i="25" s="1"/>
  <c r="J141" i="24"/>
  <c r="J287" i="25" s="1"/>
  <c r="J140" i="24"/>
  <c r="J286" i="25" s="1"/>
  <c r="F135" i="24"/>
  <c r="F143" i="24"/>
  <c r="F289" i="25" s="1"/>
  <c r="F139" i="24"/>
  <c r="F285" i="25" s="1"/>
  <c r="F142" i="24"/>
  <c r="F288" i="25" s="1"/>
  <c r="F141" i="24"/>
  <c r="F287" i="25" s="1"/>
  <c r="F140" i="24"/>
  <c r="F286" i="25" s="1"/>
  <c r="O140" i="21"/>
  <c r="O286" i="19" s="1"/>
  <c r="O139" i="21"/>
  <c r="O285" i="19" s="1"/>
  <c r="O138" i="21"/>
  <c r="O284" i="19" s="1"/>
  <c r="O142" i="21"/>
  <c r="O288" i="19" s="1"/>
  <c r="C135" i="21"/>
  <c r="C141" i="21"/>
  <c r="C287" i="19" s="1"/>
  <c r="C140" i="21"/>
  <c r="C286" i="19" s="1"/>
  <c r="C139" i="21"/>
  <c r="C285" i="19" s="1"/>
  <c r="C138" i="21"/>
  <c r="C284" i="19" s="1"/>
  <c r="C142" i="21"/>
  <c r="C288" i="19" s="1"/>
  <c r="D135" i="21"/>
  <c r="D281" i="19" s="1"/>
  <c r="D139" i="21"/>
  <c r="D285" i="19" s="1"/>
  <c r="D138" i="21"/>
  <c r="D284" i="19" s="1"/>
  <c r="D140" i="21"/>
  <c r="D286" i="19" s="1"/>
  <c r="D142" i="21"/>
  <c r="D288" i="19" s="1"/>
  <c r="D141" i="21"/>
  <c r="D287" i="19" s="1"/>
  <c r="O135" i="18"/>
  <c r="O280" i="17" s="1"/>
  <c r="O143" i="18"/>
  <c r="O288" i="17" s="1"/>
  <c r="O138" i="18"/>
  <c r="O283" i="17" s="1"/>
  <c r="O140" i="18"/>
  <c r="O285" i="17" s="1"/>
  <c r="O142" i="18"/>
  <c r="O139" i="18"/>
  <c r="O284" i="17" s="1"/>
  <c r="O141" i="18"/>
  <c r="O286" i="17" s="1"/>
  <c r="E136" i="36"/>
  <c r="E135" i="36"/>
  <c r="E280" i="35" s="1"/>
  <c r="J154" i="28"/>
  <c r="M136" i="30" s="1"/>
  <c r="M281" i="28" s="1"/>
  <c r="J82" i="19"/>
  <c r="J150" i="17"/>
  <c r="J145" i="17"/>
  <c r="J143" i="17"/>
  <c r="J119" i="17"/>
  <c r="J178" i="17"/>
  <c r="P135" i="30"/>
  <c r="P280" i="28" s="1"/>
  <c r="P143" i="24"/>
  <c r="P289" i="25" s="1"/>
  <c r="J245" i="25"/>
  <c r="Q143" i="24"/>
  <c r="J154" i="17"/>
  <c r="J235" i="17"/>
  <c r="J133" i="17"/>
  <c r="J144" i="17"/>
  <c r="J128" i="17"/>
  <c r="C288" i="17"/>
  <c r="J114" i="37"/>
  <c r="H128" i="38" s="1"/>
  <c r="J116" i="37"/>
  <c r="I128" i="38" s="1"/>
  <c r="O287" i="27"/>
  <c r="Q143" i="26"/>
  <c r="F135" i="30"/>
  <c r="F280" i="28" s="1"/>
  <c r="G135" i="30"/>
  <c r="G280" i="28" s="1"/>
  <c r="I135" i="30"/>
  <c r="I280" i="28" s="1"/>
  <c r="D280" i="35"/>
  <c r="G135" i="36"/>
  <c r="G280" i="35" s="1"/>
  <c r="K135" i="36"/>
  <c r="K280" i="35" s="1"/>
  <c r="M135" i="36"/>
  <c r="M280" i="35" s="1"/>
  <c r="H135" i="36"/>
  <c r="H280" i="35" s="1"/>
  <c r="O135" i="36"/>
  <c r="O280" i="35" s="1"/>
  <c r="J135" i="36"/>
  <c r="J280" i="35" s="1"/>
  <c r="F135" i="36"/>
  <c r="F280" i="35" s="1"/>
  <c r="I135" i="36"/>
  <c r="I280" i="35" s="1"/>
  <c r="J235" i="35"/>
  <c r="E281" i="35"/>
  <c r="J150" i="28"/>
  <c r="L136" i="30" s="1"/>
  <c r="L281" i="28" s="1"/>
  <c r="J145" i="28"/>
  <c r="K136" i="30" s="1"/>
  <c r="K281" i="28" s="1"/>
  <c r="J144" i="28"/>
  <c r="J136" i="30" s="1"/>
  <c r="J281" i="28" s="1"/>
  <c r="J178" i="28"/>
  <c r="O135" i="30"/>
  <c r="O280" i="28" s="1"/>
  <c r="H135" i="26"/>
  <c r="H281" i="27" s="1"/>
  <c r="Q281" i="27" s="1"/>
  <c r="J245" i="27"/>
  <c r="H250" i="27" s="1"/>
  <c r="F138" i="30"/>
  <c r="D287" i="38"/>
  <c r="O291" i="33"/>
  <c r="O253" i="34"/>
  <c r="P138" i="33"/>
  <c r="P298" i="33" s="1"/>
  <c r="P131" i="33"/>
  <c r="J39" i="31"/>
  <c r="I78" i="31"/>
  <c r="J55" i="31"/>
  <c r="C110" i="32" s="1"/>
  <c r="G110" i="32" s="1"/>
  <c r="D291" i="33"/>
  <c r="N140" i="24"/>
  <c r="N135" i="24"/>
  <c r="N281" i="25" s="1"/>
  <c r="F281" i="25"/>
  <c r="J138" i="24"/>
  <c r="J284" i="25" s="1"/>
  <c r="J135" i="24"/>
  <c r="J281" i="25" s="1"/>
  <c r="P142" i="24"/>
  <c r="P135" i="24"/>
  <c r="P281" i="25" s="1"/>
  <c r="K138" i="24"/>
  <c r="K284" i="25" s="1"/>
  <c r="C119" i="24"/>
  <c r="G119" i="24" s="1"/>
  <c r="M139" i="24"/>
  <c r="M285" i="25" s="1"/>
  <c r="Q285" i="25" s="1"/>
  <c r="C112" i="24"/>
  <c r="G112" i="24" s="1"/>
  <c r="F138" i="24"/>
  <c r="F284" i="25" s="1"/>
  <c r="L138" i="24"/>
  <c r="L284" i="25" s="1"/>
  <c r="I138" i="24"/>
  <c r="I284" i="25" s="1"/>
  <c r="C114" i="24"/>
  <c r="G114" i="24" s="1"/>
  <c r="H138" i="24"/>
  <c r="H284" i="25" s="1"/>
  <c r="C120" i="24"/>
  <c r="G120" i="24" s="1"/>
  <c r="C121" i="24"/>
  <c r="G121" i="24" s="1"/>
  <c r="C122" i="24"/>
  <c r="G122" i="24" s="1"/>
  <c r="H280" i="28"/>
  <c r="C119" i="30"/>
  <c r="G119" i="30" s="1"/>
  <c r="C113" i="30"/>
  <c r="G113" i="30" s="1"/>
  <c r="C122" i="30"/>
  <c r="G122" i="30" s="1"/>
  <c r="C115" i="30"/>
  <c r="G115" i="30" s="1"/>
  <c r="C112" i="30"/>
  <c r="C118" i="30"/>
  <c r="G118" i="30" s="1"/>
  <c r="C117" i="30"/>
  <c r="G117" i="30" s="1"/>
  <c r="C116" i="30"/>
  <c r="G116" i="30" s="1"/>
  <c r="C121" i="30"/>
  <c r="G121" i="30" s="1"/>
  <c r="C114" i="30"/>
  <c r="G114" i="30" s="1"/>
  <c r="D253" i="34"/>
  <c r="H124" i="33"/>
  <c r="O138" i="33"/>
  <c r="D179" i="37"/>
  <c r="C179" i="37"/>
  <c r="C287" i="38"/>
  <c r="H117" i="38"/>
  <c r="H127" i="38"/>
  <c r="H119" i="33"/>
  <c r="K131" i="33"/>
  <c r="K291" i="33" s="1"/>
  <c r="N287" i="38"/>
  <c r="C118" i="24"/>
  <c r="G118" i="24" s="1"/>
  <c r="C115" i="24"/>
  <c r="G115" i="24" s="1"/>
  <c r="H250" i="25"/>
  <c r="J93" i="37"/>
  <c r="F128" i="38" s="1"/>
  <c r="J111" i="37"/>
  <c r="G128" i="38" s="1"/>
  <c r="J124" i="37"/>
  <c r="K128" i="38" s="1"/>
  <c r="J127" i="37"/>
  <c r="M129" i="38" s="1"/>
  <c r="J120" i="37"/>
  <c r="J128" i="38" s="1"/>
  <c r="F131" i="33"/>
  <c r="N131" i="33"/>
  <c r="G131" i="33"/>
  <c r="H117" i="33"/>
  <c r="J131" i="33"/>
  <c r="H125" i="33"/>
  <c r="E253" i="34"/>
  <c r="E291" i="33"/>
  <c r="H114" i="33"/>
  <c r="H116" i="33"/>
  <c r="L131" i="33"/>
  <c r="H121" i="33"/>
  <c r="J214" i="34"/>
  <c r="H222" i="34" s="1"/>
  <c r="H118" i="33"/>
  <c r="I291" i="33"/>
  <c r="I253" i="34"/>
  <c r="H253" i="34"/>
  <c r="H291" i="33"/>
  <c r="M291" i="33"/>
  <c r="M253" i="34"/>
  <c r="D281" i="31"/>
  <c r="Q136" i="21"/>
  <c r="D282" i="19"/>
  <c r="Q282" i="19" s="1"/>
  <c r="C281" i="19"/>
  <c r="C125" i="26"/>
  <c r="H267" i="27" s="1"/>
  <c r="G111" i="21"/>
  <c r="G109" i="21"/>
  <c r="J145" i="19"/>
  <c r="J119" i="19"/>
  <c r="J154" i="19"/>
  <c r="J150" i="19"/>
  <c r="J236" i="19"/>
  <c r="J144" i="19"/>
  <c r="J179" i="19"/>
  <c r="J128" i="19"/>
  <c r="J133" i="19"/>
  <c r="J143" i="19"/>
  <c r="J180" i="37" l="1"/>
  <c r="J288" i="38"/>
  <c r="K180" i="37"/>
  <c r="K288" i="38"/>
  <c r="G180" i="37"/>
  <c r="G288" i="38"/>
  <c r="F180" i="37"/>
  <c r="F288" i="38"/>
  <c r="Q128" i="38"/>
  <c r="I180" i="37"/>
  <c r="I288" i="38"/>
  <c r="H180" i="37"/>
  <c r="H288" i="38"/>
  <c r="P137" i="36"/>
  <c r="C122" i="36"/>
  <c r="G122" i="36" s="1"/>
  <c r="G136" i="36"/>
  <c r="G281" i="35" s="1"/>
  <c r="C113" i="36"/>
  <c r="G113" i="36" s="1"/>
  <c r="I136" i="36"/>
  <c r="I281" i="35" s="1"/>
  <c r="C115" i="36"/>
  <c r="G115" i="36" s="1"/>
  <c r="K136" i="36"/>
  <c r="K281" i="35" s="1"/>
  <c r="C117" i="36"/>
  <c r="G117" i="36" s="1"/>
  <c r="M136" i="36"/>
  <c r="M281" i="35" s="1"/>
  <c r="C119" i="36"/>
  <c r="G119" i="36" s="1"/>
  <c r="O137" i="36"/>
  <c r="O282" i="35" s="1"/>
  <c r="C121" i="36"/>
  <c r="G121" i="36" s="1"/>
  <c r="F136" i="36"/>
  <c r="C112" i="36"/>
  <c r="H136" i="36"/>
  <c r="H281" i="35" s="1"/>
  <c r="C114" i="36"/>
  <c r="G114" i="36" s="1"/>
  <c r="J136" i="36"/>
  <c r="J281" i="35" s="1"/>
  <c r="C116" i="36"/>
  <c r="G116" i="36" s="1"/>
  <c r="L136" i="36"/>
  <c r="L281" i="35" s="1"/>
  <c r="C118" i="36"/>
  <c r="G118" i="36" s="1"/>
  <c r="N136" i="36"/>
  <c r="N281" i="35" s="1"/>
  <c r="C120" i="36"/>
  <c r="G120" i="36" s="1"/>
  <c r="C120" i="30"/>
  <c r="G120" i="30" s="1"/>
  <c r="N137" i="30"/>
  <c r="E281" i="28"/>
  <c r="Q281" i="28" s="1"/>
  <c r="Q136" i="30"/>
  <c r="H252" i="25"/>
  <c r="C113" i="18"/>
  <c r="G113" i="18" s="1"/>
  <c r="G137" i="18"/>
  <c r="C116" i="18"/>
  <c r="G116" i="18" s="1"/>
  <c r="J137" i="18"/>
  <c r="C114" i="18"/>
  <c r="G114" i="18" s="1"/>
  <c r="H137" i="18"/>
  <c r="C122" i="18"/>
  <c r="G122" i="18" s="1"/>
  <c r="P137" i="18"/>
  <c r="P282" i="17" s="1"/>
  <c r="C119" i="18"/>
  <c r="G119" i="18" s="1"/>
  <c r="M137" i="18"/>
  <c r="M282" i="17" s="1"/>
  <c r="C120" i="18"/>
  <c r="G120" i="18" s="1"/>
  <c r="N137" i="18"/>
  <c r="N282" i="17" s="1"/>
  <c r="C112" i="18"/>
  <c r="G112" i="18" s="1"/>
  <c r="F136" i="18"/>
  <c r="F281" i="17" s="1"/>
  <c r="C115" i="18"/>
  <c r="G115" i="18" s="1"/>
  <c r="I137" i="18"/>
  <c r="C117" i="18"/>
  <c r="G117" i="18" s="1"/>
  <c r="K137" i="18"/>
  <c r="K282" i="17" s="1"/>
  <c r="C118" i="18"/>
  <c r="G118" i="18" s="1"/>
  <c r="L137" i="18"/>
  <c r="L282" i="17" s="1"/>
  <c r="H224" i="34"/>
  <c r="L23" i="60"/>
  <c r="P23" i="60" s="1"/>
  <c r="L181" i="37"/>
  <c r="Q181" i="37" s="1"/>
  <c r="M289" i="38"/>
  <c r="Q129" i="38"/>
  <c r="P282" i="35"/>
  <c r="Q282" i="35" s="1"/>
  <c r="Q137" i="36"/>
  <c r="H256" i="25"/>
  <c r="H258" i="25" s="1"/>
  <c r="L14" i="60"/>
  <c r="P14" i="60" s="1"/>
  <c r="Q135" i="33"/>
  <c r="M296" i="33"/>
  <c r="M258" i="34"/>
  <c r="M297" i="33"/>
  <c r="M259" i="34"/>
  <c r="I298" i="33"/>
  <c r="I260" i="34"/>
  <c r="I294" i="33"/>
  <c r="I256" i="34"/>
  <c r="I295" i="33"/>
  <c r="I257" i="34"/>
  <c r="F296" i="33"/>
  <c r="F258" i="34"/>
  <c r="F297" i="33"/>
  <c r="F259" i="34"/>
  <c r="G296" i="33"/>
  <c r="G258" i="34"/>
  <c r="G297" i="33"/>
  <c r="G259" i="34"/>
  <c r="G298" i="33"/>
  <c r="G260" i="34"/>
  <c r="L298" i="33"/>
  <c r="L260" i="34"/>
  <c r="L294" i="33"/>
  <c r="L256" i="34"/>
  <c r="L295" i="33"/>
  <c r="L257" i="34"/>
  <c r="E298" i="33"/>
  <c r="E260" i="34"/>
  <c r="E294" i="33"/>
  <c r="E256" i="34"/>
  <c r="Q134" i="33"/>
  <c r="E295" i="33"/>
  <c r="E257" i="34"/>
  <c r="P296" i="33"/>
  <c r="P258" i="34"/>
  <c r="P297" i="33"/>
  <c r="P259" i="34"/>
  <c r="J296" i="33"/>
  <c r="J258" i="34"/>
  <c r="J297" i="33"/>
  <c r="J259" i="34"/>
  <c r="N296" i="33"/>
  <c r="N258" i="34"/>
  <c r="N297" i="33"/>
  <c r="N259" i="34"/>
  <c r="O296" i="33"/>
  <c r="O258" i="34"/>
  <c r="O297" i="33"/>
  <c r="O259" i="34"/>
  <c r="K296" i="33"/>
  <c r="K258" i="34"/>
  <c r="K297" i="33"/>
  <c r="K259" i="34"/>
  <c r="K298" i="33"/>
  <c r="K260" i="34"/>
  <c r="H296" i="33"/>
  <c r="H258" i="34"/>
  <c r="H297" i="33"/>
  <c r="H259" i="34"/>
  <c r="M298" i="33"/>
  <c r="M260" i="34"/>
  <c r="M294" i="33"/>
  <c r="M256" i="34"/>
  <c r="M295" i="33"/>
  <c r="M257" i="34"/>
  <c r="I296" i="33"/>
  <c r="I258" i="34"/>
  <c r="I297" i="33"/>
  <c r="I259" i="34"/>
  <c r="F298" i="33"/>
  <c r="F260" i="34"/>
  <c r="F294" i="33"/>
  <c r="F256" i="34"/>
  <c r="F295" i="33"/>
  <c r="F257" i="34"/>
  <c r="G294" i="33"/>
  <c r="G256" i="34"/>
  <c r="G295" i="33"/>
  <c r="G257" i="34"/>
  <c r="L296" i="33"/>
  <c r="L258" i="34"/>
  <c r="L297" i="33"/>
  <c r="L259" i="34"/>
  <c r="E296" i="33"/>
  <c r="E258" i="34"/>
  <c r="Q136" i="33"/>
  <c r="E297" i="33"/>
  <c r="E259" i="34"/>
  <c r="Q139" i="33"/>
  <c r="P294" i="33"/>
  <c r="P256" i="34"/>
  <c r="P295" i="33"/>
  <c r="P257" i="34"/>
  <c r="J298" i="33"/>
  <c r="J260" i="34"/>
  <c r="J294" i="33"/>
  <c r="J256" i="34"/>
  <c r="J295" i="33"/>
  <c r="J257" i="34"/>
  <c r="N298" i="33"/>
  <c r="N260" i="34"/>
  <c r="N294" i="33"/>
  <c r="N256" i="34"/>
  <c r="N295" i="33"/>
  <c r="N257" i="34"/>
  <c r="O294" i="33"/>
  <c r="O256" i="34"/>
  <c r="O295" i="33"/>
  <c r="O257" i="34"/>
  <c r="K294" i="33"/>
  <c r="K256" i="34"/>
  <c r="K295" i="33"/>
  <c r="K257" i="34"/>
  <c r="H298" i="33"/>
  <c r="H260" i="34"/>
  <c r="H294" i="33"/>
  <c r="H256" i="34"/>
  <c r="H295" i="33"/>
  <c r="H257" i="34"/>
  <c r="J130" i="38"/>
  <c r="J134" i="38"/>
  <c r="J132" i="38"/>
  <c r="J131" i="38"/>
  <c r="J133" i="38"/>
  <c r="K127" i="38"/>
  <c r="K131" i="38"/>
  <c r="K133" i="38"/>
  <c r="K130" i="38"/>
  <c r="K134" i="38"/>
  <c r="K132" i="38"/>
  <c r="F127" i="38"/>
  <c r="F130" i="38"/>
  <c r="F133" i="38"/>
  <c r="F134" i="38"/>
  <c r="F132" i="38"/>
  <c r="F131" i="38"/>
  <c r="I133" i="38"/>
  <c r="I131" i="38"/>
  <c r="I130" i="38"/>
  <c r="I134" i="38"/>
  <c r="I132" i="38"/>
  <c r="M127" i="38"/>
  <c r="M132" i="38"/>
  <c r="M131" i="38"/>
  <c r="M133" i="38"/>
  <c r="M130" i="38"/>
  <c r="M134" i="38"/>
  <c r="G130" i="38"/>
  <c r="G132" i="38"/>
  <c r="G134" i="38"/>
  <c r="G133" i="38"/>
  <c r="G131" i="38"/>
  <c r="H132" i="38"/>
  <c r="H133" i="38"/>
  <c r="H134" i="38"/>
  <c r="H130" i="38"/>
  <c r="H131" i="38"/>
  <c r="G143" i="36"/>
  <c r="G288" i="35" s="1"/>
  <c r="G140" i="36"/>
  <c r="G285" i="35" s="1"/>
  <c r="G142" i="36"/>
  <c r="G287" i="35" s="1"/>
  <c r="G141" i="36"/>
  <c r="G286" i="35" s="1"/>
  <c r="G138" i="36"/>
  <c r="G283" i="35" s="1"/>
  <c r="G139" i="36"/>
  <c r="G284" i="35" s="1"/>
  <c r="K143" i="36"/>
  <c r="K288" i="35" s="1"/>
  <c r="K140" i="36"/>
  <c r="K285" i="35" s="1"/>
  <c r="K141" i="36"/>
  <c r="K286" i="35" s="1"/>
  <c r="K138" i="36"/>
  <c r="K283" i="35" s="1"/>
  <c r="K142" i="36"/>
  <c r="K287" i="35" s="1"/>
  <c r="K139" i="36"/>
  <c r="K284" i="35" s="1"/>
  <c r="O143" i="36"/>
  <c r="O288" i="35" s="1"/>
  <c r="O140" i="36"/>
  <c r="O285" i="35" s="1"/>
  <c r="O138" i="36"/>
  <c r="O283" i="35" s="1"/>
  <c r="O142" i="36"/>
  <c r="O287" i="35" s="1"/>
  <c r="O139" i="36"/>
  <c r="O284" i="35" s="1"/>
  <c r="O141" i="36"/>
  <c r="O286" i="35" s="1"/>
  <c r="H143" i="36"/>
  <c r="H288" i="35" s="1"/>
  <c r="H138" i="36"/>
  <c r="H283" i="35" s="1"/>
  <c r="H142" i="36"/>
  <c r="H287" i="35" s="1"/>
  <c r="H139" i="36"/>
  <c r="H284" i="35" s="1"/>
  <c r="H141" i="36"/>
  <c r="H286" i="35" s="1"/>
  <c r="H140" i="36"/>
  <c r="H285" i="35" s="1"/>
  <c r="L143" i="36"/>
  <c r="L288" i="35" s="1"/>
  <c r="L142" i="36"/>
  <c r="L287" i="35" s="1"/>
  <c r="L139" i="36"/>
  <c r="L284" i="35" s="1"/>
  <c r="L141" i="36"/>
  <c r="L286" i="35" s="1"/>
  <c r="L140" i="36"/>
  <c r="L285" i="35" s="1"/>
  <c r="P143" i="36"/>
  <c r="P288" i="35" s="1"/>
  <c r="P141" i="36"/>
  <c r="P286" i="35" s="1"/>
  <c r="P138" i="36"/>
  <c r="P283" i="35" s="1"/>
  <c r="P140" i="36"/>
  <c r="P285" i="35" s="1"/>
  <c r="P139" i="36"/>
  <c r="P284" i="35" s="1"/>
  <c r="I143" i="36"/>
  <c r="I288" i="35" s="1"/>
  <c r="I138" i="36"/>
  <c r="I283" i="35" s="1"/>
  <c r="I142" i="36"/>
  <c r="I287" i="35" s="1"/>
  <c r="I139" i="36"/>
  <c r="I284" i="35" s="1"/>
  <c r="I140" i="36"/>
  <c r="I285" i="35" s="1"/>
  <c r="I141" i="36"/>
  <c r="I286" i="35" s="1"/>
  <c r="M143" i="36"/>
  <c r="M288" i="35" s="1"/>
  <c r="M138" i="36"/>
  <c r="M283" i="35" s="1"/>
  <c r="M142" i="36"/>
  <c r="M287" i="35" s="1"/>
  <c r="M139" i="36"/>
  <c r="M284" i="35" s="1"/>
  <c r="M140" i="36"/>
  <c r="M285" i="35" s="1"/>
  <c r="M141" i="36"/>
  <c r="M286" i="35" s="1"/>
  <c r="F143" i="36"/>
  <c r="F140" i="36"/>
  <c r="F138" i="36"/>
  <c r="F283" i="35" s="1"/>
  <c r="F142" i="36"/>
  <c r="F287" i="35" s="1"/>
  <c r="F139" i="36"/>
  <c r="F284" i="35" s="1"/>
  <c r="F141" i="36"/>
  <c r="J143" i="36"/>
  <c r="J288" i="35" s="1"/>
  <c r="J140" i="36"/>
  <c r="J285" i="35" s="1"/>
  <c r="J138" i="36"/>
  <c r="J283" i="35" s="1"/>
  <c r="J142" i="36"/>
  <c r="J287" i="35" s="1"/>
  <c r="J139" i="36"/>
  <c r="J284" i="35" s="1"/>
  <c r="J141" i="36"/>
  <c r="J286" i="35" s="1"/>
  <c r="N143" i="36"/>
  <c r="N288" i="35" s="1"/>
  <c r="N138" i="36"/>
  <c r="N283" i="35" s="1"/>
  <c r="N140" i="36"/>
  <c r="N285" i="35" s="1"/>
  <c r="N142" i="36"/>
  <c r="N287" i="35" s="1"/>
  <c r="N141" i="36"/>
  <c r="N286" i="35" s="1"/>
  <c r="E135" i="32"/>
  <c r="E280" i="31" s="1"/>
  <c r="E143" i="32"/>
  <c r="E288" i="31" s="1"/>
  <c r="D143" i="32"/>
  <c r="D288" i="31" s="1"/>
  <c r="E138" i="32"/>
  <c r="E283" i="31" s="1"/>
  <c r="D139" i="32"/>
  <c r="D284" i="31" s="1"/>
  <c r="E139" i="32"/>
  <c r="E284" i="31" s="1"/>
  <c r="D141" i="32"/>
  <c r="D286" i="31" s="1"/>
  <c r="D138" i="32"/>
  <c r="D283" i="31" s="1"/>
  <c r="D140" i="32"/>
  <c r="D285" i="31" s="1"/>
  <c r="E140" i="32"/>
  <c r="E285" i="31" s="1"/>
  <c r="D142" i="32"/>
  <c r="D287" i="31" s="1"/>
  <c r="E142" i="32"/>
  <c r="E287" i="31" s="1"/>
  <c r="E141" i="32"/>
  <c r="E286" i="31" s="1"/>
  <c r="C143" i="32"/>
  <c r="C140" i="32"/>
  <c r="C285" i="31" s="1"/>
  <c r="C142" i="32"/>
  <c r="C287" i="31" s="1"/>
  <c r="C141" i="32"/>
  <c r="C286" i="31" s="1"/>
  <c r="C138" i="32"/>
  <c r="C283" i="31" s="1"/>
  <c r="C139" i="32"/>
  <c r="C284" i="31" s="1"/>
  <c r="N135" i="30"/>
  <c r="N280" i="28" s="1"/>
  <c r="N143" i="30"/>
  <c r="N288" i="28" s="1"/>
  <c r="N138" i="30"/>
  <c r="N283" i="28" s="1"/>
  <c r="N142" i="30"/>
  <c r="N287" i="28" s="1"/>
  <c r="N141" i="30"/>
  <c r="N286" i="28" s="1"/>
  <c r="N140" i="30"/>
  <c r="N285" i="28" s="1"/>
  <c r="N139" i="30"/>
  <c r="N284" i="28" s="1"/>
  <c r="K135" i="30"/>
  <c r="K280" i="28" s="1"/>
  <c r="K143" i="30"/>
  <c r="K288" i="28" s="1"/>
  <c r="K138" i="30"/>
  <c r="K283" i="28" s="1"/>
  <c r="K140" i="30"/>
  <c r="K285" i="28" s="1"/>
  <c r="K142" i="30"/>
  <c r="K287" i="28" s="1"/>
  <c r="K139" i="30"/>
  <c r="K284" i="28" s="1"/>
  <c r="K141" i="30"/>
  <c r="K286" i="28" s="1"/>
  <c r="M135" i="30"/>
  <c r="M280" i="28" s="1"/>
  <c r="M143" i="30"/>
  <c r="M288" i="28" s="1"/>
  <c r="M139" i="30"/>
  <c r="M141" i="30"/>
  <c r="M286" i="28" s="1"/>
  <c r="M138" i="30"/>
  <c r="M283" i="28" s="1"/>
  <c r="M140" i="30"/>
  <c r="M285" i="28" s="1"/>
  <c r="M142" i="30"/>
  <c r="M287" i="28" s="1"/>
  <c r="I143" i="30"/>
  <c r="I288" i="28" s="1"/>
  <c r="I139" i="30"/>
  <c r="I284" i="28" s="1"/>
  <c r="I141" i="30"/>
  <c r="I286" i="28" s="1"/>
  <c r="I138" i="30"/>
  <c r="I283" i="28" s="1"/>
  <c r="I140" i="30"/>
  <c r="I285" i="28" s="1"/>
  <c r="I142" i="30"/>
  <c r="I287" i="28" s="1"/>
  <c r="F143" i="30"/>
  <c r="F141" i="30"/>
  <c r="F286" i="28" s="1"/>
  <c r="F140" i="30"/>
  <c r="F142" i="30"/>
  <c r="F287" i="28" s="1"/>
  <c r="F139" i="30"/>
  <c r="F284" i="28" s="1"/>
  <c r="O143" i="30"/>
  <c r="O288" i="28" s="1"/>
  <c r="O138" i="30"/>
  <c r="O283" i="28" s="1"/>
  <c r="O140" i="30"/>
  <c r="O285" i="28" s="1"/>
  <c r="O142" i="30"/>
  <c r="O287" i="28" s="1"/>
  <c r="O139" i="30"/>
  <c r="O284" i="28" s="1"/>
  <c r="O141" i="30"/>
  <c r="J135" i="30"/>
  <c r="J280" i="28" s="1"/>
  <c r="J143" i="30"/>
  <c r="J288" i="28" s="1"/>
  <c r="J138" i="30"/>
  <c r="J283" i="28" s="1"/>
  <c r="J140" i="30"/>
  <c r="J285" i="28" s="1"/>
  <c r="J142" i="30"/>
  <c r="J287" i="28" s="1"/>
  <c r="J139" i="30"/>
  <c r="J284" i="28" s="1"/>
  <c r="J141" i="30"/>
  <c r="J286" i="28" s="1"/>
  <c r="L135" i="30"/>
  <c r="L280" i="28" s="1"/>
  <c r="L143" i="30"/>
  <c r="L288" i="28" s="1"/>
  <c r="L138" i="30"/>
  <c r="L283" i="28" s="1"/>
  <c r="L140" i="30"/>
  <c r="L285" i="28" s="1"/>
  <c r="L142" i="30"/>
  <c r="L287" i="28" s="1"/>
  <c r="L139" i="30"/>
  <c r="L284" i="28" s="1"/>
  <c r="L141" i="30"/>
  <c r="L286" i="28" s="1"/>
  <c r="G143" i="30"/>
  <c r="G288" i="28" s="1"/>
  <c r="G138" i="30"/>
  <c r="G283" i="28" s="1"/>
  <c r="G140" i="30"/>
  <c r="G285" i="28" s="1"/>
  <c r="G142" i="30"/>
  <c r="G287" i="28" s="1"/>
  <c r="G139" i="30"/>
  <c r="G284" i="28" s="1"/>
  <c r="G141" i="30"/>
  <c r="G286" i="28" s="1"/>
  <c r="P143" i="30"/>
  <c r="P288" i="28" s="1"/>
  <c r="P140" i="30"/>
  <c r="P285" i="28" s="1"/>
  <c r="P139" i="30"/>
  <c r="P284" i="28" s="1"/>
  <c r="P141" i="30"/>
  <c r="P286" i="28" s="1"/>
  <c r="P138" i="30"/>
  <c r="P283" i="28" s="1"/>
  <c r="P142" i="30"/>
  <c r="H143" i="30"/>
  <c r="H288" i="28" s="1"/>
  <c r="H140" i="30"/>
  <c r="H285" i="28" s="1"/>
  <c r="H139" i="30"/>
  <c r="H284" i="28" s="1"/>
  <c r="H141" i="30"/>
  <c r="H286" i="28" s="1"/>
  <c r="H138" i="30"/>
  <c r="H283" i="28" s="1"/>
  <c r="H142" i="30"/>
  <c r="H287" i="28" s="1"/>
  <c r="Q287" i="27"/>
  <c r="F286" i="27"/>
  <c r="Q286" i="27" s="1"/>
  <c r="Q140" i="26"/>
  <c r="Q141" i="26"/>
  <c r="F284" i="27"/>
  <c r="Q284" i="27" s="1"/>
  <c r="Q138" i="26"/>
  <c r="F285" i="27"/>
  <c r="Q139" i="26"/>
  <c r="F288" i="27"/>
  <c r="Q288" i="27" s="1"/>
  <c r="Q142" i="26"/>
  <c r="Q285" i="27"/>
  <c r="H135" i="21"/>
  <c r="H281" i="19" s="1"/>
  <c r="H139" i="21"/>
  <c r="H285" i="19" s="1"/>
  <c r="H138" i="21"/>
  <c r="H140" i="21"/>
  <c r="H286" i="19" s="1"/>
  <c r="H142" i="21"/>
  <c r="H288" i="19" s="1"/>
  <c r="H141" i="21"/>
  <c r="H287" i="19" s="1"/>
  <c r="N135" i="21"/>
  <c r="N281" i="19" s="1"/>
  <c r="N141" i="21"/>
  <c r="N287" i="19" s="1"/>
  <c r="N139" i="21"/>
  <c r="N285" i="19" s="1"/>
  <c r="N138" i="21"/>
  <c r="N284" i="19" s="1"/>
  <c r="N140" i="21"/>
  <c r="N142" i="21"/>
  <c r="N288" i="19" s="1"/>
  <c r="P139" i="21"/>
  <c r="P285" i="19" s="1"/>
  <c r="P141" i="21"/>
  <c r="P138" i="21"/>
  <c r="P284" i="19" s="1"/>
  <c r="P142" i="21"/>
  <c r="P140" i="21"/>
  <c r="P286" i="19" s="1"/>
  <c r="M135" i="21"/>
  <c r="M281" i="19" s="1"/>
  <c r="M139" i="21"/>
  <c r="M138" i="21"/>
  <c r="M284" i="19" s="1"/>
  <c r="M142" i="21"/>
  <c r="M288" i="19" s="1"/>
  <c r="M141" i="21"/>
  <c r="M287" i="19" s="1"/>
  <c r="M140" i="21"/>
  <c r="M286" i="19" s="1"/>
  <c r="K135" i="21"/>
  <c r="K281" i="19" s="1"/>
  <c r="K141" i="21"/>
  <c r="K287" i="19" s="1"/>
  <c r="K140" i="21"/>
  <c r="K286" i="19" s="1"/>
  <c r="K139" i="21"/>
  <c r="K285" i="19" s="1"/>
  <c r="K138" i="21"/>
  <c r="K142" i="21"/>
  <c r="K288" i="19" s="1"/>
  <c r="I135" i="21"/>
  <c r="I281" i="19" s="1"/>
  <c r="I139" i="21"/>
  <c r="I285" i="19" s="1"/>
  <c r="I138" i="21"/>
  <c r="I142" i="21"/>
  <c r="I288" i="19" s="1"/>
  <c r="I141" i="21"/>
  <c r="I287" i="19" s="1"/>
  <c r="I140" i="21"/>
  <c r="I286" i="19" s="1"/>
  <c r="G135" i="21"/>
  <c r="G281" i="19" s="1"/>
  <c r="G141" i="21"/>
  <c r="G287" i="19" s="1"/>
  <c r="G140" i="21"/>
  <c r="G286" i="19" s="1"/>
  <c r="G139" i="21"/>
  <c r="G285" i="19" s="1"/>
  <c r="G138" i="21"/>
  <c r="G142" i="21"/>
  <c r="G288" i="19" s="1"/>
  <c r="J135" i="21"/>
  <c r="J281" i="19" s="1"/>
  <c r="J141" i="21"/>
  <c r="J287" i="19" s="1"/>
  <c r="J139" i="21"/>
  <c r="J285" i="19" s="1"/>
  <c r="J138" i="21"/>
  <c r="J140" i="21"/>
  <c r="J286" i="19" s="1"/>
  <c r="J142" i="21"/>
  <c r="J288" i="19" s="1"/>
  <c r="L135" i="21"/>
  <c r="L281" i="19" s="1"/>
  <c r="L139" i="21"/>
  <c r="L285" i="19" s="1"/>
  <c r="L138" i="21"/>
  <c r="L140" i="21"/>
  <c r="L286" i="19" s="1"/>
  <c r="L142" i="21"/>
  <c r="L288" i="19" s="1"/>
  <c r="L141" i="21"/>
  <c r="L287" i="19" s="1"/>
  <c r="F135" i="21"/>
  <c r="F281" i="19" s="1"/>
  <c r="F141" i="21"/>
  <c r="F287" i="19" s="1"/>
  <c r="F139" i="21"/>
  <c r="F285" i="19" s="1"/>
  <c r="F138" i="21"/>
  <c r="F140" i="21"/>
  <c r="F286" i="19" s="1"/>
  <c r="F142" i="21"/>
  <c r="F288" i="19" s="1"/>
  <c r="E135" i="21"/>
  <c r="E281" i="19" s="1"/>
  <c r="E139" i="21"/>
  <c r="E285" i="19" s="1"/>
  <c r="E138" i="21"/>
  <c r="E284" i="19" s="1"/>
  <c r="E142" i="21"/>
  <c r="E288" i="19" s="1"/>
  <c r="E141" i="21"/>
  <c r="E287" i="19" s="1"/>
  <c r="E140" i="21"/>
  <c r="E286" i="19" s="1"/>
  <c r="H271" i="27"/>
  <c r="H273" i="27" s="1"/>
  <c r="H275" i="27" s="1"/>
  <c r="G135" i="18"/>
  <c r="G280" i="17" s="1"/>
  <c r="G143" i="18"/>
  <c r="G288" i="17" s="1"/>
  <c r="G138" i="18"/>
  <c r="G283" i="17" s="1"/>
  <c r="G140" i="18"/>
  <c r="G285" i="17" s="1"/>
  <c r="G142" i="18"/>
  <c r="G287" i="17" s="1"/>
  <c r="G139" i="18"/>
  <c r="G284" i="17" s="1"/>
  <c r="G141" i="18"/>
  <c r="G286" i="17" s="1"/>
  <c r="J135" i="18"/>
  <c r="J280" i="17" s="1"/>
  <c r="J143" i="18"/>
  <c r="J288" i="17" s="1"/>
  <c r="J138" i="18"/>
  <c r="J283" i="17" s="1"/>
  <c r="J140" i="18"/>
  <c r="J285" i="17" s="1"/>
  <c r="J142" i="18"/>
  <c r="J287" i="17" s="1"/>
  <c r="J139" i="18"/>
  <c r="J284" i="17" s="1"/>
  <c r="J141" i="18"/>
  <c r="J286" i="17" s="1"/>
  <c r="H135" i="18"/>
  <c r="H280" i="17" s="1"/>
  <c r="H143" i="18"/>
  <c r="H288" i="17" s="1"/>
  <c r="H138" i="18"/>
  <c r="H283" i="17" s="1"/>
  <c r="H140" i="18"/>
  <c r="H285" i="17" s="1"/>
  <c r="H142" i="18"/>
  <c r="H287" i="17" s="1"/>
  <c r="H139" i="18"/>
  <c r="H284" i="17" s="1"/>
  <c r="H141" i="18"/>
  <c r="H286" i="17" s="1"/>
  <c r="P143" i="18"/>
  <c r="P288" i="17" s="1"/>
  <c r="P138" i="18"/>
  <c r="P283" i="17" s="1"/>
  <c r="P140" i="18"/>
  <c r="P285" i="17" s="1"/>
  <c r="P142" i="18"/>
  <c r="P139" i="18"/>
  <c r="P284" i="17" s="1"/>
  <c r="P141" i="18"/>
  <c r="P286" i="17" s="1"/>
  <c r="M135" i="18"/>
  <c r="M280" i="17" s="1"/>
  <c r="M143" i="18"/>
  <c r="M288" i="17" s="1"/>
  <c r="M138" i="18"/>
  <c r="M283" i="17" s="1"/>
  <c r="M140" i="18"/>
  <c r="M142" i="18"/>
  <c r="M287" i="17" s="1"/>
  <c r="M139" i="18"/>
  <c r="M284" i="17" s="1"/>
  <c r="M141" i="18"/>
  <c r="M286" i="17" s="1"/>
  <c r="N135" i="18"/>
  <c r="N280" i="17" s="1"/>
  <c r="N143" i="18"/>
  <c r="N288" i="17" s="1"/>
  <c r="N138" i="18"/>
  <c r="N283" i="17" s="1"/>
  <c r="N140" i="18"/>
  <c r="N285" i="17" s="1"/>
  <c r="N142" i="18"/>
  <c r="N287" i="17" s="1"/>
  <c r="N139" i="18"/>
  <c r="N284" i="17" s="1"/>
  <c r="N141" i="18"/>
  <c r="F135" i="18"/>
  <c r="F280" i="17" s="1"/>
  <c r="F143" i="18"/>
  <c r="F288" i="17" s="1"/>
  <c r="F138" i="18"/>
  <c r="F283" i="17" s="1"/>
  <c r="F140" i="18"/>
  <c r="F285" i="17" s="1"/>
  <c r="F142" i="18"/>
  <c r="F287" i="17" s="1"/>
  <c r="F139" i="18"/>
  <c r="F284" i="17" s="1"/>
  <c r="F141" i="18"/>
  <c r="F286" i="17" s="1"/>
  <c r="I135" i="18"/>
  <c r="I280" i="17" s="1"/>
  <c r="I143" i="18"/>
  <c r="I288" i="17" s="1"/>
  <c r="I138" i="18"/>
  <c r="I283" i="17" s="1"/>
  <c r="I140" i="18"/>
  <c r="I285" i="17" s="1"/>
  <c r="I142" i="18"/>
  <c r="I287" i="17" s="1"/>
  <c r="I139" i="18"/>
  <c r="I284" i="17" s="1"/>
  <c r="I141" i="18"/>
  <c r="I286" i="17" s="1"/>
  <c r="K135" i="18"/>
  <c r="K280" i="17" s="1"/>
  <c r="K143" i="18"/>
  <c r="K288" i="17" s="1"/>
  <c r="K138" i="18"/>
  <c r="K140" i="18"/>
  <c r="K285" i="17" s="1"/>
  <c r="K142" i="18"/>
  <c r="K287" i="17" s="1"/>
  <c r="K139" i="18"/>
  <c r="K284" i="17" s="1"/>
  <c r="K141" i="18"/>
  <c r="K286" i="17" s="1"/>
  <c r="L135" i="18"/>
  <c r="L280" i="17" s="1"/>
  <c r="L143" i="18"/>
  <c r="L288" i="17" s="1"/>
  <c r="L138" i="18"/>
  <c r="L283" i="17" s="1"/>
  <c r="L140" i="18"/>
  <c r="L285" i="17" s="1"/>
  <c r="L142" i="18"/>
  <c r="L287" i="17" s="1"/>
  <c r="L139" i="18"/>
  <c r="L141" i="18"/>
  <c r="L286" i="17" s="1"/>
  <c r="L117" i="38"/>
  <c r="C132" i="38"/>
  <c r="P142" i="36"/>
  <c r="P287" i="35" s="1"/>
  <c r="P135" i="36"/>
  <c r="P280" i="35" s="1"/>
  <c r="N139" i="36"/>
  <c r="N284" i="35" s="1"/>
  <c r="N135" i="36"/>
  <c r="N280" i="35" s="1"/>
  <c r="L138" i="36"/>
  <c r="L135" i="36"/>
  <c r="L280" i="35" s="1"/>
  <c r="J244" i="28"/>
  <c r="H249" i="28" s="1"/>
  <c r="J244" i="17"/>
  <c r="H249" i="17" s="1"/>
  <c r="O141" i="21"/>
  <c r="O135" i="21"/>
  <c r="O281" i="19" s="1"/>
  <c r="P260" i="34"/>
  <c r="P135" i="18"/>
  <c r="P280" i="17" s="1"/>
  <c r="Q280" i="28"/>
  <c r="Q143" i="18"/>
  <c r="D135" i="32"/>
  <c r="D280" i="31" s="1"/>
  <c r="J244" i="35"/>
  <c r="H249" i="35" s="1"/>
  <c r="Q135" i="26"/>
  <c r="H252" i="27"/>
  <c r="Q135" i="30"/>
  <c r="M287" i="38"/>
  <c r="L179" i="37"/>
  <c r="Q138" i="24"/>
  <c r="P291" i="33"/>
  <c r="P253" i="34"/>
  <c r="J82" i="31"/>
  <c r="C111" i="32" s="1"/>
  <c r="G111" i="32" s="1"/>
  <c r="I115" i="31"/>
  <c r="C109" i="32"/>
  <c r="G109" i="32" s="1"/>
  <c r="C135" i="32"/>
  <c r="C280" i="31" s="1"/>
  <c r="N291" i="33"/>
  <c r="K253" i="34"/>
  <c r="T380" i="40"/>
  <c r="Q135" i="24"/>
  <c r="Q281" i="25"/>
  <c r="P287" i="19"/>
  <c r="P135" i="21"/>
  <c r="P281" i="19" s="1"/>
  <c r="Q284" i="25"/>
  <c r="C123" i="24"/>
  <c r="P288" i="25"/>
  <c r="Q288" i="25" s="1"/>
  <c r="Q142" i="24"/>
  <c r="O287" i="25"/>
  <c r="Q287" i="25" s="1"/>
  <c r="Q141" i="24"/>
  <c r="N286" i="25"/>
  <c r="Q286" i="25" s="1"/>
  <c r="Q140" i="24"/>
  <c r="F283" i="28"/>
  <c r="Q138" i="30"/>
  <c r="H251" i="28"/>
  <c r="Q139" i="30"/>
  <c r="M284" i="28"/>
  <c r="Q284" i="28" s="1"/>
  <c r="O286" i="28"/>
  <c r="Q286" i="28" s="1"/>
  <c r="G112" i="30"/>
  <c r="C123" i="30"/>
  <c r="P287" i="28"/>
  <c r="Q287" i="28" s="1"/>
  <c r="O260" i="34"/>
  <c r="Q138" i="33"/>
  <c r="O298" i="33"/>
  <c r="J145" i="31"/>
  <c r="K136" i="32" s="1"/>
  <c r="K281" i="31" s="1"/>
  <c r="J235" i="31"/>
  <c r="P137" i="32" s="1"/>
  <c r="P282" i="31" s="1"/>
  <c r="H120" i="38"/>
  <c r="L120" i="38" s="1"/>
  <c r="H116" i="38"/>
  <c r="G127" i="38"/>
  <c r="H121" i="38"/>
  <c r="L121" i="38" s="1"/>
  <c r="Q156" i="45"/>
  <c r="H119" i="38"/>
  <c r="J127" i="38"/>
  <c r="H118" i="38"/>
  <c r="I127" i="38"/>
  <c r="H287" i="38"/>
  <c r="H179" i="37"/>
  <c r="L287" i="38"/>
  <c r="E287" i="38"/>
  <c r="E179" i="37"/>
  <c r="F287" i="38"/>
  <c r="F179" i="37"/>
  <c r="J139" i="37"/>
  <c r="H148" i="37" s="1"/>
  <c r="H115" i="38"/>
  <c r="N253" i="34"/>
  <c r="Q139" i="24"/>
  <c r="C123" i="18"/>
  <c r="F291" i="33"/>
  <c r="G291" i="33"/>
  <c r="G253" i="34"/>
  <c r="F253" i="34"/>
  <c r="J253" i="34"/>
  <c r="H126" i="33"/>
  <c r="J291" i="33"/>
  <c r="K224" i="34"/>
  <c r="L253" i="34"/>
  <c r="L291" i="33"/>
  <c r="C117" i="32"/>
  <c r="G117" i="32" s="1"/>
  <c r="C122" i="32"/>
  <c r="G122" i="32" s="1"/>
  <c r="H260" i="25"/>
  <c r="Q137" i="21"/>
  <c r="E283" i="19"/>
  <c r="Q283" i="19" s="1"/>
  <c r="C130" i="26"/>
  <c r="E132" i="26" s="1"/>
  <c r="K252" i="25"/>
  <c r="I284" i="19"/>
  <c r="G115" i="21"/>
  <c r="G122" i="21"/>
  <c r="G284" i="19"/>
  <c r="G113" i="21"/>
  <c r="G121" i="21"/>
  <c r="G119" i="21"/>
  <c r="K284" i="19"/>
  <c r="G117" i="21"/>
  <c r="G114" i="21"/>
  <c r="H284" i="19"/>
  <c r="G120" i="21"/>
  <c r="G116" i="21"/>
  <c r="J284" i="19"/>
  <c r="G118" i="21"/>
  <c r="L284" i="19"/>
  <c r="G112" i="21"/>
  <c r="F284" i="19"/>
  <c r="J245" i="19"/>
  <c r="H250" i="19" s="1"/>
  <c r="L142" i="8"/>
  <c r="Q180" i="37" l="1"/>
  <c r="G112" i="36"/>
  <c r="C123" i="36"/>
  <c r="F281" i="35"/>
  <c r="Q281" i="35" s="1"/>
  <c r="Q136" i="36"/>
  <c r="N282" i="28"/>
  <c r="Q282" i="28" s="1"/>
  <c r="Q137" i="30"/>
  <c r="H228" i="34"/>
  <c r="H230" i="34" s="1"/>
  <c r="H232" i="34" s="1"/>
  <c r="K251" i="28"/>
  <c r="L16" i="60"/>
  <c r="P16" i="60" s="1"/>
  <c r="C125" i="30"/>
  <c r="H264" i="28"/>
  <c r="H256" i="27"/>
  <c r="H258" i="27" s="1"/>
  <c r="H260" i="27" s="1"/>
  <c r="L15" i="60"/>
  <c r="P15" i="60" s="1"/>
  <c r="C125" i="24"/>
  <c r="H265" i="25"/>
  <c r="C125" i="18"/>
  <c r="H264" i="17"/>
  <c r="H251" i="17"/>
  <c r="L12" i="60"/>
  <c r="P12" i="60" s="1"/>
  <c r="H183" i="37"/>
  <c r="H291" i="38"/>
  <c r="H186" i="37"/>
  <c r="H294" i="38"/>
  <c r="H184" i="37"/>
  <c r="H292" i="38"/>
  <c r="G185" i="37"/>
  <c r="G293" i="38"/>
  <c r="G184" i="37"/>
  <c r="G292" i="38"/>
  <c r="M293" i="38"/>
  <c r="L185" i="37"/>
  <c r="M292" i="38"/>
  <c r="L184" i="37"/>
  <c r="I184" i="37"/>
  <c r="I292" i="38"/>
  <c r="I182" i="37"/>
  <c r="I290" i="38"/>
  <c r="I185" i="37"/>
  <c r="I293" i="38"/>
  <c r="F184" i="37"/>
  <c r="F292" i="38"/>
  <c r="F185" i="37"/>
  <c r="F293" i="38"/>
  <c r="K186" i="37"/>
  <c r="K294" i="38"/>
  <c r="K185" i="37"/>
  <c r="K293" i="38"/>
  <c r="J183" i="37"/>
  <c r="J291" i="38"/>
  <c r="J294" i="38"/>
  <c r="J186" i="37"/>
  <c r="H290" i="38"/>
  <c r="H182" i="37"/>
  <c r="H293" i="38"/>
  <c r="H185" i="37"/>
  <c r="G291" i="38"/>
  <c r="G183" i="37"/>
  <c r="G186" i="37"/>
  <c r="G294" i="38"/>
  <c r="G290" i="38"/>
  <c r="G182" i="37"/>
  <c r="M290" i="38"/>
  <c r="L182" i="37"/>
  <c r="L183" i="37"/>
  <c r="M291" i="38"/>
  <c r="I186" i="37"/>
  <c r="I294" i="38"/>
  <c r="I291" i="38"/>
  <c r="I183" i="37"/>
  <c r="F291" i="38"/>
  <c r="F183" i="37"/>
  <c r="F294" i="38"/>
  <c r="F186" i="37"/>
  <c r="F182" i="37"/>
  <c r="F290" i="38"/>
  <c r="K292" i="38"/>
  <c r="K184" i="37"/>
  <c r="K182" i="37"/>
  <c r="K290" i="38"/>
  <c r="K183" i="37"/>
  <c r="K291" i="38"/>
  <c r="J185" i="37"/>
  <c r="J293" i="38"/>
  <c r="J184" i="37"/>
  <c r="J292" i="38"/>
  <c r="J290" i="38"/>
  <c r="J182" i="37"/>
  <c r="Q283" i="28"/>
  <c r="C130" i="18"/>
  <c r="E132" i="18" s="1"/>
  <c r="Q138" i="36"/>
  <c r="Q284" i="35"/>
  <c r="Q287" i="35"/>
  <c r="F286" i="35"/>
  <c r="Q141" i="36"/>
  <c r="F285" i="35"/>
  <c r="Q285" i="35" s="1"/>
  <c r="Q140" i="36"/>
  <c r="Q286" i="35"/>
  <c r="F288" i="35"/>
  <c r="Q143" i="36"/>
  <c r="P135" i="32"/>
  <c r="P280" i="31" s="1"/>
  <c r="P138" i="32"/>
  <c r="P283" i="31" s="1"/>
  <c r="P139" i="32"/>
  <c r="P284" i="31" s="1"/>
  <c r="P143" i="32"/>
  <c r="P288" i="31" s="1"/>
  <c r="P140" i="32"/>
  <c r="P285" i="31" s="1"/>
  <c r="P142" i="32"/>
  <c r="P141" i="32"/>
  <c r="P286" i="31" s="1"/>
  <c r="K143" i="32"/>
  <c r="K288" i="31" s="1"/>
  <c r="K138" i="32"/>
  <c r="K140" i="32"/>
  <c r="K285" i="31" s="1"/>
  <c r="K142" i="32"/>
  <c r="K287" i="31" s="1"/>
  <c r="K141" i="32"/>
  <c r="K286" i="31" s="1"/>
  <c r="K139" i="32"/>
  <c r="K284" i="31" s="1"/>
  <c r="C288" i="31"/>
  <c r="Q142" i="30"/>
  <c r="Q141" i="30"/>
  <c r="F285" i="28"/>
  <c r="Q140" i="30"/>
  <c r="F288" i="28"/>
  <c r="Q143" i="30"/>
  <c r="Q285" i="28"/>
  <c r="Q144" i="26"/>
  <c r="Q132" i="38"/>
  <c r="C184" i="37"/>
  <c r="Q184" i="37" s="1"/>
  <c r="C292" i="38"/>
  <c r="L115" i="38"/>
  <c r="C130" i="38"/>
  <c r="L118" i="38"/>
  <c r="C133" i="38"/>
  <c r="L119" i="38"/>
  <c r="C134" i="38"/>
  <c r="Q134" i="38" s="1"/>
  <c r="L116" i="38"/>
  <c r="C131" i="38"/>
  <c r="Q280" i="35"/>
  <c r="R23" i="11"/>
  <c r="V245" i="11" s="1"/>
  <c r="V101" i="15"/>
  <c r="Q139" i="36"/>
  <c r="L283" i="35"/>
  <c r="Q283" i="35" s="1"/>
  <c r="Q142" i="36"/>
  <c r="Q281" i="19"/>
  <c r="Q135" i="36"/>
  <c r="J178" i="31"/>
  <c r="J193" i="31"/>
  <c r="H255" i="17"/>
  <c r="H257" i="17" s="1"/>
  <c r="H259" i="17" s="1"/>
  <c r="Q135" i="18"/>
  <c r="Q144" i="24"/>
  <c r="H251" i="35"/>
  <c r="K252" i="27"/>
  <c r="I287" i="38"/>
  <c r="Q149" i="45"/>
  <c r="J133" i="31"/>
  <c r="J119" i="31"/>
  <c r="J128" i="31"/>
  <c r="J154" i="31"/>
  <c r="J150" i="31"/>
  <c r="J144" i="31"/>
  <c r="J143" i="31"/>
  <c r="Q135" i="21"/>
  <c r="K283" i="31"/>
  <c r="K135" i="32"/>
  <c r="H255" i="28"/>
  <c r="H257" i="28" s="1"/>
  <c r="H259" i="28" s="1"/>
  <c r="C130" i="30"/>
  <c r="E132" i="30" s="1"/>
  <c r="H150" i="37"/>
  <c r="H122" i="38"/>
  <c r="H163" i="37" s="1"/>
  <c r="I179" i="37"/>
  <c r="J179" i="37"/>
  <c r="J287" i="38"/>
  <c r="L186" i="37"/>
  <c r="M294" i="38"/>
  <c r="Q127" i="38"/>
  <c r="G287" i="38"/>
  <c r="G179" i="37"/>
  <c r="K287" i="38"/>
  <c r="K179" i="37"/>
  <c r="H237" i="34"/>
  <c r="H127" i="33"/>
  <c r="C130" i="24"/>
  <c r="E132" i="24" s="1"/>
  <c r="P287" i="31"/>
  <c r="J126" i="33"/>
  <c r="Q131" i="33"/>
  <c r="Q284" i="19"/>
  <c r="Q140" i="21"/>
  <c r="N286" i="19"/>
  <c r="Q286" i="19" s="1"/>
  <c r="Q139" i="21"/>
  <c r="M285" i="19"/>
  <c r="Q285" i="19" s="1"/>
  <c r="Q141" i="21"/>
  <c r="O287" i="19"/>
  <c r="Q287" i="19" s="1"/>
  <c r="Q142" i="21"/>
  <c r="P288" i="19"/>
  <c r="Q288" i="19" s="1"/>
  <c r="C123" i="21"/>
  <c r="Q138" i="21"/>
  <c r="H252" i="19"/>
  <c r="G266" i="11"/>
  <c r="G251" i="11"/>
  <c r="B287" i="11"/>
  <c r="B286" i="11"/>
  <c r="B285" i="11"/>
  <c r="B284" i="11"/>
  <c r="B283" i="11"/>
  <c r="B282" i="11"/>
  <c r="B281" i="11"/>
  <c r="B280" i="11"/>
  <c r="G272" i="11"/>
  <c r="G257" i="11"/>
  <c r="B145" i="14"/>
  <c r="B144" i="14"/>
  <c r="B143" i="14"/>
  <c r="B142" i="14"/>
  <c r="B141" i="14"/>
  <c r="B140" i="14"/>
  <c r="B139" i="14"/>
  <c r="B312" i="8"/>
  <c r="B316" i="8"/>
  <c r="B317" i="8"/>
  <c r="B318" i="8"/>
  <c r="B103" i="15"/>
  <c r="G304" i="8"/>
  <c r="G289" i="8"/>
  <c r="B315" i="8"/>
  <c r="B314" i="8"/>
  <c r="B313" i="8"/>
  <c r="B131" i="7"/>
  <c r="B132" i="7"/>
  <c r="B138" i="7"/>
  <c r="B137" i="7"/>
  <c r="B136" i="7"/>
  <c r="B135" i="7"/>
  <c r="B134" i="7"/>
  <c r="B133" i="7"/>
  <c r="L272" i="8"/>
  <c r="R272" i="8"/>
  <c r="Q137" i="33"/>
  <c r="L214" i="8"/>
  <c r="J123" i="7" s="1"/>
  <c r="L197" i="8"/>
  <c r="J122" i="7" s="1"/>
  <c r="L171" i="8"/>
  <c r="C125" i="36" l="1"/>
  <c r="C130" i="36" s="1"/>
  <c r="E132" i="36" s="1"/>
  <c r="H264" i="35"/>
  <c r="I136" i="32"/>
  <c r="I281" i="31" s="1"/>
  <c r="C115" i="32"/>
  <c r="G115" i="32" s="1"/>
  <c r="J136" i="32"/>
  <c r="J281" i="31" s="1"/>
  <c r="C116" i="32"/>
  <c r="G116" i="32" s="1"/>
  <c r="L136" i="32"/>
  <c r="L281" i="31" s="1"/>
  <c r="C118" i="32"/>
  <c r="G118" i="32" s="1"/>
  <c r="M136" i="32"/>
  <c r="M281" i="31" s="1"/>
  <c r="C119" i="32"/>
  <c r="G119" i="32" s="1"/>
  <c r="G136" i="32"/>
  <c r="G281" i="31" s="1"/>
  <c r="C113" i="32"/>
  <c r="G113" i="32" s="1"/>
  <c r="F136" i="32"/>
  <c r="C112" i="32"/>
  <c r="H136" i="32"/>
  <c r="H281" i="31" s="1"/>
  <c r="C114" i="32"/>
  <c r="G114" i="32" s="1"/>
  <c r="O137" i="32"/>
  <c r="C121" i="32"/>
  <c r="G121" i="32" s="1"/>
  <c r="N136" i="32"/>
  <c r="N281" i="31" s="1"/>
  <c r="C120" i="32"/>
  <c r="G120" i="32" s="1"/>
  <c r="K251" i="17"/>
  <c r="H239" i="34"/>
  <c r="K150" i="37"/>
  <c r="L22" i="60"/>
  <c r="P22" i="60" s="1"/>
  <c r="K251" i="35"/>
  <c r="L18" i="60"/>
  <c r="P18" i="60" s="1"/>
  <c r="H267" i="25"/>
  <c r="K252" i="19"/>
  <c r="L13" i="60"/>
  <c r="P13" i="60" s="1"/>
  <c r="Q144" i="36"/>
  <c r="I143" i="32"/>
  <c r="I288" i="31" s="1"/>
  <c r="I139" i="32"/>
  <c r="I284" i="31" s="1"/>
  <c r="I140" i="32"/>
  <c r="I285" i="31" s="1"/>
  <c r="I142" i="32"/>
  <c r="I287" i="31" s="1"/>
  <c r="I141" i="32"/>
  <c r="I286" i="31" s="1"/>
  <c r="L135" i="32"/>
  <c r="L280" i="31" s="1"/>
  <c r="L143" i="32"/>
  <c r="L288" i="31" s="1"/>
  <c r="L138" i="32"/>
  <c r="L283" i="31" s="1"/>
  <c r="L142" i="32"/>
  <c r="L287" i="31" s="1"/>
  <c r="L139" i="32"/>
  <c r="L284" i="31" s="1"/>
  <c r="L141" i="32"/>
  <c r="L286" i="31" s="1"/>
  <c r="L140" i="32"/>
  <c r="L285" i="31" s="1"/>
  <c r="G135" i="32"/>
  <c r="G280" i="31" s="1"/>
  <c r="G143" i="32"/>
  <c r="G288" i="31" s="1"/>
  <c r="G140" i="32"/>
  <c r="G285" i="31" s="1"/>
  <c r="G142" i="32"/>
  <c r="G287" i="31" s="1"/>
  <c r="G141" i="32"/>
  <c r="G286" i="31" s="1"/>
  <c r="G138" i="32"/>
  <c r="G283" i="31" s="1"/>
  <c r="G139" i="32"/>
  <c r="G284" i="31" s="1"/>
  <c r="H135" i="32"/>
  <c r="H280" i="31" s="1"/>
  <c r="H143" i="32"/>
  <c r="H288" i="31" s="1"/>
  <c r="H142" i="32"/>
  <c r="H287" i="31" s="1"/>
  <c r="H139" i="32"/>
  <c r="H284" i="31" s="1"/>
  <c r="H141" i="32"/>
  <c r="H286" i="31" s="1"/>
  <c r="H138" i="32"/>
  <c r="H283" i="31" s="1"/>
  <c r="H140" i="32"/>
  <c r="H285" i="31" s="1"/>
  <c r="O143" i="32"/>
  <c r="O288" i="31" s="1"/>
  <c r="O138" i="32"/>
  <c r="O283" i="31" s="1"/>
  <c r="O140" i="32"/>
  <c r="O285" i="31" s="1"/>
  <c r="O142" i="32"/>
  <c r="O287" i="31" s="1"/>
  <c r="O141" i="32"/>
  <c r="O286" i="31" s="1"/>
  <c r="O139" i="32"/>
  <c r="O284" i="31" s="1"/>
  <c r="J143" i="32"/>
  <c r="J288" i="31" s="1"/>
  <c r="J140" i="32"/>
  <c r="J285" i="31" s="1"/>
  <c r="J142" i="32"/>
  <c r="J287" i="31" s="1"/>
  <c r="J139" i="32"/>
  <c r="J284" i="31" s="1"/>
  <c r="J141" i="32"/>
  <c r="J286" i="31" s="1"/>
  <c r="M135" i="32"/>
  <c r="M280" i="31" s="1"/>
  <c r="M143" i="32"/>
  <c r="M288" i="31" s="1"/>
  <c r="M139" i="32"/>
  <c r="M284" i="31" s="1"/>
  <c r="M138" i="32"/>
  <c r="M283" i="31" s="1"/>
  <c r="M140" i="32"/>
  <c r="M285" i="31" s="1"/>
  <c r="M142" i="32"/>
  <c r="M287" i="31" s="1"/>
  <c r="M141" i="32"/>
  <c r="M286" i="31" s="1"/>
  <c r="F135" i="32"/>
  <c r="F280" i="31" s="1"/>
  <c r="F143" i="32"/>
  <c r="F138" i="32"/>
  <c r="F283" i="31" s="1"/>
  <c r="F140" i="32"/>
  <c r="F142" i="32"/>
  <c r="F139" i="32"/>
  <c r="F141" i="32"/>
  <c r="N135" i="32"/>
  <c r="N280" i="31" s="1"/>
  <c r="N143" i="32"/>
  <c r="N288" i="31" s="1"/>
  <c r="N140" i="32"/>
  <c r="N285" i="31" s="1"/>
  <c r="N142" i="32"/>
  <c r="N287" i="31" s="1"/>
  <c r="N138" i="32"/>
  <c r="N283" i="31" s="1"/>
  <c r="N139" i="32"/>
  <c r="N284" i="31" s="1"/>
  <c r="N141" i="32"/>
  <c r="N286" i="31" s="1"/>
  <c r="Q144" i="30"/>
  <c r="C125" i="21"/>
  <c r="C130" i="21" s="1"/>
  <c r="E132" i="21" s="1"/>
  <c r="C183" i="37"/>
  <c r="Q183" i="37" s="1"/>
  <c r="Q131" i="38"/>
  <c r="C291" i="38"/>
  <c r="C186" i="37"/>
  <c r="Q186" i="37" s="1"/>
  <c r="C294" i="38"/>
  <c r="C185" i="37"/>
  <c r="Q185" i="37" s="1"/>
  <c r="C293" i="38"/>
  <c r="Q133" i="38"/>
  <c r="Q130" i="38"/>
  <c r="C182" i="37"/>
  <c r="Q182" i="37" s="1"/>
  <c r="C290" i="38"/>
  <c r="J112" i="7"/>
  <c r="S95" i="15"/>
  <c r="T95" i="15" s="1"/>
  <c r="S96" i="15" s="1"/>
  <c r="W101" i="15"/>
  <c r="H285" i="8"/>
  <c r="H91" i="15" s="1"/>
  <c r="D133" i="7"/>
  <c r="C133" i="7"/>
  <c r="C132" i="7"/>
  <c r="H255" i="35"/>
  <c r="H257" i="35" s="1"/>
  <c r="H259" i="35" s="1"/>
  <c r="Q140" i="33"/>
  <c r="I138" i="32"/>
  <c r="I283" i="31" s="1"/>
  <c r="I135" i="32"/>
  <c r="I280" i="31" s="1"/>
  <c r="J138" i="32"/>
  <c r="J283" i="31" s="1"/>
  <c r="J135" i="32"/>
  <c r="J280" i="31" s="1"/>
  <c r="H123" i="38"/>
  <c r="H139" i="45"/>
  <c r="H141" i="45" s="1"/>
  <c r="H143" i="45" s="1"/>
  <c r="O135" i="32"/>
  <c r="O280" i="31" s="1"/>
  <c r="J244" i="31"/>
  <c r="H249" i="31" s="1"/>
  <c r="D139" i="14"/>
  <c r="D281" i="11" s="1"/>
  <c r="H139" i="14"/>
  <c r="H281" i="11" s="1"/>
  <c r="J139" i="14"/>
  <c r="J281" i="11" s="1"/>
  <c r="L139" i="14"/>
  <c r="L281" i="11" s="1"/>
  <c r="N139" i="14"/>
  <c r="N281" i="11" s="1"/>
  <c r="P139" i="14"/>
  <c r="P281" i="11" s="1"/>
  <c r="C139" i="14"/>
  <c r="C281" i="11" s="1"/>
  <c r="G139" i="14"/>
  <c r="G281" i="11" s="1"/>
  <c r="I139" i="14"/>
  <c r="I281" i="11" s="1"/>
  <c r="K139" i="14"/>
  <c r="K281" i="11" s="1"/>
  <c r="M139" i="14"/>
  <c r="M281" i="11" s="1"/>
  <c r="O139" i="14"/>
  <c r="O281" i="11" s="1"/>
  <c r="D140" i="14"/>
  <c r="D282" i="11" s="1"/>
  <c r="C140" i="14"/>
  <c r="C282" i="11" s="1"/>
  <c r="E140" i="14"/>
  <c r="E282" i="11" s="1"/>
  <c r="K280" i="31"/>
  <c r="H266" i="28"/>
  <c r="H154" i="37"/>
  <c r="H156" i="37" s="1"/>
  <c r="H158" i="37" s="1"/>
  <c r="H165" i="37"/>
  <c r="Q179" i="37"/>
  <c r="H256" i="19"/>
  <c r="H258" i="19" s="1"/>
  <c r="H260" i="19" s="1"/>
  <c r="H241" i="34"/>
  <c r="H265" i="19"/>
  <c r="E127" i="14"/>
  <c r="E133" i="14" s="1"/>
  <c r="E280" i="17"/>
  <c r="B279" i="8"/>
  <c r="B294" i="8"/>
  <c r="G298" i="8"/>
  <c r="H266" i="35" l="1"/>
  <c r="H270" i="35"/>
  <c r="H272" i="35" s="1"/>
  <c r="H274" i="35" s="1"/>
  <c r="O282" i="31"/>
  <c r="Q282" i="31" s="1"/>
  <c r="Q137" i="32"/>
  <c r="G112" i="32"/>
  <c r="C123" i="32"/>
  <c r="F281" i="31"/>
  <c r="Q281" i="31" s="1"/>
  <c r="Q136" i="32"/>
  <c r="H267" i="19"/>
  <c r="H169" i="37"/>
  <c r="H171" i="37" s="1"/>
  <c r="H173" i="37" s="1"/>
  <c r="H271" i="25"/>
  <c r="H273" i="25" s="1"/>
  <c r="H275" i="25" s="1"/>
  <c r="D7" i="60"/>
  <c r="N10" i="60"/>
  <c r="H251" i="31"/>
  <c r="F286" i="31"/>
  <c r="Q141" i="32"/>
  <c r="F287" i="31"/>
  <c r="Q287" i="31" s="1"/>
  <c r="Q142" i="32"/>
  <c r="Q286" i="31"/>
  <c r="F284" i="31"/>
  <c r="Q139" i="32"/>
  <c r="F285" i="31"/>
  <c r="Q285" i="31" s="1"/>
  <c r="Q140" i="32"/>
  <c r="F288" i="31"/>
  <c r="Q143" i="32"/>
  <c r="Q284" i="31"/>
  <c r="H270" i="28"/>
  <c r="H272" i="28" s="1"/>
  <c r="H274" i="28" s="1"/>
  <c r="Q136" i="38"/>
  <c r="W102" i="15"/>
  <c r="X101" i="15"/>
  <c r="Q138" i="32"/>
  <c r="Q280" i="31"/>
  <c r="Q283" i="31"/>
  <c r="K251" i="31"/>
  <c r="Q135" i="32"/>
  <c r="C313" i="8"/>
  <c r="D314" i="8"/>
  <c r="W61" i="8"/>
  <c r="B50" i="8"/>
  <c r="J125" i="7"/>
  <c r="J115" i="7"/>
  <c r="J113" i="7"/>
  <c r="L17" i="60" l="1"/>
  <c r="P17" i="60" s="1"/>
  <c r="C125" i="32"/>
  <c r="C130" i="32" s="1"/>
  <c r="E132" i="32" s="1"/>
  <c r="H264" i="31"/>
  <c r="H271" i="19"/>
  <c r="H273" i="19" s="1"/>
  <c r="H275" i="19" s="1"/>
  <c r="W103" i="15"/>
  <c r="H255" i="31"/>
  <c r="H257" i="31" s="1"/>
  <c r="H259" i="31" s="1"/>
  <c r="Q144" i="32"/>
  <c r="X103" i="15"/>
  <c r="A1" i="19" s="1"/>
  <c r="G13" i="60" s="1"/>
  <c r="A1" i="11"/>
  <c r="G11" i="60" s="1"/>
  <c r="X102" i="15"/>
  <c r="A1" i="17" s="1"/>
  <c r="G12" i="60" s="1"/>
  <c r="I62" i="14"/>
  <c r="G65" i="14"/>
  <c r="G64" i="14"/>
  <c r="H88" i="14" s="1"/>
  <c r="K62" i="14"/>
  <c r="G62" i="14"/>
  <c r="H76" i="14" s="1" a="1"/>
  <c r="H76" i="14" s="1"/>
  <c r="G78" i="14" s="1"/>
  <c r="N8" i="11"/>
  <c r="J8" i="11"/>
  <c r="F8" i="11"/>
  <c r="W104" i="15" l="1"/>
  <c r="H266" i="31"/>
  <c r="H270" i="31"/>
  <c r="H272" i="31" s="1"/>
  <c r="H274" i="31" s="1"/>
  <c r="X104" i="15"/>
  <c r="W105" i="15"/>
  <c r="J76" i="14" a="1"/>
  <c r="J76" i="14" s="1"/>
  <c r="I80" i="14" s="1"/>
  <c r="J80" i="14" s="1"/>
  <c r="J70" i="14"/>
  <c r="I74" i="14" s="1"/>
  <c r="J74" i="14" s="1"/>
  <c r="H70" i="14"/>
  <c r="L76" i="14"/>
  <c r="K80" i="14" s="1"/>
  <c r="L80" i="14" s="1"/>
  <c r="L70" i="14"/>
  <c r="G79" i="14"/>
  <c r="H79" i="14" s="1"/>
  <c r="G88" i="14"/>
  <c r="H94" i="14" s="1"/>
  <c r="L88" i="14"/>
  <c r="K105" i="14"/>
  <c r="J88" i="14"/>
  <c r="I105" i="14"/>
  <c r="G105" i="14"/>
  <c r="A1" i="25" l="1"/>
  <c r="G14" i="60" s="1"/>
  <c r="W106" i="15"/>
  <c r="W107" i="15"/>
  <c r="X105" i="15"/>
  <c r="A1" i="27" s="1"/>
  <c r="G15" i="60" s="1"/>
  <c r="I73" i="14"/>
  <c r="J73" i="14" s="1"/>
  <c r="I72" i="14"/>
  <c r="J72" i="14" s="1"/>
  <c r="K78" i="14"/>
  <c r="L78" i="14" s="1"/>
  <c r="K79" i="14"/>
  <c r="L79" i="14" s="1"/>
  <c r="K96" i="14"/>
  <c r="I79" i="14"/>
  <c r="J79" i="14" s="1"/>
  <c r="I78" i="14"/>
  <c r="J78" i="14" s="1"/>
  <c r="H78" i="14"/>
  <c r="G80" i="14"/>
  <c r="H80" i="14" s="1"/>
  <c r="J96" i="14"/>
  <c r="K74" i="14"/>
  <c r="L74" i="14" s="1"/>
  <c r="K72" i="14"/>
  <c r="L72" i="14" s="1"/>
  <c r="K73" i="14"/>
  <c r="L73" i="14" s="1"/>
  <c r="G74" i="14"/>
  <c r="H74" i="14" s="1"/>
  <c r="G73" i="14"/>
  <c r="H73" i="14" s="1"/>
  <c r="G72" i="14"/>
  <c r="H72" i="14" s="1"/>
  <c r="E123" i="14"/>
  <c r="H268" i="11" s="1"/>
  <c r="L86" i="14"/>
  <c r="K86" i="14"/>
  <c r="L96" i="14"/>
  <c r="I96" i="14"/>
  <c r="K88" i="14"/>
  <c r="I88" i="14"/>
  <c r="H96" i="14"/>
  <c r="G96" i="14"/>
  <c r="G94" i="14"/>
  <c r="X106" i="15" l="1"/>
  <c r="A1" i="28" s="1"/>
  <c r="G16" i="60" s="1"/>
  <c r="J86" i="14"/>
  <c r="X107" i="15"/>
  <c r="A1" i="31" s="1"/>
  <c r="G17" i="60" s="1"/>
  <c r="W108" i="15"/>
  <c r="I86" i="14"/>
  <c r="H86" i="14"/>
  <c r="G86" i="14"/>
  <c r="G85" i="14"/>
  <c r="G93" i="14" s="1"/>
  <c r="H85" i="14"/>
  <c r="H93" i="14" s="1"/>
  <c r="I85" i="14"/>
  <c r="L85" i="14"/>
  <c r="L93" i="14" s="1"/>
  <c r="K85" i="14"/>
  <c r="K93" i="14" s="1"/>
  <c r="L94" i="14"/>
  <c r="K94" i="14"/>
  <c r="J94" i="14"/>
  <c r="I94" i="14"/>
  <c r="J85" i="14"/>
  <c r="J87" i="14" s="1"/>
  <c r="Z243" i="11"/>
  <c r="Z240" i="11"/>
  <c r="Z235" i="11"/>
  <c r="Z231" i="11"/>
  <c r="Z229" i="11"/>
  <c r="Z227" i="11"/>
  <c r="Z223" i="11"/>
  <c r="Z222" i="11"/>
  <c r="Z218" i="11"/>
  <c r="Z217" i="11"/>
  <c r="Z216" i="11"/>
  <c r="Z212" i="11"/>
  <c r="Z208" i="11"/>
  <c r="Z207" i="11"/>
  <c r="Z204" i="11"/>
  <c r="Z203" i="11"/>
  <c r="Z201" i="11"/>
  <c r="Z200" i="11"/>
  <c r="Z193" i="11"/>
  <c r="Z190" i="11"/>
  <c r="Z188" i="11"/>
  <c r="Z185" i="11"/>
  <c r="Z184" i="11"/>
  <c r="Z179" i="11"/>
  <c r="Z178" i="11"/>
  <c r="Z176" i="11"/>
  <c r="Z173" i="11"/>
  <c r="Z170" i="11"/>
  <c r="Z167" i="11"/>
  <c r="Z157" i="11"/>
  <c r="Z154" i="11"/>
  <c r="Z150" i="11"/>
  <c r="I150" i="11" s="1"/>
  <c r="Z145" i="11"/>
  <c r="I145" i="11" s="1"/>
  <c r="Z144" i="11"/>
  <c r="I144" i="11" s="1"/>
  <c r="Z143" i="11"/>
  <c r="I143" i="11" s="1"/>
  <c r="Z133" i="11"/>
  <c r="I133" i="11" s="1"/>
  <c r="Z128" i="11"/>
  <c r="I128" i="11" s="1"/>
  <c r="Z124" i="11"/>
  <c r="Z119" i="11"/>
  <c r="Z113" i="11"/>
  <c r="Z111" i="11"/>
  <c r="Z109" i="11"/>
  <c r="Z107" i="11"/>
  <c r="Z101" i="11"/>
  <c r="Z88" i="11"/>
  <c r="Z87" i="11"/>
  <c r="Z82" i="11"/>
  <c r="Z76" i="11"/>
  <c r="Z74" i="11"/>
  <c r="Z71" i="11"/>
  <c r="Z67" i="11"/>
  <c r="Z65" i="11"/>
  <c r="Z57" i="11"/>
  <c r="Z55" i="11"/>
  <c r="Z45" i="11"/>
  <c r="Z42" i="11"/>
  <c r="Z39" i="11"/>
  <c r="X108" i="15" l="1"/>
  <c r="A1" i="35" s="1"/>
  <c r="G18" i="60" s="1"/>
  <c r="W109" i="15"/>
  <c r="I87" i="14"/>
  <c r="I95" i="14" s="1"/>
  <c r="H87" i="14"/>
  <c r="H95" i="14" s="1"/>
  <c r="H102" i="14" s="1"/>
  <c r="G87" i="14"/>
  <c r="G95" i="14" s="1"/>
  <c r="H98" i="14" s="1"/>
  <c r="K87" i="14"/>
  <c r="K95" i="14" s="1"/>
  <c r="L98" i="14" s="1"/>
  <c r="L87" i="14"/>
  <c r="L95" i="14" s="1"/>
  <c r="L102" i="14" s="1"/>
  <c r="J95" i="14"/>
  <c r="J93" i="14"/>
  <c r="I93" i="14"/>
  <c r="Z78" i="11"/>
  <c r="I55" i="11" s="1"/>
  <c r="Z115" i="11"/>
  <c r="I82" i="11" s="1"/>
  <c r="Z127" i="11"/>
  <c r="I119" i="11" s="1"/>
  <c r="Z153" i="11"/>
  <c r="Z177" i="11"/>
  <c r="I154" i="11" s="1"/>
  <c r="Z192" i="11"/>
  <c r="I178" i="11" s="1"/>
  <c r="Z234" i="11"/>
  <c r="I193" i="11" s="1"/>
  <c r="Z244" i="11"/>
  <c r="I235" i="11" s="1"/>
  <c r="Z54" i="11"/>
  <c r="I39" i="11" s="1"/>
  <c r="X109" i="15" l="1"/>
  <c r="A1" i="45" s="1"/>
  <c r="G19" i="60" s="1"/>
  <c r="W110" i="15"/>
  <c r="I244" i="11"/>
  <c r="H101" i="14"/>
  <c r="H99" i="14"/>
  <c r="H100" i="14"/>
  <c r="H105" i="14" s="1"/>
  <c r="J102" i="14"/>
  <c r="J98" i="14"/>
  <c r="L100" i="14"/>
  <c r="L99" i="14"/>
  <c r="L101" i="14"/>
  <c r="G62" i="7"/>
  <c r="J114" i="7"/>
  <c r="J120" i="7"/>
  <c r="J119" i="7"/>
  <c r="J118" i="7"/>
  <c r="J117" i="7"/>
  <c r="J116" i="7"/>
  <c r="X173" i="8"/>
  <c r="W173" i="8"/>
  <c r="X271" i="8"/>
  <c r="W271" i="8"/>
  <c r="X268" i="8"/>
  <c r="W268" i="8"/>
  <c r="X263" i="8"/>
  <c r="W263" i="8"/>
  <c r="X260" i="8"/>
  <c r="W260" i="8"/>
  <c r="X259" i="8"/>
  <c r="W259" i="8"/>
  <c r="X258" i="8"/>
  <c r="W258" i="8"/>
  <c r="X252" i="8"/>
  <c r="W252" i="8"/>
  <c r="X250" i="8"/>
  <c r="W250" i="8"/>
  <c r="X246" i="8"/>
  <c r="W246" i="8"/>
  <c r="X245" i="8"/>
  <c r="W245" i="8"/>
  <c r="X240" i="8"/>
  <c r="W240" i="8"/>
  <c r="X238" i="8"/>
  <c r="W238" i="8"/>
  <c r="X235" i="8"/>
  <c r="W235" i="8"/>
  <c r="X233" i="8"/>
  <c r="W233" i="8"/>
  <c r="X230" i="8"/>
  <c r="W230" i="8"/>
  <c r="X228" i="8"/>
  <c r="W228" i="8"/>
  <c r="X226" i="8"/>
  <c r="W226" i="8"/>
  <c r="X223" i="8"/>
  <c r="W223" i="8"/>
  <c r="X215" i="8"/>
  <c r="W215" i="8"/>
  <c r="X213" i="8"/>
  <c r="W213" i="8"/>
  <c r="X210" i="8"/>
  <c r="W210" i="8"/>
  <c r="X208" i="8"/>
  <c r="W208" i="8"/>
  <c r="X206" i="8"/>
  <c r="W206" i="8"/>
  <c r="X205" i="8"/>
  <c r="W205" i="8"/>
  <c r="X200" i="8"/>
  <c r="W200" i="8"/>
  <c r="X199" i="8"/>
  <c r="W199" i="8"/>
  <c r="X198" i="8"/>
  <c r="X214" i="8" s="1"/>
  <c r="W198" i="8"/>
  <c r="X193" i="8"/>
  <c r="W193" i="8"/>
  <c r="X183" i="8"/>
  <c r="W183" i="8"/>
  <c r="X181" i="8"/>
  <c r="W181" i="8"/>
  <c r="X178" i="8"/>
  <c r="W178" i="8"/>
  <c r="X172" i="8"/>
  <c r="X196" i="8" s="1"/>
  <c r="W172" i="8"/>
  <c r="X166" i="8"/>
  <c r="W166" i="8"/>
  <c r="X162" i="8"/>
  <c r="W162" i="8"/>
  <c r="X161" i="8"/>
  <c r="W161" i="8"/>
  <c r="X156" i="8"/>
  <c r="W156" i="8"/>
  <c r="X149" i="8"/>
  <c r="W149" i="8"/>
  <c r="X143" i="8"/>
  <c r="X140" i="8"/>
  <c r="W140" i="8"/>
  <c r="X139" i="8"/>
  <c r="W139" i="8"/>
  <c r="X133" i="8"/>
  <c r="X141" i="8" s="1"/>
  <c r="W133" i="8"/>
  <c r="X127" i="8"/>
  <c r="W127" i="8"/>
  <c r="X126" i="8"/>
  <c r="W126" i="8"/>
  <c r="X124" i="8"/>
  <c r="W124" i="8"/>
  <c r="X123" i="8"/>
  <c r="W123" i="8"/>
  <c r="X122" i="8"/>
  <c r="W122" i="8"/>
  <c r="X119" i="8"/>
  <c r="W119" i="8"/>
  <c r="X105" i="8"/>
  <c r="W105" i="8"/>
  <c r="X93" i="8"/>
  <c r="X91" i="8"/>
  <c r="X89" i="8"/>
  <c r="X88" i="8"/>
  <c r="X85" i="8"/>
  <c r="X83" i="8"/>
  <c r="X80" i="8"/>
  <c r="X79" i="8"/>
  <c r="X77" i="8"/>
  <c r="X68" i="8"/>
  <c r="X66" i="8"/>
  <c r="X64" i="8"/>
  <c r="X63" i="8"/>
  <c r="X61" i="8"/>
  <c r="W93" i="8"/>
  <c r="W91" i="8"/>
  <c r="W89" i="8"/>
  <c r="W88" i="8"/>
  <c r="W85" i="8"/>
  <c r="W83" i="8"/>
  <c r="W80" i="8"/>
  <c r="W79" i="8"/>
  <c r="W77" i="8"/>
  <c r="W64" i="8"/>
  <c r="W68" i="8"/>
  <c r="W66" i="8"/>
  <c r="W63" i="8"/>
  <c r="I52" i="8"/>
  <c r="X110" i="15" l="1"/>
  <c r="A1" i="53"/>
  <c r="G20" i="60" s="1"/>
  <c r="X272" i="8"/>
  <c r="W111" i="15"/>
  <c r="W196" i="8"/>
  <c r="I172" i="8" s="1"/>
  <c r="W261" i="8"/>
  <c r="X261" i="8"/>
  <c r="W75" i="8"/>
  <c r="W272" i="8"/>
  <c r="I263" i="8" s="1"/>
  <c r="X129" i="8"/>
  <c r="W129" i="8"/>
  <c r="I105" i="8" s="1"/>
  <c r="W214" i="8"/>
  <c r="I198" i="8" s="1"/>
  <c r="L105" i="14"/>
  <c r="N19" i="11" s="1"/>
  <c r="F19" i="11"/>
  <c r="I35" i="11" s="1"/>
  <c r="J100" i="14"/>
  <c r="J99" i="14"/>
  <c r="J101" i="14"/>
  <c r="X75" i="8"/>
  <c r="J126" i="7"/>
  <c r="H300" i="8" s="1"/>
  <c r="H109" i="15" s="1"/>
  <c r="I160" i="8"/>
  <c r="I162" i="8"/>
  <c r="W141" i="8"/>
  <c r="I143" i="8"/>
  <c r="I156" i="8"/>
  <c r="I166" i="8"/>
  <c r="W101" i="8"/>
  <c r="X101" i="8"/>
  <c r="W112" i="15" l="1"/>
  <c r="X111" i="15"/>
  <c r="A1" i="55" s="1"/>
  <c r="G21" i="60" s="1"/>
  <c r="X112" i="15"/>
  <c r="A1" i="37" s="1"/>
  <c r="G22" i="60" s="1"/>
  <c r="W113" i="15"/>
  <c r="I61" i="8"/>
  <c r="I133" i="8"/>
  <c r="J105" i="14"/>
  <c r="H243" i="34"/>
  <c r="J55" i="11"/>
  <c r="J39" i="11"/>
  <c r="C138" i="14" s="1"/>
  <c r="I77" i="8"/>
  <c r="P19" i="8"/>
  <c r="P21" i="8" s="1"/>
  <c r="P23" i="8" s="1"/>
  <c r="N11" i="8" s="1"/>
  <c r="L19" i="8"/>
  <c r="L21" i="8" s="1"/>
  <c r="L23" i="8" s="1"/>
  <c r="J11" i="8" s="1"/>
  <c r="N10" i="8"/>
  <c r="N9" i="8"/>
  <c r="J10" i="8"/>
  <c r="J9" i="8"/>
  <c r="W114" i="15" l="1"/>
  <c r="X113" i="15"/>
  <c r="A1" i="34" s="1"/>
  <c r="G23" i="60" s="1"/>
  <c r="C146" i="14"/>
  <c r="C288" i="11" s="1"/>
  <c r="C143" i="14"/>
  <c r="C285" i="11" s="1"/>
  <c r="C145" i="14"/>
  <c r="C142" i="14"/>
  <c r="C284" i="11" s="1"/>
  <c r="C144" i="14"/>
  <c r="C286" i="11" s="1"/>
  <c r="C141" i="14"/>
  <c r="C283" i="11" s="1"/>
  <c r="D146" i="14"/>
  <c r="D288" i="11" s="1"/>
  <c r="D141" i="14"/>
  <c r="D283" i="11" s="1"/>
  <c r="D142" i="14"/>
  <c r="D284" i="11" s="1"/>
  <c r="D144" i="14"/>
  <c r="D286" i="11" s="1"/>
  <c r="D143" i="14"/>
  <c r="D285" i="11" s="1"/>
  <c r="D145" i="14"/>
  <c r="D287" i="11" s="1"/>
  <c r="C280" i="11"/>
  <c r="C109" i="14"/>
  <c r="J19" i="11"/>
  <c r="I78" i="11" s="1"/>
  <c r="D138" i="14"/>
  <c r="D280" i="11" s="1"/>
  <c r="C110" i="14"/>
  <c r="G110" i="14" s="1"/>
  <c r="H245" i="34"/>
  <c r="H247" i="34" s="1"/>
  <c r="G282" i="17"/>
  <c r="W115" i="15" l="1"/>
  <c r="W116" i="15" s="1"/>
  <c r="X114" i="15"/>
  <c r="A1" i="58"/>
  <c r="G24" i="60" s="1"/>
  <c r="I115" i="11"/>
  <c r="J193" i="11" s="1"/>
  <c r="J82" i="11"/>
  <c r="C122" i="14"/>
  <c r="G122" i="14" s="1"/>
  <c r="D280" i="17"/>
  <c r="Q280" i="17" s="1"/>
  <c r="H282" i="17"/>
  <c r="P287" i="17"/>
  <c r="J282" i="17"/>
  <c r="I282" i="17"/>
  <c r="E281" i="17"/>
  <c r="Q281" i="17" s="1"/>
  <c r="Q136" i="18"/>
  <c r="C287" i="11"/>
  <c r="K58" i="7"/>
  <c r="X115" i="15" l="1"/>
  <c r="A1" i="61" s="1"/>
  <c r="W117" i="15"/>
  <c r="X117" i="15" s="1"/>
  <c r="A1" i="49" s="1"/>
  <c r="J144" i="11"/>
  <c r="J235" i="11"/>
  <c r="G27" i="60"/>
  <c r="X116" i="15"/>
  <c r="E146" i="14"/>
  <c r="E288" i="11" s="1"/>
  <c r="E141" i="14"/>
  <c r="E283" i="11" s="1"/>
  <c r="E142" i="14"/>
  <c r="E284" i="11" s="1"/>
  <c r="E144" i="14"/>
  <c r="E286" i="11" s="1"/>
  <c r="E143" i="14"/>
  <c r="E285" i="11" s="1"/>
  <c r="E145" i="14"/>
  <c r="E287" i="11" s="1"/>
  <c r="J140" i="14"/>
  <c r="J282" i="11" s="1"/>
  <c r="J146" i="14"/>
  <c r="J288" i="11" s="1"/>
  <c r="J143" i="14"/>
  <c r="J285" i="11" s="1"/>
  <c r="J145" i="14"/>
  <c r="J287" i="11" s="1"/>
  <c r="J142" i="14"/>
  <c r="J284" i="11" s="1"/>
  <c r="J144" i="14"/>
  <c r="J286" i="11" s="1"/>
  <c r="J141" i="14"/>
  <c r="J283" i="11" s="1"/>
  <c r="P141" i="14"/>
  <c r="P283" i="11" s="1"/>
  <c r="P142" i="14"/>
  <c r="P284" i="11" s="1"/>
  <c r="P144" i="14"/>
  <c r="P286" i="11" s="1"/>
  <c r="P145" i="14"/>
  <c r="P287" i="11" s="1"/>
  <c r="P143" i="14"/>
  <c r="P285" i="11" s="1"/>
  <c r="O146" i="14"/>
  <c r="O288" i="11" s="1"/>
  <c r="O143" i="14"/>
  <c r="O285" i="11" s="1"/>
  <c r="O145" i="14"/>
  <c r="O287" i="11" s="1"/>
  <c r="O142" i="14"/>
  <c r="O284" i="11" s="1"/>
  <c r="O141" i="14"/>
  <c r="O283" i="11" s="1"/>
  <c r="P146" i="14"/>
  <c r="P288" i="11" s="1"/>
  <c r="P140" i="14"/>
  <c r="P282" i="11" s="1"/>
  <c r="C111" i="14"/>
  <c r="G111" i="14" s="1"/>
  <c r="E139" i="14"/>
  <c r="O138" i="14"/>
  <c r="O280" i="11" s="1"/>
  <c r="O140" i="14"/>
  <c r="O282" i="11" s="1"/>
  <c r="L76" i="7" a="1"/>
  <c r="L76" i="7" s="1"/>
  <c r="K79" i="7" s="1"/>
  <c r="L79" i="7" s="1"/>
  <c r="L68" i="7"/>
  <c r="K73" i="7" s="1"/>
  <c r="L73" i="7" s="1"/>
  <c r="K74" i="7"/>
  <c r="L74" i="7" s="1"/>
  <c r="K72" i="7"/>
  <c r="L72" i="7" s="1"/>
  <c r="K70" i="7"/>
  <c r="L70" i="7" s="1"/>
  <c r="J133" i="11"/>
  <c r="J154" i="11"/>
  <c r="J143" i="11"/>
  <c r="J145" i="11"/>
  <c r="J150" i="11"/>
  <c r="J178" i="11"/>
  <c r="J128" i="11"/>
  <c r="J119" i="11"/>
  <c r="F139" i="14" s="1"/>
  <c r="F281" i="11" s="1"/>
  <c r="P138" i="14"/>
  <c r="P280" i="11" s="1"/>
  <c r="E138" i="14"/>
  <c r="E280" i="11" s="1"/>
  <c r="C117" i="14"/>
  <c r="G117" i="14" s="1"/>
  <c r="C118" i="14"/>
  <c r="G118" i="14" s="1"/>
  <c r="C120" i="14"/>
  <c r="G120" i="14" s="1"/>
  <c r="J138" i="14"/>
  <c r="J280" i="11" s="1"/>
  <c r="C116" i="14"/>
  <c r="G116" i="14" s="1"/>
  <c r="H138" i="14"/>
  <c r="H280" i="11" s="1"/>
  <c r="C114" i="14"/>
  <c r="G114" i="14" s="1"/>
  <c r="C115" i="14"/>
  <c r="G115" i="14" s="1"/>
  <c r="O144" i="14"/>
  <c r="O286" i="11" s="1"/>
  <c r="C121" i="14"/>
  <c r="G121" i="14" s="1"/>
  <c r="F138" i="14"/>
  <c r="F280" i="11" s="1"/>
  <c r="C112" i="14"/>
  <c r="G112" i="14" s="1"/>
  <c r="M138" i="14"/>
  <c r="M280" i="11" s="1"/>
  <c r="F282" i="17"/>
  <c r="Q282" i="17" s="1"/>
  <c r="Q137" i="18"/>
  <c r="O287" i="17"/>
  <c r="Q287" i="17" s="1"/>
  <c r="Q142" i="18"/>
  <c r="K283" i="17"/>
  <c r="Q283" i="17" s="1"/>
  <c r="Q138" i="18"/>
  <c r="L284" i="17"/>
  <c r="Q284" i="17" s="1"/>
  <c r="Q139" i="18"/>
  <c r="M285" i="17"/>
  <c r="Q285" i="17" s="1"/>
  <c r="Q140" i="18"/>
  <c r="N286" i="17"/>
  <c r="Q286" i="17" s="1"/>
  <c r="Q141" i="18"/>
  <c r="G26" i="60" l="1"/>
  <c r="A1" i="40"/>
  <c r="G25" i="60" s="1"/>
  <c r="G146" i="14"/>
  <c r="G288" i="11" s="1"/>
  <c r="G143" i="14"/>
  <c r="G285" i="11" s="1"/>
  <c r="G145" i="14"/>
  <c r="G287" i="11" s="1"/>
  <c r="G142" i="14"/>
  <c r="G284" i="11" s="1"/>
  <c r="G141" i="14"/>
  <c r="G283" i="11" s="1"/>
  <c r="G144" i="14"/>
  <c r="G286" i="11" s="1"/>
  <c r="L146" i="14"/>
  <c r="L288" i="11" s="1"/>
  <c r="L141" i="14"/>
  <c r="L283" i="11" s="1"/>
  <c r="L142" i="14"/>
  <c r="L284" i="11" s="1"/>
  <c r="L144" i="14"/>
  <c r="L286" i="11" s="1"/>
  <c r="L143" i="14"/>
  <c r="L285" i="11" s="1"/>
  <c r="L145" i="14"/>
  <c r="L287" i="11" s="1"/>
  <c r="I146" i="14"/>
  <c r="I288" i="11" s="1"/>
  <c r="I141" i="14"/>
  <c r="I283" i="11" s="1"/>
  <c r="I142" i="14"/>
  <c r="I284" i="11" s="1"/>
  <c r="I144" i="14"/>
  <c r="I286" i="11" s="1"/>
  <c r="I143" i="14"/>
  <c r="I285" i="11" s="1"/>
  <c r="I145" i="14"/>
  <c r="I287" i="11" s="1"/>
  <c r="H140" i="14"/>
  <c r="H282" i="11" s="1"/>
  <c r="H146" i="14"/>
  <c r="H288" i="11" s="1"/>
  <c r="H141" i="14"/>
  <c r="H283" i="11" s="1"/>
  <c r="H142" i="14"/>
  <c r="H284" i="11" s="1"/>
  <c r="H144" i="14"/>
  <c r="H286" i="11" s="1"/>
  <c r="H143" i="14"/>
  <c r="H285" i="11" s="1"/>
  <c r="H145" i="14"/>
  <c r="H287" i="11" s="1"/>
  <c r="F140" i="14"/>
  <c r="F282" i="11" s="1"/>
  <c r="F146" i="14"/>
  <c r="F288" i="11" s="1"/>
  <c r="F143" i="14"/>
  <c r="F145" i="14"/>
  <c r="F142" i="14"/>
  <c r="F141" i="14"/>
  <c r="F144" i="14"/>
  <c r="F286" i="11" s="1"/>
  <c r="N140" i="14"/>
  <c r="N282" i="11" s="1"/>
  <c r="N146" i="14"/>
  <c r="N288" i="11" s="1"/>
  <c r="N143" i="14"/>
  <c r="N285" i="11" s="1"/>
  <c r="N145" i="14"/>
  <c r="N287" i="11" s="1"/>
  <c r="N144" i="14"/>
  <c r="N286" i="11" s="1"/>
  <c r="N141" i="14"/>
  <c r="N283" i="11" s="1"/>
  <c r="N142" i="14"/>
  <c r="N284" i="11" s="1"/>
  <c r="K146" i="14"/>
  <c r="K288" i="11" s="1"/>
  <c r="K143" i="14"/>
  <c r="K285" i="11" s="1"/>
  <c r="K145" i="14"/>
  <c r="K287" i="11" s="1"/>
  <c r="K142" i="14"/>
  <c r="K284" i="11" s="1"/>
  <c r="K144" i="14"/>
  <c r="K286" i="11" s="1"/>
  <c r="K141" i="14"/>
  <c r="K283" i="11" s="1"/>
  <c r="M146" i="14"/>
  <c r="M288" i="11" s="1"/>
  <c r="M141" i="14"/>
  <c r="M283" i="11" s="1"/>
  <c r="M142" i="14"/>
  <c r="M284" i="11" s="1"/>
  <c r="M144" i="14"/>
  <c r="M286" i="11" s="1"/>
  <c r="M143" i="14"/>
  <c r="M285" i="11" s="1"/>
  <c r="M145" i="14"/>
  <c r="M287" i="11" s="1"/>
  <c r="C113" i="14"/>
  <c r="G113" i="14" s="1"/>
  <c r="G140" i="14"/>
  <c r="L138" i="14"/>
  <c r="L280" i="11" s="1"/>
  <c r="L140" i="14"/>
  <c r="L282" i="11" s="1"/>
  <c r="K138" i="14"/>
  <c r="K280" i="11" s="1"/>
  <c r="K140" i="14"/>
  <c r="K282" i="11" s="1"/>
  <c r="I138" i="14"/>
  <c r="I280" i="11" s="1"/>
  <c r="I140" i="14"/>
  <c r="I282" i="11" s="1"/>
  <c r="C119" i="14"/>
  <c r="G119" i="14" s="1"/>
  <c r="M140" i="14"/>
  <c r="M282" i="11" s="1"/>
  <c r="E281" i="11"/>
  <c r="Q281" i="11" s="1"/>
  <c r="Q139" i="14"/>
  <c r="K82" i="7"/>
  <c r="L82" i="7" s="1"/>
  <c r="K78" i="7"/>
  <c r="L78" i="7" s="1"/>
  <c r="K80" i="7"/>
  <c r="L80" i="7" s="1"/>
  <c r="K71" i="7"/>
  <c r="L71" i="7" s="1"/>
  <c r="K81" i="7"/>
  <c r="L81" i="7" s="1"/>
  <c r="J244" i="11"/>
  <c r="H249" i="11" s="1"/>
  <c r="N138" i="14"/>
  <c r="N280" i="11" s="1"/>
  <c r="G138" i="14"/>
  <c r="G280" i="11" s="1"/>
  <c r="G109" i="14"/>
  <c r="Q144" i="18"/>
  <c r="L99" i="7"/>
  <c r="K99" i="7"/>
  <c r="K90" i="7"/>
  <c r="L97" i="7" s="1"/>
  <c r="H251" i="11" l="1"/>
  <c r="C123" i="14"/>
  <c r="H264" i="11" s="1"/>
  <c r="Q144" i="14"/>
  <c r="Q286" i="11"/>
  <c r="F283" i="11"/>
  <c r="Q283" i="11" s="1"/>
  <c r="Q141" i="14"/>
  <c r="F287" i="11"/>
  <c r="Q287" i="11" s="1"/>
  <c r="Q145" i="14"/>
  <c r="Q146" i="14"/>
  <c r="F284" i="11"/>
  <c r="Q142" i="14"/>
  <c r="F285" i="11"/>
  <c r="Q285" i="11" s="1"/>
  <c r="Q143" i="14"/>
  <c r="Q284" i="11"/>
  <c r="G123" i="14"/>
  <c r="G282" i="11"/>
  <c r="Q282" i="11" s="1"/>
  <c r="Q140" i="14"/>
  <c r="C127" i="14"/>
  <c r="C129" i="14" s="1"/>
  <c r="C133" i="14" s="1"/>
  <c r="E135" i="14" s="1"/>
  <c r="Q280" i="11"/>
  <c r="Q138" i="14"/>
  <c r="K251" i="11"/>
  <c r="H266" i="17"/>
  <c r="H255" i="11"/>
  <c r="H257" i="11" s="1"/>
  <c r="H259" i="11" s="1"/>
  <c r="K97" i="7"/>
  <c r="L11" i="60" l="1"/>
  <c r="P11" i="60" s="1"/>
  <c r="H270" i="17"/>
  <c r="H272" i="17" s="1"/>
  <c r="H274" i="17" s="1"/>
  <c r="H266" i="11"/>
  <c r="C125" i="14"/>
  <c r="Q147" i="14"/>
  <c r="F36" i="8"/>
  <c r="H270" i="11" l="1"/>
  <c r="H272" i="11" s="1"/>
  <c r="H274" i="11" s="1"/>
  <c r="I58" i="7"/>
  <c r="J76" i="7" s="1" a="1"/>
  <c r="J76" i="7" s="1"/>
  <c r="I80" i="7" l="1"/>
  <c r="J80" i="7" s="1"/>
  <c r="J68" i="7"/>
  <c r="I72" i="7" s="1"/>
  <c r="J72" i="7" s="1"/>
  <c r="I82" i="7"/>
  <c r="J82" i="7" s="1"/>
  <c r="I78" i="7"/>
  <c r="J78" i="7" s="1"/>
  <c r="I81" i="7"/>
  <c r="J81" i="7" s="1"/>
  <c r="I79" i="7"/>
  <c r="J79" i="7" s="1"/>
  <c r="G63" i="7"/>
  <c r="I71" i="7" l="1"/>
  <c r="J71" i="7" s="1"/>
  <c r="I73" i="7"/>
  <c r="J73" i="7" s="1"/>
  <c r="I70" i="7"/>
  <c r="J70" i="7" s="1"/>
  <c r="J87" i="7" s="1"/>
  <c r="J96" i="7" s="1"/>
  <c r="I74" i="7"/>
  <c r="J74" i="7" s="1"/>
  <c r="I90" i="7"/>
  <c r="J97" i="7" s="1"/>
  <c r="I99" i="7"/>
  <c r="J99" i="7"/>
  <c r="J90" i="7"/>
  <c r="L88" i="7"/>
  <c r="J88" i="7"/>
  <c r="I87" i="7"/>
  <c r="I96" i="7" s="1"/>
  <c r="L90" i="7"/>
  <c r="L87" i="7"/>
  <c r="L96" i="7" s="1"/>
  <c r="H90" i="7"/>
  <c r="K88" i="7"/>
  <c r="K87" i="7"/>
  <c r="K96" i="7" s="1"/>
  <c r="I88" i="7"/>
  <c r="I97" i="7" l="1"/>
  <c r="I89" i="7"/>
  <c r="I98" i="7" s="1"/>
  <c r="J101" i="7" s="1"/>
  <c r="J89" i="7"/>
  <c r="J98" i="7" s="1"/>
  <c r="J105" i="7" s="1"/>
  <c r="L89" i="7"/>
  <c r="L98" i="7" s="1"/>
  <c r="L105" i="7" s="1"/>
  <c r="G108" i="7"/>
  <c r="J108" i="7" l="1"/>
  <c r="J32" i="8" s="1"/>
  <c r="J104" i="7"/>
  <c r="J102" i="7"/>
  <c r="J103" i="7"/>
  <c r="G90" i="7" l="1"/>
  <c r="G97" i="7" s="1"/>
  <c r="H99" i="7"/>
  <c r="G99" i="7"/>
  <c r="G87" i="7" l="1"/>
  <c r="G96" i="7" s="1"/>
  <c r="H97" i="7"/>
  <c r="G88" i="7"/>
  <c r="G89" i="7" s="1"/>
  <c r="K89" i="7"/>
  <c r="K98" i="7" s="1"/>
  <c r="L101" i="7" s="1"/>
  <c r="L108" i="7" s="1"/>
  <c r="N32" i="8" s="1"/>
  <c r="H87" i="7"/>
  <c r="H96" i="7" s="1"/>
  <c r="H88" i="7" l="1"/>
  <c r="H89" i="7" s="1"/>
  <c r="H98" i="7" s="1"/>
  <c r="H105" i="7" s="1"/>
  <c r="G98" i="7"/>
  <c r="H101" i="7" s="1"/>
  <c r="H108" i="7" s="1"/>
  <c r="L103" i="7"/>
  <c r="L102" i="7"/>
  <c r="L104" i="7"/>
  <c r="F32" i="8" l="1"/>
  <c r="H104" i="7"/>
  <c r="H102" i="7"/>
  <c r="H103" i="7"/>
  <c r="R32" i="8" l="1"/>
  <c r="I57" i="8" l="1"/>
  <c r="J77" i="8" s="1"/>
  <c r="D160" i="7" l="1"/>
  <c r="D161" i="7"/>
  <c r="D164" i="7"/>
  <c r="D159" i="7"/>
  <c r="D151" i="7"/>
  <c r="D148" i="7"/>
  <c r="D147" i="7"/>
  <c r="D146" i="7"/>
  <c r="D163" i="7"/>
  <c r="D162" i="7"/>
  <c r="D149" i="7"/>
  <c r="D150" i="7"/>
  <c r="D139" i="7"/>
  <c r="D320" i="8" s="1"/>
  <c r="D135" i="7"/>
  <c r="D316" i="8" s="1"/>
  <c r="D137" i="7"/>
  <c r="D318" i="8" s="1"/>
  <c r="D134" i="7"/>
  <c r="D315" i="8" s="1"/>
  <c r="D136" i="7"/>
  <c r="D317" i="8" s="1"/>
  <c r="D138" i="7"/>
  <c r="D319" i="8" s="1"/>
  <c r="M113" i="7"/>
  <c r="H113" i="7"/>
  <c r="D156" i="7"/>
  <c r="D143" i="7"/>
  <c r="D131" i="7"/>
  <c r="L113" i="7"/>
  <c r="I101" i="8"/>
  <c r="I129" i="8" s="1"/>
  <c r="J61" i="8"/>
  <c r="C314" i="8"/>
  <c r="C148" i="7" l="1"/>
  <c r="C164" i="7"/>
  <c r="C147" i="7"/>
  <c r="C151" i="7"/>
  <c r="C161" i="7"/>
  <c r="C160" i="7"/>
  <c r="C150" i="7"/>
  <c r="C162" i="7"/>
  <c r="C146" i="7"/>
  <c r="C149" i="7"/>
  <c r="C159" i="7"/>
  <c r="C163" i="7"/>
  <c r="C139" i="7"/>
  <c r="C135" i="7"/>
  <c r="C316" i="8" s="1"/>
  <c r="C137" i="7"/>
  <c r="C318" i="8" s="1"/>
  <c r="C134" i="7"/>
  <c r="C315" i="8" s="1"/>
  <c r="C138" i="7"/>
  <c r="C319" i="8" s="1"/>
  <c r="C136" i="7"/>
  <c r="C317" i="8" s="1"/>
  <c r="W76" i="8"/>
  <c r="L112" i="7"/>
  <c r="W60" i="8"/>
  <c r="L122" i="7"/>
  <c r="D157" i="7"/>
  <c r="C156" i="7"/>
  <c r="M112" i="7"/>
  <c r="H112" i="7"/>
  <c r="D144" i="7"/>
  <c r="C143" i="7"/>
  <c r="D132" i="7"/>
  <c r="D313" i="8" s="1"/>
  <c r="C131" i="7"/>
  <c r="C312" i="8" s="1"/>
  <c r="J105" i="8"/>
  <c r="L114" i="7"/>
  <c r="C320" i="8"/>
  <c r="D312" i="8"/>
  <c r="Q254" i="34"/>
  <c r="E163" i="7" l="1"/>
  <c r="E162" i="7"/>
  <c r="E159" i="7"/>
  <c r="E150" i="7"/>
  <c r="E149" i="7"/>
  <c r="E147" i="7"/>
  <c r="E146" i="7"/>
  <c r="E161" i="7"/>
  <c r="E160" i="7"/>
  <c r="E164" i="7"/>
  <c r="E151" i="7"/>
  <c r="E148" i="7"/>
  <c r="E139" i="7"/>
  <c r="E320" i="8" s="1"/>
  <c r="E136" i="7"/>
  <c r="E317" i="8" s="1"/>
  <c r="E135" i="7"/>
  <c r="E316" i="8" s="1"/>
  <c r="E137" i="7"/>
  <c r="E318" i="8" s="1"/>
  <c r="E134" i="7"/>
  <c r="E315" i="8" s="1"/>
  <c r="E138" i="7"/>
  <c r="E319" i="8" s="1"/>
  <c r="E144" i="7"/>
  <c r="E157" i="7"/>
  <c r="E132" i="7"/>
  <c r="W170" i="8"/>
  <c r="V170" i="8" s="1"/>
  <c r="W160" i="8"/>
  <c r="V160" i="8" s="1"/>
  <c r="L121" i="7"/>
  <c r="W148" i="8"/>
  <c r="V148" i="8" s="1"/>
  <c r="W262" i="8"/>
  <c r="L118" i="7"/>
  <c r="W132" i="8"/>
  <c r="W165" i="8"/>
  <c r="V165" i="8" s="1"/>
  <c r="L117" i="7"/>
  <c r="L125" i="7"/>
  <c r="L124" i="7"/>
  <c r="L115" i="7"/>
  <c r="W159" i="8"/>
  <c r="V159" i="8" s="1"/>
  <c r="W155" i="8"/>
  <c r="V155" i="8" s="1"/>
  <c r="W171" i="8"/>
  <c r="W197" i="8"/>
  <c r="L119" i="7"/>
  <c r="L123" i="7"/>
  <c r="L116" i="7"/>
  <c r="L120" i="7"/>
  <c r="E158" i="7"/>
  <c r="E145" i="7"/>
  <c r="E133" i="7"/>
  <c r="E314" i="8" s="1"/>
  <c r="M114" i="7"/>
  <c r="H114" i="7"/>
  <c r="E143" i="7"/>
  <c r="E156" i="7"/>
  <c r="E131" i="7"/>
  <c r="E312" i="8" s="1"/>
  <c r="W104" i="8"/>
  <c r="J149" i="8"/>
  <c r="J143" i="8"/>
  <c r="Q253" i="34"/>
  <c r="J162" i="8"/>
  <c r="J166" i="8"/>
  <c r="J172" i="8"/>
  <c r="J198" i="8"/>
  <c r="J133" i="8"/>
  <c r="J156" i="8"/>
  <c r="J160" i="8"/>
  <c r="J263" i="8"/>
  <c r="J162" i="7" l="1"/>
  <c r="J163" i="7"/>
  <c r="J159" i="7"/>
  <c r="J150" i="7"/>
  <c r="J149" i="7"/>
  <c r="J146" i="7"/>
  <c r="J161" i="7"/>
  <c r="J164" i="7"/>
  <c r="J151" i="7"/>
  <c r="J148" i="7"/>
  <c r="J139" i="7"/>
  <c r="J320" i="8" s="1"/>
  <c r="J138" i="7"/>
  <c r="J319" i="8" s="1"/>
  <c r="J137" i="7"/>
  <c r="J318" i="8" s="1"/>
  <c r="J134" i="7"/>
  <c r="J136" i="7"/>
  <c r="J317" i="8" s="1"/>
  <c r="M163" i="7"/>
  <c r="M160" i="7"/>
  <c r="M159" i="7"/>
  <c r="M162" i="7"/>
  <c r="M150" i="7"/>
  <c r="M149" i="7"/>
  <c r="M146" i="7"/>
  <c r="M164" i="7"/>
  <c r="M151" i="7"/>
  <c r="M147" i="7"/>
  <c r="M139" i="7"/>
  <c r="M320" i="8" s="1"/>
  <c r="M135" i="7"/>
  <c r="M134" i="7"/>
  <c r="M137" i="7"/>
  <c r="M318" i="8" s="1"/>
  <c r="M138" i="7"/>
  <c r="M319" i="8" s="1"/>
  <c r="K161" i="7"/>
  <c r="K164" i="7"/>
  <c r="K151" i="7"/>
  <c r="K148" i="7"/>
  <c r="K163" i="7"/>
  <c r="K159" i="7"/>
  <c r="K162" i="7"/>
  <c r="K149" i="7"/>
  <c r="K146" i="7"/>
  <c r="K150" i="7"/>
  <c r="K139" i="7"/>
  <c r="K320" i="8" s="1"/>
  <c r="K137" i="7"/>
  <c r="K318" i="8" s="1"/>
  <c r="K138" i="7"/>
  <c r="K319" i="8" s="1"/>
  <c r="K134" i="7"/>
  <c r="K136" i="7"/>
  <c r="K317" i="8" s="1"/>
  <c r="P161" i="7"/>
  <c r="P160" i="7"/>
  <c r="P149" i="7"/>
  <c r="P148" i="7"/>
  <c r="P162" i="7"/>
  <c r="P159" i="7"/>
  <c r="P163" i="7"/>
  <c r="P150" i="7"/>
  <c r="P147" i="7"/>
  <c r="P146" i="7"/>
  <c r="P137" i="7"/>
  <c r="P134" i="7"/>
  <c r="P138" i="7"/>
  <c r="P319" i="8" s="1"/>
  <c r="P135" i="7"/>
  <c r="P136" i="7"/>
  <c r="I163" i="7"/>
  <c r="I159" i="7"/>
  <c r="I162" i="7"/>
  <c r="I150" i="7"/>
  <c r="I149" i="7"/>
  <c r="I146" i="7"/>
  <c r="I164" i="7"/>
  <c r="I161" i="7"/>
  <c r="I151" i="7"/>
  <c r="I148" i="7"/>
  <c r="I139" i="7"/>
  <c r="I320" i="8" s="1"/>
  <c r="I134" i="7"/>
  <c r="I136" i="7"/>
  <c r="I317" i="8" s="1"/>
  <c r="I137" i="7"/>
  <c r="I318" i="8" s="1"/>
  <c r="I138" i="7"/>
  <c r="I319" i="8" s="1"/>
  <c r="N163" i="7"/>
  <c r="N159" i="7"/>
  <c r="N150" i="7"/>
  <c r="N147" i="7"/>
  <c r="N146" i="7"/>
  <c r="N160" i="7"/>
  <c r="N151" i="7"/>
  <c r="N164" i="7"/>
  <c r="N161" i="7"/>
  <c r="N148" i="7"/>
  <c r="N139" i="7"/>
  <c r="N320" i="8" s="1"/>
  <c r="N135" i="7"/>
  <c r="N136" i="7"/>
  <c r="N138" i="7"/>
  <c r="N319" i="8" s="1"/>
  <c r="N134" i="7"/>
  <c r="L164" i="7"/>
  <c r="L161" i="7"/>
  <c r="L151" i="7"/>
  <c r="L148" i="7"/>
  <c r="L162" i="7"/>
  <c r="L163" i="7"/>
  <c r="L159" i="7"/>
  <c r="L149" i="7"/>
  <c r="L150" i="7"/>
  <c r="L146" i="7"/>
  <c r="L139" i="7"/>
  <c r="L320" i="8" s="1"/>
  <c r="L137" i="7"/>
  <c r="L318" i="8" s="1"/>
  <c r="L134" i="7"/>
  <c r="L136" i="7"/>
  <c r="L317" i="8" s="1"/>
  <c r="L138" i="7"/>
  <c r="L319" i="8" s="1"/>
  <c r="H164" i="7"/>
  <c r="H161" i="7"/>
  <c r="H151" i="7"/>
  <c r="H148" i="7"/>
  <c r="H163" i="7"/>
  <c r="H159" i="7"/>
  <c r="H162" i="7"/>
  <c r="H150" i="7"/>
  <c r="H146" i="7"/>
  <c r="H149" i="7"/>
  <c r="H139" i="7"/>
  <c r="H320" i="8" s="1"/>
  <c r="H137" i="7"/>
  <c r="H318" i="8" s="1"/>
  <c r="H134" i="7"/>
  <c r="H136" i="7"/>
  <c r="H317" i="8" s="1"/>
  <c r="H138" i="7"/>
  <c r="H319" i="8" s="1"/>
  <c r="F162" i="7"/>
  <c r="F163" i="7"/>
  <c r="F160" i="7"/>
  <c r="F150" i="7"/>
  <c r="F149" i="7"/>
  <c r="F151" i="7"/>
  <c r="F164" i="7"/>
  <c r="F161" i="7"/>
  <c r="F148" i="7"/>
  <c r="F147" i="7"/>
  <c r="F139" i="7"/>
  <c r="F320" i="8" s="1"/>
  <c r="F138" i="7"/>
  <c r="F319" i="8" s="1"/>
  <c r="F135" i="7"/>
  <c r="F316" i="8" s="1"/>
  <c r="F137" i="7"/>
  <c r="F318" i="8" s="1"/>
  <c r="F136" i="7"/>
  <c r="F317" i="8" s="1"/>
  <c r="G161" i="7"/>
  <c r="G164" i="7"/>
  <c r="G151" i="7"/>
  <c r="G148" i="7"/>
  <c r="G162" i="7"/>
  <c r="G163" i="7"/>
  <c r="G159" i="7"/>
  <c r="G150" i="7"/>
  <c r="G146" i="7"/>
  <c r="G149" i="7"/>
  <c r="G139" i="7"/>
  <c r="G320" i="8" s="1"/>
  <c r="G137" i="7"/>
  <c r="G318" i="8" s="1"/>
  <c r="G138" i="7"/>
  <c r="G319" i="8" s="1"/>
  <c r="G134" i="7"/>
  <c r="G136" i="7"/>
  <c r="G317" i="8" s="1"/>
  <c r="H157" i="7"/>
  <c r="H144" i="7"/>
  <c r="H132" i="7"/>
  <c r="H313" i="8" s="1"/>
  <c r="P157" i="7"/>
  <c r="P144" i="7"/>
  <c r="P132" i="7"/>
  <c r="P313" i="8" s="1"/>
  <c r="I157" i="7"/>
  <c r="I144" i="7"/>
  <c r="I132" i="7"/>
  <c r="I313" i="8" s="1"/>
  <c r="N144" i="7"/>
  <c r="N157" i="7"/>
  <c r="N132" i="7"/>
  <c r="N313" i="8" s="1"/>
  <c r="L157" i="7"/>
  <c r="L144" i="7"/>
  <c r="L132" i="7"/>
  <c r="L313" i="8" s="1"/>
  <c r="J144" i="7"/>
  <c r="J157" i="7"/>
  <c r="J132" i="7"/>
  <c r="J313" i="8" s="1"/>
  <c r="F144" i="7"/>
  <c r="F157" i="7"/>
  <c r="F132" i="7"/>
  <c r="F313" i="8" s="1"/>
  <c r="M144" i="7"/>
  <c r="M157" i="7"/>
  <c r="M132" i="7"/>
  <c r="M313" i="8" s="1"/>
  <c r="K157" i="7"/>
  <c r="K144" i="7"/>
  <c r="K132" i="7"/>
  <c r="K313" i="8" s="1"/>
  <c r="G157" i="7"/>
  <c r="G144" i="7"/>
  <c r="G132" i="7"/>
  <c r="G313" i="8" s="1"/>
  <c r="I158" i="7"/>
  <c r="I145" i="7"/>
  <c r="I133" i="7"/>
  <c r="I314" i="8" s="1"/>
  <c r="H145" i="7"/>
  <c r="H158" i="7"/>
  <c r="H133" i="7"/>
  <c r="H314" i="8" s="1"/>
  <c r="P145" i="7"/>
  <c r="P158" i="7"/>
  <c r="P133" i="7"/>
  <c r="P314" i="8" s="1"/>
  <c r="N158" i="7"/>
  <c r="N145" i="7"/>
  <c r="N133" i="7"/>
  <c r="L145" i="7"/>
  <c r="L158" i="7"/>
  <c r="L133" i="7"/>
  <c r="J158" i="7"/>
  <c r="J145" i="7"/>
  <c r="J133" i="7"/>
  <c r="J314" i="8" s="1"/>
  <c r="F158" i="7"/>
  <c r="F145" i="7"/>
  <c r="F133" i="7"/>
  <c r="F314" i="8" s="1"/>
  <c r="M158" i="7"/>
  <c r="M145" i="7"/>
  <c r="M133" i="7"/>
  <c r="K145" i="7"/>
  <c r="K158" i="7"/>
  <c r="K133" i="7"/>
  <c r="K314" i="8" s="1"/>
  <c r="G145" i="7"/>
  <c r="G158" i="7"/>
  <c r="G133" i="7"/>
  <c r="G314" i="8" s="1"/>
  <c r="V273" i="8"/>
  <c r="S93" i="15" s="1"/>
  <c r="L156" i="7"/>
  <c r="L143" i="7"/>
  <c r="L131" i="7"/>
  <c r="H156" i="7"/>
  <c r="H143" i="7"/>
  <c r="H131" i="7"/>
  <c r="H312" i="8" s="1"/>
  <c r="I156" i="7"/>
  <c r="I143" i="7"/>
  <c r="I131" i="7"/>
  <c r="I312" i="8" s="1"/>
  <c r="N156" i="7"/>
  <c r="N143" i="7"/>
  <c r="N131" i="7"/>
  <c r="J143" i="7"/>
  <c r="J156" i="7"/>
  <c r="J131" i="7"/>
  <c r="J312" i="8" s="1"/>
  <c r="M156" i="7"/>
  <c r="M143" i="7"/>
  <c r="M131" i="7"/>
  <c r="M312" i="8" s="1"/>
  <c r="K156" i="7"/>
  <c r="K143" i="7"/>
  <c r="K131" i="7"/>
  <c r="K312" i="8" s="1"/>
  <c r="G156" i="7"/>
  <c r="G143" i="7"/>
  <c r="G131" i="7"/>
  <c r="G312" i="8" s="1"/>
  <c r="P143" i="7"/>
  <c r="P156" i="7"/>
  <c r="P131" i="7"/>
  <c r="F143" i="7"/>
  <c r="F156" i="7"/>
  <c r="F131" i="7"/>
  <c r="F134" i="7"/>
  <c r="F315" i="8" s="1"/>
  <c r="L126" i="7"/>
  <c r="H125" i="7"/>
  <c r="M125" i="7"/>
  <c r="M118" i="7"/>
  <c r="H118" i="7"/>
  <c r="N162" i="7"/>
  <c r="H123" i="7"/>
  <c r="M123" i="7"/>
  <c r="H121" i="7"/>
  <c r="M121" i="7"/>
  <c r="M116" i="7"/>
  <c r="H116" i="7"/>
  <c r="H119" i="7"/>
  <c r="M119" i="7"/>
  <c r="M115" i="7"/>
  <c r="M122" i="7"/>
  <c r="H122" i="7"/>
  <c r="M120" i="7"/>
  <c r="H120" i="7"/>
  <c r="M117" i="7"/>
  <c r="H117" i="7"/>
  <c r="P164" i="7"/>
  <c r="L160" i="7"/>
  <c r="G160" i="7"/>
  <c r="J160" i="7"/>
  <c r="F146" i="7"/>
  <c r="F159" i="7"/>
  <c r="M161" i="7"/>
  <c r="K160" i="7"/>
  <c r="H160" i="7"/>
  <c r="I160" i="7"/>
  <c r="G147" i="7"/>
  <c r="J147" i="7"/>
  <c r="I147" i="7"/>
  <c r="L147" i="7"/>
  <c r="P139" i="7"/>
  <c r="N137" i="7"/>
  <c r="K147" i="7"/>
  <c r="N149" i="7"/>
  <c r="M148" i="7"/>
  <c r="P151" i="7"/>
  <c r="H147" i="7"/>
  <c r="I135" i="7"/>
  <c r="I316" i="8" s="1"/>
  <c r="L135" i="7"/>
  <c r="L316" i="8" s="1"/>
  <c r="G135" i="7"/>
  <c r="G316" i="8" s="1"/>
  <c r="J135" i="7"/>
  <c r="J316" i="8" s="1"/>
  <c r="K135" i="7"/>
  <c r="K316" i="8" s="1"/>
  <c r="H135" i="7"/>
  <c r="H316" i="8" s="1"/>
  <c r="M136" i="7"/>
  <c r="M317" i="8" s="1"/>
  <c r="N317" i="8"/>
  <c r="N318" i="8"/>
  <c r="I315" i="8"/>
  <c r="H315" i="8"/>
  <c r="K315" i="8"/>
  <c r="G315" i="8"/>
  <c r="J315" i="8"/>
  <c r="M316" i="8"/>
  <c r="L312" i="8"/>
  <c r="L315" i="8"/>
  <c r="P312" i="8"/>
  <c r="N312" i="8"/>
  <c r="N316" i="8"/>
  <c r="L314" i="8"/>
  <c r="E313" i="8"/>
  <c r="Q260" i="34"/>
  <c r="Q258" i="34"/>
  <c r="T93" i="15" l="1"/>
  <c r="S92" i="15" s="1"/>
  <c r="S94" i="15"/>
  <c r="P320" i="8"/>
  <c r="F312" i="8"/>
  <c r="P318" i="8"/>
  <c r="N314" i="8"/>
  <c r="M314" i="8"/>
  <c r="N315" i="8"/>
  <c r="Q257" i="34"/>
  <c r="Q259" i="34"/>
  <c r="Q256" i="34"/>
  <c r="Q255" i="34"/>
  <c r="M315" i="8"/>
  <c r="P316" i="8"/>
  <c r="P317" i="8"/>
  <c r="P315" i="8"/>
  <c r="S86" i="15" l="1"/>
  <c r="O7" i="15"/>
  <c r="B15" i="15" s="1"/>
  <c r="S89" i="15"/>
  <c r="B9" i="15" l="1"/>
  <c r="B8" i="15"/>
  <c r="B7" i="15"/>
  <c r="I215" i="8" l="1"/>
  <c r="I272" i="8" s="1"/>
  <c r="J215" i="8" l="1"/>
  <c r="O162" i="7" l="1"/>
  <c r="Q162" i="7" s="1"/>
  <c r="O164" i="7"/>
  <c r="Q164" i="7" s="1"/>
  <c r="O151" i="7"/>
  <c r="Q151" i="7" s="1"/>
  <c r="O147" i="7"/>
  <c r="Q147" i="7" s="1"/>
  <c r="O161" i="7"/>
  <c r="Q161" i="7" s="1"/>
  <c r="O160" i="7"/>
  <c r="Q160" i="7" s="1"/>
  <c r="O159" i="7"/>
  <c r="Q159" i="7" s="1"/>
  <c r="O148" i="7"/>
  <c r="Q148" i="7" s="1"/>
  <c r="O146" i="7"/>
  <c r="Q146" i="7" s="1"/>
  <c r="O149" i="7"/>
  <c r="Q149" i="7" s="1"/>
  <c r="O139" i="7"/>
  <c r="O135" i="7"/>
  <c r="O137" i="7"/>
  <c r="O134" i="7"/>
  <c r="O136" i="7"/>
  <c r="O157" i="7"/>
  <c r="Q157" i="7" s="1"/>
  <c r="O144" i="7"/>
  <c r="Q144" i="7" s="1"/>
  <c r="O132" i="7"/>
  <c r="O145" i="7"/>
  <c r="Q145" i="7" s="1"/>
  <c r="O158" i="7"/>
  <c r="Q158" i="7" s="1"/>
  <c r="O133" i="7"/>
  <c r="O156" i="7"/>
  <c r="Q156" i="7" s="1"/>
  <c r="O143" i="7"/>
  <c r="Q143" i="7" s="1"/>
  <c r="O131" i="7"/>
  <c r="M124" i="7"/>
  <c r="M126" i="7" s="1"/>
  <c r="H296" i="8" s="1"/>
  <c r="H105" i="15" s="1"/>
  <c r="H124" i="7"/>
  <c r="H126" i="7" s="1"/>
  <c r="O163" i="7"/>
  <c r="Q163" i="7" s="1"/>
  <c r="O150" i="7"/>
  <c r="Q150" i="7" s="1"/>
  <c r="O138" i="7"/>
  <c r="O319" i="8" s="1"/>
  <c r="Q319" i="8" s="1"/>
  <c r="O315" i="8" l="1"/>
  <c r="Q315" i="8" s="1"/>
  <c r="Q134" i="7"/>
  <c r="C128" i="15" s="1"/>
  <c r="O316" i="8"/>
  <c r="Q316" i="8" s="1"/>
  <c r="Q135" i="7"/>
  <c r="C129" i="15" s="1"/>
  <c r="O317" i="8"/>
  <c r="Q317" i="8" s="1"/>
  <c r="Q136" i="7"/>
  <c r="C130" i="15" s="1"/>
  <c r="Q137" i="7"/>
  <c r="C131" i="15" s="1"/>
  <c r="O318" i="8"/>
  <c r="Q318" i="8" s="1"/>
  <c r="O320" i="8"/>
  <c r="Q139" i="7"/>
  <c r="C133" i="15" s="1"/>
  <c r="O313" i="8"/>
  <c r="Q313" i="8" s="1"/>
  <c r="Q132" i="7"/>
  <c r="C126" i="15" s="1"/>
  <c r="O314" i="8"/>
  <c r="Q314" i="8" s="1"/>
  <c r="Q133" i="7"/>
  <c r="C127" i="15" s="1"/>
  <c r="Q165" i="7"/>
  <c r="J272" i="8" s="1"/>
  <c r="Q152" i="7"/>
  <c r="O312" i="8"/>
  <c r="Q312" i="8" s="1"/>
  <c r="Q131" i="7"/>
  <c r="C125" i="15" s="1"/>
  <c r="H298" i="8"/>
  <c r="H107" i="15" s="1"/>
  <c r="Q138" i="7"/>
  <c r="C132" i="15" s="1"/>
  <c r="E133" i="15" l="1"/>
  <c r="E130" i="15"/>
  <c r="E129" i="15"/>
  <c r="E128" i="15"/>
  <c r="E131" i="15"/>
  <c r="E127" i="15"/>
  <c r="E126" i="15"/>
  <c r="E125" i="15"/>
  <c r="H281" i="8"/>
  <c r="H87" i="15" s="1"/>
  <c r="H283" i="8"/>
  <c r="H89" i="15" s="1"/>
  <c r="H96" i="15" s="1"/>
  <c r="Q140" i="7"/>
  <c r="E132" i="15"/>
  <c r="L10" i="60" l="1"/>
  <c r="P10" i="60" s="1"/>
  <c r="F10" i="60" s="1"/>
  <c r="D6" i="60"/>
  <c r="D8" i="60" s="1"/>
  <c r="H287" i="8"/>
  <c r="H289" i="8" s="1"/>
  <c r="H291" i="8" s="1"/>
  <c r="H302" i="8"/>
  <c r="H304" i="8" s="1"/>
  <c r="H306" i="8" s="1"/>
  <c r="H114" i="15"/>
  <c r="F11" i="60" l="1"/>
  <c r="H98" i="15"/>
  <c r="H100" i="15" s="1"/>
  <c r="A1" i="15"/>
  <c r="F13" i="52" s="1"/>
  <c r="F17" i="52" s="1"/>
  <c r="H116" i="15"/>
  <c r="H118" i="15" s="1"/>
  <c r="F12" i="60" l="1"/>
  <c r="F19" i="52"/>
  <c r="F22" i="52" s="1"/>
  <c r="F13" i="60" l="1"/>
  <c r="F14" i="60" l="1"/>
  <c r="F15" i="60"/>
  <c r="F16" i="60"/>
  <c r="F17" i="60"/>
  <c r="F18" i="60"/>
  <c r="F19" i="60"/>
  <c r="F20" i="60"/>
  <c r="F21" i="60"/>
  <c r="F22" i="60"/>
  <c r="F23" i="60" s="1"/>
  <c r="F24" i="60" s="1"/>
  <c r="F27" i="60" l="1"/>
  <c r="B10" i="60"/>
  <c r="D14" i="60"/>
  <c r="D13" i="60"/>
  <c r="D12" i="60"/>
  <c r="D11" i="60"/>
  <c r="C11" i="60"/>
  <c r="C14" i="60"/>
  <c r="C13" i="60"/>
  <c r="C12" i="60"/>
  <c r="C10" i="60"/>
  <c r="D17" i="60"/>
  <c r="C17" i="60"/>
  <c r="D20" i="60"/>
  <c r="C20" i="60"/>
  <c r="D19" i="60"/>
  <c r="C19" i="60"/>
  <c r="D18" i="60"/>
  <c r="C18" i="60"/>
  <c r="C16" i="60"/>
  <c r="B16" i="60"/>
  <c r="B22" i="60"/>
  <c r="D23" i="60"/>
  <c r="D26" i="60"/>
  <c r="C26" i="60"/>
  <c r="D25" i="60"/>
  <c r="C25" i="60"/>
  <c r="D24" i="60"/>
  <c r="C24" i="60"/>
  <c r="C23" i="60"/>
  <c r="C22" i="60"/>
  <c r="D32" i="60"/>
  <c r="C32" i="60"/>
  <c r="D31" i="60"/>
  <c r="C31" i="60"/>
  <c r="D30" i="60"/>
  <c r="C30" i="60"/>
  <c r="D29" i="60"/>
  <c r="C29" i="60"/>
  <c r="C28" i="60"/>
  <c r="B28" i="60"/>
  <c r="D116" i="60"/>
  <c r="C116" i="60"/>
  <c r="D115" i="60"/>
  <c r="C115" i="60"/>
  <c r="D114" i="60"/>
  <c r="C114" i="60"/>
  <c r="D113" i="60"/>
  <c r="C113" i="60"/>
  <c r="C112" i="60"/>
  <c r="B112" i="60"/>
  <c r="D110" i="60"/>
  <c r="C110" i="60"/>
  <c r="D109" i="60"/>
  <c r="C109" i="60"/>
  <c r="D108" i="60"/>
  <c r="C108" i="60"/>
  <c r="D107" i="60"/>
  <c r="C107" i="60"/>
  <c r="C106" i="60"/>
  <c r="B106" i="60"/>
  <c r="D104" i="60"/>
  <c r="C104" i="60"/>
  <c r="D103" i="60"/>
  <c r="C103" i="60"/>
  <c r="D102" i="60"/>
  <c r="C102" i="60"/>
  <c r="D101" i="60"/>
  <c r="C101" i="60"/>
  <c r="C100" i="60"/>
  <c r="B100" i="60"/>
  <c r="D98" i="60"/>
  <c r="C98" i="60"/>
  <c r="D97" i="60"/>
  <c r="C97" i="60"/>
  <c r="D96" i="60"/>
  <c r="C96" i="60"/>
  <c r="D95" i="60"/>
  <c r="C95" i="60"/>
  <c r="C94" i="60"/>
  <c r="B94" i="60"/>
  <c r="D92" i="60"/>
  <c r="C92" i="60"/>
  <c r="D91" i="60"/>
  <c r="C91" i="60"/>
  <c r="D90" i="60"/>
  <c r="C90" i="60"/>
  <c r="D89" i="60"/>
  <c r="C89" i="60"/>
  <c r="C88" i="60"/>
  <c r="B88" i="60"/>
  <c r="D86" i="60"/>
  <c r="C86" i="60"/>
  <c r="D85" i="60"/>
  <c r="C85" i="60"/>
  <c r="D84" i="60"/>
  <c r="C84" i="60"/>
  <c r="D83" i="60"/>
  <c r="C83" i="60"/>
  <c r="C82" i="60"/>
  <c r="B82" i="60"/>
  <c r="D80" i="60"/>
  <c r="C80" i="60"/>
  <c r="D79" i="60"/>
  <c r="C79" i="60"/>
  <c r="D78" i="60"/>
  <c r="C78" i="60"/>
  <c r="D77" i="60"/>
  <c r="C77" i="60"/>
  <c r="C76" i="60"/>
  <c r="B76" i="60"/>
  <c r="D74" i="60"/>
  <c r="C74" i="60"/>
  <c r="D73" i="60"/>
  <c r="C73" i="60"/>
  <c r="D72" i="60"/>
  <c r="C72" i="60"/>
  <c r="D71" i="60"/>
  <c r="C71" i="60"/>
  <c r="C70" i="60"/>
  <c r="B70" i="60"/>
  <c r="D68" i="60"/>
  <c r="C68" i="60"/>
  <c r="D67" i="60"/>
  <c r="C67" i="60"/>
  <c r="D66" i="60"/>
  <c r="C66" i="60"/>
  <c r="D65" i="60"/>
  <c r="C65" i="60"/>
  <c r="C64" i="60"/>
  <c r="B64" i="60"/>
  <c r="D62" i="60"/>
  <c r="C62" i="60"/>
  <c r="D61" i="60"/>
  <c r="C61" i="60"/>
  <c r="D60" i="60"/>
  <c r="C60" i="60"/>
  <c r="D59" i="60"/>
  <c r="C59" i="60"/>
  <c r="C58" i="60"/>
  <c r="B58" i="60"/>
  <c r="D56" i="60"/>
  <c r="C56" i="60"/>
  <c r="D55" i="60"/>
  <c r="C55" i="60"/>
  <c r="D54" i="60"/>
  <c r="C54" i="60"/>
  <c r="D53" i="60"/>
  <c r="C53" i="60"/>
  <c r="C52" i="60"/>
  <c r="B52" i="60"/>
  <c r="D50" i="60"/>
  <c r="C50" i="60"/>
  <c r="D49" i="60"/>
  <c r="C49" i="60"/>
  <c r="D48" i="60"/>
  <c r="C48" i="60"/>
  <c r="D47" i="60"/>
  <c r="C47" i="60"/>
  <c r="C46" i="60"/>
  <c r="B46" i="60"/>
  <c r="D44" i="60"/>
  <c r="C44" i="60"/>
  <c r="D43" i="60"/>
  <c r="C43" i="60"/>
  <c r="D42" i="60"/>
  <c r="C42" i="60"/>
  <c r="D41" i="60"/>
  <c r="C41" i="60"/>
  <c r="C40" i="60"/>
  <c r="B40" i="60"/>
  <c r="D38" i="60"/>
  <c r="C38" i="60"/>
  <c r="D37" i="60"/>
  <c r="C37" i="60"/>
  <c r="D36" i="60"/>
  <c r="C36" i="60"/>
  <c r="D35" i="60"/>
  <c r="C35" i="60"/>
  <c r="C34" i="60"/>
  <c r="B34" i="6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<sst xmlns="http://schemas.openxmlformats.org/spreadsheetml/2006/main" count="7204" uniqueCount="999">
  <si>
    <t>Preiszusammenstellung</t>
  </si>
  <si>
    <t>für Planungsleistungen</t>
  </si>
  <si>
    <t>Gesamtsumme (netto):</t>
  </si>
  <si>
    <t>Euro</t>
  </si>
  <si>
    <t>Nachlass (%):</t>
  </si>
  <si>
    <t>%</t>
  </si>
  <si>
    <t>Netto nach Nachlass:</t>
  </si>
  <si>
    <t>MwSt (19%):</t>
  </si>
  <si>
    <t>MwSt-Satz:</t>
  </si>
  <si>
    <t>Gesamtsumme (brutto):</t>
  </si>
  <si>
    <t xml:space="preserve">Die Preise (ohne Nachlass in %) errechnen sich durch die Preiseingaben im </t>
  </si>
  <si>
    <t>Leistungsverzeichnis und werden automatisch ins Angebotsdeckblatt übertragen.</t>
  </si>
  <si>
    <t>Leif</t>
  </si>
  <si>
    <t>A.</t>
  </si>
  <si>
    <t xml:space="preserve">Verg._Nr.: </t>
  </si>
  <si>
    <t xml:space="preserve">1. </t>
  </si>
  <si>
    <t xml:space="preserve">Hinweise zum Ausfüllen der Excel-Tabelle Honorarangebot </t>
  </si>
  <si>
    <t>Unternehmen:</t>
  </si>
  <si>
    <t>Standort</t>
  </si>
  <si>
    <t>Straße:</t>
  </si>
  <si>
    <t>Hausnummer:</t>
  </si>
  <si>
    <t>Postleitzahl:</t>
  </si>
  <si>
    <t xml:space="preserve">Ort: </t>
  </si>
  <si>
    <t xml:space="preserve">Land: </t>
  </si>
  <si>
    <t>Vertragsgegenstand / Baumaßnahme</t>
  </si>
  <si>
    <t>Der AG beabsichtigt, an dem Bestandsgebäude</t>
  </si>
  <si>
    <t>Der AG beabsichtigt, auf dem Grundstück</t>
  </si>
  <si>
    <t>Sanierungs-, Instandsetzungs- und Modernisierungsmaßnahmen durchzuführen.</t>
  </si>
  <si>
    <t>Projektbeteiligte, Personal des AN</t>
  </si>
  <si>
    <t>einen Neubau zu errichten.</t>
  </si>
  <si>
    <t>Der AN benennt als Projektleiter/in:</t>
  </si>
  <si>
    <t xml:space="preserve">Der AN benennt als verantwortliche/n Bauleiter/in gemäß § 56 BauOBerlin: </t>
  </si>
  <si>
    <t xml:space="preserve">Baukostenobergrenze </t>
  </si>
  <si>
    <t xml:space="preserve">Das Kostenziel des AG sind maximale Baukosten für die Leistungen der Kostengruppen </t>
  </si>
  <si>
    <t>gem. DIN 276 (Fassung Dezember 2018)</t>
  </si>
  <si>
    <t xml:space="preserve"> in Höhe von </t>
  </si>
  <si>
    <t xml:space="preserve">EUR/netto (Baukostenobergrenze). </t>
  </si>
  <si>
    <t>Eine Baukostenobergrenze wird nicht vereinbart.</t>
  </si>
  <si>
    <t>Stundensätze</t>
  </si>
  <si>
    <r>
      <t xml:space="preserve">Für die Leistungen nach Zeitaufwand gelten folgende Stundensätze </t>
    </r>
    <r>
      <rPr>
        <b/>
        <u/>
        <sz val="11"/>
        <color theme="1"/>
        <rFont val="Arial"/>
        <family val="2"/>
      </rPr>
      <t>inklusive Nebenkosten</t>
    </r>
    <r>
      <rPr>
        <sz val="11"/>
        <color theme="1"/>
        <rFont val="Arial"/>
        <family val="2"/>
      </rPr>
      <t>:</t>
    </r>
  </si>
  <si>
    <t>für den AN / Projektleiter/in:</t>
  </si>
  <si>
    <t>EUR/Stunde/netto</t>
  </si>
  <si>
    <t>für Mitarbeiter/in, die technische und sonstige Aufgaben erfüllen:</t>
  </si>
  <si>
    <t>für technische Zeichner/innen und sonstige Mitarbeiter/innen mit vergleichbaren Qualifikationen, die technische und wirtschaftliche Aufgaben erfüllen:</t>
  </si>
  <si>
    <t xml:space="preserve">Stufenweiser Abruf/Ausübung von Optionen </t>
  </si>
  <si>
    <t xml:space="preserve">Der AG wird die angebotenen Leistungen des Vertrages in </t>
  </si>
  <si>
    <t xml:space="preserve">Leistungsstufen (Optionen) abrufen. </t>
  </si>
  <si>
    <t xml:space="preserve">Honorarparameter der HOAI </t>
  </si>
  <si>
    <t xml:space="preserve">Der Honorarberechnung für die Leistungen, welche der Auftraggeber den Grundleistungen der HOAI zuzuordnen hat und die in der Ziffer 3 des jeweiligen Tabellenblattes benannt sind, werden die vom Auftraggeber ermittelten anrechenbaren Kosten zugrunde gelegt. Es erfolgt ggfs. eine Anpassung der der Vergütung zu Grunde gelegten anrechenbaren Kosten (ohne mitzuverarbeitende Bausubstanz) auf Basis der Kostenschätzung (LP2) oder/und auf Basis der Kostenberechnung (LP3) für die jeweils zukünftigen Leistungsphasen. 
Die Anpassung der Vergütung erfolgt mit Abruf der jeweiligen nächsten Leistungsstufe. </t>
  </si>
  <si>
    <t xml:space="preserve">Sollten die anrechenbaren Kosten der Konzeption des Auftraggebers, der Kostenschätzung oder der Kostenberechnung außerhalb der Tafelwerte liegen, werden die Tafelwerte mit der Flemming-Tabelle fortgeführt. Sollte sich mit der Kostenschätzung (LP2) und/oder der Kostenberechnung (LP3) zeigen, dass sich die anrechenbaren Kosten im Vergleich zu den zuvor ermittelten anrechenbaren Kosten verändert haben, werden die neu ermittelten anrechenbaren Kosten für die Honorarberechnung der weiteren Leistungsphasen angesetzt. Wird beispielsweise mit der Kostenschätzung festgestellt, dass die anrechenbaren Kosten höher sind, als vom AG ermittelt, werden die anrechenbaren Kosten der Kostenschätzung für die Ermittlung des Honorars der LP 3 (sofern beauftragt) herangezogen. Selbiges gilt, wenn die ermittelten anrechenbaren Kosten niedriger sind. Wenn die anrechenbaren Kosten mit der Kostenberechnung höher oder niedriger liegen, als die anrechenbaren Kosten der Kostenschätzung, werden die mit der Kostenberechnung ermittelten anrechenbaren Kosten für die LP 4 ff. angesetzt. </t>
  </si>
  <si>
    <t xml:space="preserve">Die Ansätze für "Unvorhergesehenes und zur Rundung " werden grundsätzlich nicht berücksichtigt. </t>
  </si>
  <si>
    <t xml:space="preserve">Ein Umbauzuschlag im Sinne von § 2 Abs. 5 i.V.m. § 6 Abs. 2 HOAI, ein Instandsetzungszuschlag § 2 Abs. 8 i.V.m. § 12 HOAI, ein Modernisierungszuschlag im Sinne von § 2 Abs. 6 i.V.m. 6 Abs. 2 HOAI, ein gesonderter Koordinierungszuschlag im Sinne von § 8 Abs. 3 HOAI wird bei der Berechnung des Honorars nicht angesetzt/berücksichtigt.
Der Wert der mitzuverarbeitenden Bausubstanz (auch der TGA-Anteil) im Sinne von § 4 Abs. 3 HOAI wird bei der Berechnung des Honorars ebenfalls nicht angesetzt/berücksichtigt. Der planerische Mehraufwand, der sich aus der Bearbeitung eines Bestandsgebäudes bzw. aus der Übertragung einzelner </t>
  </si>
  <si>
    <t xml:space="preserve">Leistungsphasen ergeben kann, </t>
  </si>
  <si>
    <t xml:space="preserve">kann mit Hilfe des Auf-/Abschlages berücksichtigt werden - siehe Ziff. 2 des jeweiligen Tabellenblattes. </t>
  </si>
  <si>
    <t xml:space="preserve">ist mit dem Auf-/Abschlages abgegolten - siehe Ziff. 2 des jeweiligen Tabellenblattes. </t>
  </si>
  <si>
    <t>Honorarsumme für die Grundleistungen HOAI:</t>
  </si>
  <si>
    <t>zzgl. Auf - oder Abschlag auf die Grundleistungen:</t>
  </si>
  <si>
    <t>Honorarsumme für die Besonderen Leistungen:</t>
  </si>
  <si>
    <t>Auftragsänderungen und -ergänzungen:</t>
  </si>
  <si>
    <t>Zwischensumme:</t>
  </si>
  <si>
    <t>Umsatzsteuer</t>
  </si>
  <si>
    <t xml:space="preserve">Vorläufiges Honorarangebot für die zunächst beauftragten &amp; voraussichtlichen Leistungen </t>
  </si>
  <si>
    <t>Hochbauplanung</t>
  </si>
  <si>
    <t>B.</t>
  </si>
  <si>
    <t>Abwasser</t>
  </si>
  <si>
    <t>C.</t>
  </si>
  <si>
    <t>Wärmeversorgung</t>
  </si>
  <si>
    <t>D.</t>
  </si>
  <si>
    <t>Luftteschnische Anlagen</t>
  </si>
  <si>
    <t>E.</t>
  </si>
  <si>
    <t>Starktstrom</t>
  </si>
  <si>
    <t>F.</t>
  </si>
  <si>
    <t>Fernmeldeanlagen</t>
  </si>
  <si>
    <t>G.</t>
  </si>
  <si>
    <t>Förderanlagen</t>
  </si>
  <si>
    <t>H.</t>
  </si>
  <si>
    <t>Nutzerspezifische Anlagen</t>
  </si>
  <si>
    <t>I.</t>
  </si>
  <si>
    <t>Gebäudeautomation</t>
  </si>
  <si>
    <t>J.</t>
  </si>
  <si>
    <t>Bauphysik - Wärme</t>
  </si>
  <si>
    <t>K.</t>
  </si>
  <si>
    <t>Bauphysik - Bauakustik</t>
  </si>
  <si>
    <t>L.</t>
  </si>
  <si>
    <t>Bauphysik - Raumakustik</t>
  </si>
  <si>
    <t>M.</t>
  </si>
  <si>
    <t>Tragwerksplanung</t>
  </si>
  <si>
    <t xml:space="preserve">N. </t>
  </si>
  <si>
    <t>Freianlagen</t>
  </si>
  <si>
    <t>O.</t>
  </si>
  <si>
    <t>Bebauungsplan</t>
  </si>
  <si>
    <t>P.</t>
  </si>
  <si>
    <t>weitere Besondere Leistungen</t>
  </si>
  <si>
    <t>Q.</t>
  </si>
  <si>
    <t>Umsatzsteuer:</t>
  </si>
  <si>
    <t>Besondere Leistungen GÜ-Berater</t>
  </si>
  <si>
    <t>R.</t>
  </si>
  <si>
    <t>Auftragsänderungen</t>
  </si>
  <si>
    <t xml:space="preserve">Honorarangebot für die zunächst zu beauftragenden Leistungen: </t>
  </si>
  <si>
    <t>ja</t>
  </si>
  <si>
    <t>nein</t>
  </si>
  <si>
    <t>Honorarangebot</t>
  </si>
  <si>
    <t>Beauftragungs- / Abrufdatum der Stufe</t>
  </si>
  <si>
    <t>Fertigstellung-datum der Stufe</t>
  </si>
  <si>
    <t>zunächst beauftragt</t>
  </si>
  <si>
    <t>Stufen</t>
  </si>
  <si>
    <t>netto</t>
  </si>
  <si>
    <t>brutto</t>
  </si>
  <si>
    <t>-</t>
  </si>
  <si>
    <t>Honorarangebot HOAI-Hochbauplanung</t>
  </si>
  <si>
    <t xml:space="preserve">Verg.Nr.: </t>
  </si>
  <si>
    <t>Vergütungsvereinbarung und Leistungsbilder der Hochbauplanung</t>
  </si>
  <si>
    <t>1.</t>
  </si>
  <si>
    <t>Anrechenbare Kosten für die Hochbauplanung</t>
  </si>
  <si>
    <t>Gebäude</t>
  </si>
  <si>
    <t>Dropdown</t>
  </si>
  <si>
    <t>Kostenkonzeption des AG</t>
  </si>
  <si>
    <t>anrechenbare Kosten nach Kostenschätzung</t>
  </si>
  <si>
    <t>anrechenbare Kosten nach Kostenberechnung</t>
  </si>
  <si>
    <t>Innenraum</t>
  </si>
  <si>
    <t>Erstellungsdatum:</t>
  </si>
  <si>
    <t>Kosten</t>
  </si>
  <si>
    <t>Baukonstruktion KG 300</t>
  </si>
  <si>
    <t>TGA KG 400 (sofern nicht fachlich überwacht oder geplant)</t>
  </si>
  <si>
    <t xml:space="preserve">Die anrechenbaren Kosten liegen außerhalb der Tafelwert, daher kommt die Flemming Tabelle zur Anwendung. </t>
  </si>
  <si>
    <t>Berechnung der anrechenbaren Kosten (netto):</t>
  </si>
  <si>
    <t>Baukonstruktion zzgl. TGA-Anteil:</t>
  </si>
  <si>
    <t>25% der Kosten der Baukonstruktion:</t>
  </si>
  <si>
    <t>50 % der Differenz "Kosten TGA" und "25 % der Kosten Baukonstruktion":</t>
  </si>
  <si>
    <t>Gesamt anrechenbare Kosten inkl. TGA-Anteil:</t>
  </si>
  <si>
    <t>Die Honorarzone ist vom Auftraggeber vorgegeben. Soweit die Auffassung vertreten wird, dass die Honorarzone falsch ermittelt wurde, kann der planerische</t>
  </si>
  <si>
    <t xml:space="preserve">Mehr- oder Minderaufwand durch einen Auf- oder Abschlag kompensiert werden - siehe Ziffer 2. </t>
  </si>
  <si>
    <t>Honorarzone:</t>
  </si>
  <si>
    <t xml:space="preserve">Dropdown </t>
  </si>
  <si>
    <t>Honorarsatz:</t>
  </si>
  <si>
    <t>Basishonorarsatz</t>
  </si>
  <si>
    <t>100 % HOAI nach
Kostenkonzeption des AG</t>
  </si>
  <si>
    <t>100 % HOAI nach
 Kostenschätzung</t>
  </si>
  <si>
    <t>100 % HOAI nach
 Kostenberechnung</t>
  </si>
  <si>
    <t>2.</t>
  </si>
  <si>
    <t xml:space="preserve">Auf- und Abschlag auf die Grundleistungen </t>
  </si>
  <si>
    <t>Gebäude/Innenraum</t>
  </si>
  <si>
    <t>Auf- oder Abschlag auf die Grundleistungen in % (Abschläge sind mit Minuszeichen versehen)</t>
  </si>
  <si>
    <t xml:space="preserve">Mit dem Auf-/Abschlag sind alle Nebenkosten ebensowie wie ein Generalplanerzuschlag abgegolten. </t>
  </si>
  <si>
    <t>3.</t>
  </si>
  <si>
    <t xml:space="preserve">Bewertung der Grundleistungen und Vergütung der besonderen und leistungsphasen bezogenen Leistungen </t>
  </si>
  <si>
    <t xml:space="preserve">Die folgende Tabelle gibt die  geforderten Grundleistungen und besonderen Leistungen wieder. </t>
  </si>
  <si>
    <t>Des Weiteren werden in der Spalte "zunächst beauftragt" die Leistungen mit einem "ja" versehen, welche zunächst abgerufen werden sollen.</t>
  </si>
  <si>
    <t xml:space="preserve">Die besonderen Leistungen sind in den orange markierten Feldern zu bepreisen. </t>
  </si>
  <si>
    <t>Hochbauplanung              Hochbauplanung              Hochbauplanung              Hochbauplanung              Hochbauplanung              Hochbauplanung              Hochbauplanung              Hochbauplanung              Hochbauplanung              Hochbauplanung</t>
  </si>
  <si>
    <t>Leistungsphasen nach HOAI</t>
  </si>
  <si>
    <t>ge- fordert</t>
  </si>
  <si>
    <t xml:space="preserve">Prozente nach der Siemon-Tabelle </t>
  </si>
  <si>
    <t>Vergütung</t>
  </si>
  <si>
    <t xml:space="preserve">100 % HOAI Vergütung gemäß Ziffer 1: </t>
  </si>
  <si>
    <t xml:space="preserve"> Besondere Leistungen </t>
  </si>
  <si>
    <t>zunächst be- auftragt</t>
  </si>
  <si>
    <t>Stufe</t>
  </si>
  <si>
    <t>LP 1</t>
  </si>
  <si>
    <t>1. Grundlagenermittlung</t>
  </si>
  <si>
    <t>Klären der Aufgabenstellung auf Grundlage der Vorgaben oder der Bedarfsplanung des Auftraggebers</t>
  </si>
  <si>
    <t>Bedarfsermittlung</t>
  </si>
  <si>
    <t xml:space="preserve">a) </t>
  </si>
  <si>
    <t>b)</t>
  </si>
  <si>
    <t>Ortsbesichtigung</t>
  </si>
  <si>
    <t xml:space="preserve">c) </t>
  </si>
  <si>
    <t>Beraten zum gesamten Leistungs- und Untersuchungsbedarf</t>
  </si>
  <si>
    <t>d)</t>
  </si>
  <si>
    <t>e)</t>
  </si>
  <si>
    <t>Formulieren der Entscheidungshilfen für die Auswahl anderer an der Planung fachlich Beteiligter</t>
  </si>
  <si>
    <t>Zusammenstellen der Anforderungen aus Zertifizierungssystemen</t>
  </si>
  <si>
    <t>Zusammenfassen, Erläutern und Dokumentieren der Ergebnisse</t>
  </si>
  <si>
    <t>2. Vorplanung</t>
  </si>
  <si>
    <t>LP 2</t>
  </si>
  <si>
    <t>Analysieren der Grundlagen, Abstimmen der Leistungen mit den fachlich an der Planung Beteiligten</t>
  </si>
  <si>
    <t>Abstimmen der Zielvorstellungen, Hinweisen auf  Zielkonflikte</t>
  </si>
  <si>
    <t>Erarbeiten der Vorplanung, Untersuchen, Darstellen und Bewerten von Varianten nach gleichen Anforderungen, Zeichnungen im Maßstab nach Art und Größe des Objekts</t>
  </si>
  <si>
    <t>Klären und Erläutern der wesentlichen Zusammenhänge, Vorgaben und Bedingungen</t>
  </si>
  <si>
    <t>Bereitstellen der Arbeitsergebnisse als Grundlage für die anderen an der Planung fachlich Beteiligten sowie Koordination und Integration von deren Leistungen</t>
  </si>
  <si>
    <t>f)</t>
  </si>
  <si>
    <t>g)</t>
  </si>
  <si>
    <t>Vorverhandlungen über die Genehmigungsfähigkeit</t>
  </si>
  <si>
    <t>3-D oder 4-D Gebäudemodellbearbeitung (Building Information Modelling)</t>
  </si>
  <si>
    <t xml:space="preserve">h) </t>
  </si>
  <si>
    <t>Kostenschätzung nach DIN 276, Vergleich mit den finanziellen Rahmenbedingungen</t>
  </si>
  <si>
    <t>i)</t>
  </si>
  <si>
    <t>3. Entwurfsplanung</t>
  </si>
  <si>
    <t>LP 3</t>
  </si>
  <si>
    <t>Erarbeiten der Entwurfsplanung, unter weiterer Berücksichtigung der wesentlichen Zusammenhänge, Vorgaben und Bedingungen (z.B. städtebauliche, gestalterische, funktionale, technische, wirtschaftliche, ökologische, soziale, öffentlich-rechtliche) auf Grundlage der Vorplanung und als Grundlage für die 
weiteren Leistungsphasen und die erforderlichen öffentlich-rechtlichen Genehmigungen unter Verwendung der Beiträge anderer an der Planung fachlich Beteiligter. Zeichnungen nach Art und Größe des Objekts im erforderlichen Umfang und Detaillierungsgrad unter Berücksichtigung aller fachspezifischen 
Anforderungen, z.B. bei Gebäuden im Maßstab 1:100, z.B. bei Innenräumen im Maßstab 1:50 bis 1:20</t>
  </si>
  <si>
    <t>a)</t>
  </si>
  <si>
    <t>Erarbeitung eines Farb- &amp; Materialkonzeptes mit Angaben zu Ausführungsqualitäten &amp; Ausstattungsstandards</t>
  </si>
  <si>
    <t>Überführung der Kostenberechnung von der kostengruppenorientierten in die ausführungsorientierte Gliederung</t>
  </si>
  <si>
    <t>Erarbeitung vorgezogener Leitdetails im Mindestumfang entsprechend Vorgabe des AG</t>
  </si>
  <si>
    <t>Objektbeschreibung</t>
  </si>
  <si>
    <t>c)</t>
  </si>
  <si>
    <t>Verhandlungen über die Genehmigungsfähigkeit</t>
  </si>
  <si>
    <t>Kostenberechnung nach DIN 276 und Vergleich mit der Kostenschätzung</t>
  </si>
  <si>
    <t>Fortschreiben des Terminplans</t>
  </si>
  <si>
    <t>4. Genehmigungsplanung</t>
  </si>
  <si>
    <t>LP 4</t>
  </si>
  <si>
    <t>Erarbeiten und Zusammenstellen der Vorlagen und Nachweise für öffentlich-rechtliche Genehmigungen oder Zustimmungen einschließlich der Anträge auf Ausnahmen und Befreiungen, sowie notwendiger Verhandlungen mit Behörden unter Verwendung der Beiträge anderer an der Planung fachlich Beteiligter</t>
  </si>
  <si>
    <t xml:space="preserve">Nachweise, insbesondere technischer, konstruktiver und bauphysikalischer Art, für die Erlangung behördlicher Zustimmung im Einzelfall </t>
  </si>
  <si>
    <t>Einreichen der Vorlagen</t>
  </si>
  <si>
    <t>Ergänzen und Anpassen der Planungsunterlagen, Beschreibungen und Berechnungen</t>
  </si>
  <si>
    <t>5. Ausführungsplanung</t>
  </si>
  <si>
    <t>LP 5</t>
  </si>
  <si>
    <t>a</t>
  </si>
  <si>
    <t>Erarbeiten der Ausführungsplanung mit allen für die Ausführung notwendigen Einzelangaben (zeichnerisch und textlich) auf Grundlage der Entwurfs- und Genehmigungsplanung bis zur ausführungsreifen Lösung, als Grundlage für die weiteren Leistungsphasen</t>
  </si>
  <si>
    <t>b</t>
  </si>
  <si>
    <t>Ausführungs-, Detail- und Konstruktionszeichnungen nach Art und Größe des Objekts im erforderlichen Umfang und Detaillierungsgrad unter Berücksichtigung aller fachspezifischen Anforderungen, z.B. bei Gebäuden im Maßstab 1:50 bis 1:1, z.B. bei Innenräumen im Maßstab 1:20 bis 1:1</t>
  </si>
  <si>
    <t>c</t>
  </si>
  <si>
    <t>Bereitstellen der Arbeitsergebnisse als Grundlage für die anderen an der Planung fachlich Beteiligten, sowie Koordination und Integration von deren Leistungen</t>
  </si>
  <si>
    <t>d</t>
  </si>
  <si>
    <t>e</t>
  </si>
  <si>
    <t>Fortschreiben der Ausführungsplanung aufgrund der gewerkeorientierten Bearbeitung während der Objektausführung</t>
  </si>
  <si>
    <t>f</t>
  </si>
  <si>
    <t>Überprüfen erforderlicher Montagepläne der vom Objektplaner geplanten Baukonstruktionen und baukonstruktiven Einbauten auf Übereinstimmung mit der Ausführungsplanung</t>
  </si>
  <si>
    <t xml:space="preserve">Hochbauplanung              Hochbauplanung              Hochbauplanung              Hochbauplanung              Hochbauplanung              Hochbauplanung              Hochbauplanung              Hochbauplanung              Hochbauplanung </t>
  </si>
  <si>
    <t>6. Vorbereitung der Vergabe *)</t>
  </si>
  <si>
    <t>LP 6</t>
  </si>
  <si>
    <t>Aufstellen eines Vergabeterminplans</t>
  </si>
  <si>
    <t>Aufstellen von Leistungsbeschreibungen mit Leistungsverzeichnissen* nach Leistungsbereichen, Ermitteln und Zusammenstellen von Mengen auf Grundlage der Ausführungsplanung unter Verwendung der Beiträge anderer an der Planung fachlich Beteiligter</t>
  </si>
  <si>
    <t>Abstimmen und Koordinieren der Schnittstellen zu den Leistungsbeschreibungen der an der Planung fachlich Beteiligten</t>
  </si>
  <si>
    <t>Aktualisierung der Auftrags-LV bei Nichtbeauftragungen als D86</t>
  </si>
  <si>
    <t>Ermitteln der Kosten auf Grundlage vom Planer bepreister Leistungsverzeichnisse</t>
  </si>
  <si>
    <t>Aufstellen der Funktionalen Leistungsbeschreibung unter Verwendung der Beiträge anderer an der Planung fachlich Beteiligter auf Grundlage der Entwurfs- und Genehmigungsplanung, der Leitdetails sowie einer detaillierten Objektbeschreibung mit der abgestimmten Bemusterungsliste; FLB-Struktur mit ausführungsorientierter Gliederung gemäß Baukostenmanagement des AG; Fortschreiben der Vergabeunterlagen im Vergabeprozess einschl. Erstellen der Auftrags-FLB</t>
  </si>
  <si>
    <t>Kostenkontrolle durch Vergleich der vom Planer bepreisten Leistungsverzeichnisse mit der Kostenberechnung</t>
  </si>
  <si>
    <t>Zusammenstellen der Vergabeunterlagen für alle Leistungsbereiche</t>
  </si>
  <si>
    <t>Kostenermittlung mit ausführungsorientierter Gliederung gemäß Baukostenmanagement des AG auf Grundlage von beim Planer vorhandener Kennziffern oder vergleichbarer Angebote</t>
  </si>
  <si>
    <t>7. Mitwirkung bei der Vergabe</t>
  </si>
  <si>
    <t>LP 7</t>
  </si>
  <si>
    <t>Koordinieren der Vergaben der Fachplaner</t>
  </si>
  <si>
    <t>Prüfen und Werten von Nebenangeboten mit Auswirkungen auf die abgestimmte Planung</t>
  </si>
  <si>
    <t>Einholen von Angeboten</t>
  </si>
  <si>
    <t>Prüfen und Werten der Angebote einschließlich Aufstellen eines Preisspiegels nach Einzelpositionen oder Teilleistungen, Prüfen und Werten der Angebote zusätzlicher und geänderter Leistungen der ausführenden Unternehmen und der Angemessenheit der Preise</t>
  </si>
  <si>
    <t xml:space="preserve">Nachtragsabwehr </t>
  </si>
  <si>
    <t>Beratung bei der Vergabe mit Vergabeempfehlung</t>
  </si>
  <si>
    <t>Führen von Bietergesprächen</t>
  </si>
  <si>
    <t>Erstellen der Vergabevorschläge, Dokumentation des Vergabeverfahrens</t>
  </si>
  <si>
    <t>Zusammenstellen der Vertragsunterlagen für alle Leistungsbereiche</t>
  </si>
  <si>
    <t>Vergleichen der Ausschreibungsergebnisse mit den vom Planer bepreisten Leistungsverzeichnissen oder der Kostenberechnung</t>
  </si>
  <si>
    <t>Mitwirken bei der Auftragserteilung</t>
  </si>
  <si>
    <t>h)</t>
  </si>
  <si>
    <t>8. Objektüberwachung</t>
  </si>
  <si>
    <t xml:space="preserve">Überwachen der Ausführung des Objekts auf Übereinstimmung mit der öffentlich-rechtlichen Genehmigung oder Zustimmung, den Verträgen mit ausführenden Unternehmen, den Ausführungsunterlagen, den einschlägigen Vorschriften sowie mit den allgemein anerkannten Regeln der Technik, bzw. mit dem Stand der Technik, sofern mit den ausführenden Unternehmen der Stand der Technik vereinbart wurde. </t>
  </si>
  <si>
    <t>Überwachung der Ausführung des Objektes im Sinne einer Qualitätssicherung mit ausreichend häufiger Begehung der Baustelle, Dokumentation der Qualitätsmängel und Abweichungen von der Planung sowie der Nachverfolgung und Überwachung der Mängelbeseitigung mit Führen der Mängelliste; Organisation, Teilnahme u. Protokollierung der Bemusterungstermine</t>
  </si>
  <si>
    <t>Überwachen der Ausführung von Tragwerken mit sehr geringen und geringen Planungsanforderungen auf Übereinstimmung mit dem Standsicherheitsnachweis</t>
  </si>
  <si>
    <t>Bericht zur Überwachung des Terminplans</t>
  </si>
  <si>
    <t>Koordinieren der an der Objektüberwachung fachlich Beteiligten</t>
  </si>
  <si>
    <t>Leistungsfeststellung gemäß Zahlungsplan mit Bautenstandsbericht und Rechnungsfreigabe</t>
  </si>
  <si>
    <t>Aufstellen, Fortschreiben und Überwachen eines Terminplans (Balkendiagramm)</t>
  </si>
  <si>
    <t>Dokumentation des Bauablaufs (z.B. Bautagebuch nach Muster des AG)</t>
  </si>
  <si>
    <t>gemeinsames Aufmaß mit den ausführenden Unternehmen</t>
  </si>
  <si>
    <t>Rechnungsprüfung einschließlich Prüfen der Aufmaße der bauausführenden Unternehmen, d.h. Ermittlung von Mehr- und Minderkosten zur Nachbeauftragung</t>
  </si>
  <si>
    <t>Bewertung von Abweichungen gegenüber der geschuldeten Leistung in technischer und monetärer Sicht</t>
  </si>
  <si>
    <t>Vergleich der Ergebnisse der Rechnungsprüfungen mit den Auftragssummen einschließlich Nachträgen</t>
  </si>
  <si>
    <t>Kostenkontrolle durch Überprüfen der Leistungsabrechnung der bauausführenden Unternehmen im Vergleich zu den Vertragspreisen</t>
  </si>
  <si>
    <t>Kostenfeststellung, z.B. nach DIN 276</t>
  </si>
  <si>
    <t>j)</t>
  </si>
  <si>
    <t>Organisation der Abnahme der Bauleistungen unter Mitwirkung anderer an der Planung und Objektüberwachung fachlich Beteiligter, Feststellung von Mängeln, Abnahmeempfehlung für den Auftraggeber</t>
  </si>
  <si>
    <t>k)</t>
  </si>
  <si>
    <t>Antrag auf öffentlich-rechtliche Abnahmen und Teilnahme daran</t>
  </si>
  <si>
    <t>l)</t>
  </si>
  <si>
    <t>Entgegennahme der Dokumentations- und Revisionsunterlagen, Prüfung auf Vollständigkeit und Richtigkeit sowie auf Umsetzung der Vorgaben des AG bezüglich Struktur, Form und Inhalt</t>
  </si>
  <si>
    <t>systematische Zusammenstellung der Dokumentation, zeichnerischen Darstellungen und rechnerischen Ergebnisse des Objekts, einschl. Prüfung dieser Unterlagen auf Vollständigkeit und Richtigkeit</t>
  </si>
  <si>
    <t>m)</t>
  </si>
  <si>
    <t>Übergabe des Objekts</t>
  </si>
  <si>
    <t>n)</t>
  </si>
  <si>
    <t>Auflisten der Verjährungsfristen für Mängelansprüche</t>
  </si>
  <si>
    <t>o)</t>
  </si>
  <si>
    <t>Überwachen der Beseitigung der bei der Abnahme festgestellten Mängel</t>
  </si>
  <si>
    <t>p)</t>
  </si>
  <si>
    <t>9. Objektbetreuung</t>
  </si>
  <si>
    <t>LP 9</t>
  </si>
  <si>
    <t>Fachliche Bewertung der innerhalb der Verjährungsfristen für Gewährleistungsansprüche festgestellten Mängel, längstens jedoch bis zum Ablauf von fünf Jahren seit Abnahme der Leistung, einschließlich notwendiger Begehungen</t>
  </si>
  <si>
    <t>Objektbegehung zur Mängelfeststellung vor Ablauf der Verjährungsfristen für Mängelansprüche gegenüber den ausführenden Unternehmen</t>
  </si>
  <si>
    <t>Mitwirken bei der Freigabe von Sicherheitsleistungen</t>
  </si>
  <si>
    <t>insgesamt:</t>
  </si>
  <si>
    <t>*) Die Leistungsverzeichnisse sind im Kurz- und Langtext mit automatischer Silbentrennung zu erstellen und als GAEB-Schnittstelle im Dateiformat .d82* mit einem GAEB-Prüfbericht zu übersenden. Die Kosten sind aus beim Planer vorhandenen Kennziffern oder vergleichbaren Angebote abzuleiten.</t>
  </si>
  <si>
    <t>4.</t>
  </si>
  <si>
    <t>Auf - oder Abschlag auf die Grundleistungen:</t>
  </si>
  <si>
    <t xml:space="preserve">Vorläufiges Honorarangebot für die zunächst beauftragten &amp; vorausichtlichen Leistungen </t>
  </si>
  <si>
    <t>5.</t>
  </si>
  <si>
    <t xml:space="preserve">Honorarangebot für die zunächst zu Beauftragenden Leistungen: </t>
  </si>
  <si>
    <t>6.</t>
  </si>
  <si>
    <t>LPH 1</t>
  </si>
  <si>
    <t>LPH 2</t>
  </si>
  <si>
    <t>LPH 3</t>
  </si>
  <si>
    <t>LPH 4</t>
  </si>
  <si>
    <t>LPH 5a</t>
  </si>
  <si>
    <t>LPH 5b</t>
  </si>
  <si>
    <t>LPH 5c</t>
  </si>
  <si>
    <t>LPH 5d</t>
  </si>
  <si>
    <t>LPH 5e</t>
  </si>
  <si>
    <t>LPH 5f</t>
  </si>
  <si>
    <t>LPH 6</t>
  </si>
  <si>
    <t>LPH 7</t>
  </si>
  <si>
    <t>LPH 8</t>
  </si>
  <si>
    <t>LPH9</t>
  </si>
  <si>
    <t>1. Honorartafel gem. § 35, Abs. 1 HOAI 2020 - Gebäude</t>
  </si>
  <si>
    <t>Anrechenbare Kosten in Euro</t>
  </si>
  <si>
    <t>Honorarzone I</t>
  </si>
  <si>
    <t>Honorarzone II</t>
  </si>
  <si>
    <t>Honorarzone III</t>
  </si>
  <si>
    <t>Honorarzone IV</t>
  </si>
  <si>
    <t>Honorarzone V</t>
  </si>
  <si>
    <t>sehr geringe Anforderungen</t>
  </si>
  <si>
    <t>geringe Anforderungen</t>
  </si>
  <si>
    <t>durchschnittliche Anforderungen</t>
  </si>
  <si>
    <t>hohe Anforderungen</t>
  </si>
  <si>
    <t>sehr hohe Anforderungen</t>
  </si>
  <si>
    <t>von</t>
  </si>
  <si>
    <t>bis</t>
  </si>
  <si>
    <t>Flemming Tabelle</t>
  </si>
  <si>
    <t>2. Honorarzone, Honorarsatz, anrechenbare Kosten, mitzuverarbeitende Bausubstanz gem. HOAI 2020 - Gebäude</t>
  </si>
  <si>
    <t>Gebäude / Innenräume 1.1</t>
  </si>
  <si>
    <t>Honorarzone</t>
  </si>
  <si>
    <t>Honorarsatz</t>
  </si>
  <si>
    <t>Viertelsatz</t>
  </si>
  <si>
    <t>Mittelsatz</t>
  </si>
  <si>
    <t>Dreiviertelsatz</t>
  </si>
  <si>
    <t>Oberer Honorarsatz</t>
  </si>
  <si>
    <t>Kostenkonzeption</t>
  </si>
  <si>
    <t>Kostenschätzung</t>
  </si>
  <si>
    <t xml:space="preserve">Kostenberechnung </t>
  </si>
  <si>
    <t>Gesamtanrechenbare Kosten</t>
  </si>
  <si>
    <t>3. Rechenwerte (geringerer Wert/ höherer Wert gem. Honorartafel HOAI)</t>
  </si>
  <si>
    <t>Rechenwert 1</t>
  </si>
  <si>
    <t>anr. Kosten</t>
  </si>
  <si>
    <t>Rechenwert 2</t>
  </si>
  <si>
    <t xml:space="preserve">4.1 Rechenwerte gem. Honorarzone Vorschlag </t>
  </si>
  <si>
    <t>Differenz Rechenwert 1 zu Rechenwert 2</t>
  </si>
  <si>
    <t>Differenz zu anr. Kosten/ Honorarzone</t>
  </si>
  <si>
    <t xml:space="preserve">5.1 Interpolation/ Berechnung Honorarsatz Vorschlag </t>
  </si>
  <si>
    <t>a = Rechenwert 1 =</t>
  </si>
  <si>
    <t>b = Differenz niedriger Tafelwert - anr. Kosten =</t>
  </si>
  <si>
    <t>c = Differenz Rechenwert 1 - Rechenwert 2 =</t>
  </si>
  <si>
    <t>d =Differenz niedriger Tafelwert - höherer Tafelwert =</t>
  </si>
  <si>
    <t>Berechnungsformel:</t>
  </si>
  <si>
    <t>a + (b * c)/d =</t>
  </si>
  <si>
    <t xml:space="preserve">Honorargrundlage (100%) </t>
  </si>
  <si>
    <t>Bitte auswählen!</t>
  </si>
  <si>
    <t>Gebäude 1.1</t>
  </si>
  <si>
    <t>Berechnung vorläufig beauftragte Leistungen</t>
  </si>
  <si>
    <t>Gebäude 1.2 (gem. 2.1.1 getrennte Berechnung)</t>
  </si>
  <si>
    <t>Grundleistungen/netto zzgl. Aufschlag</t>
  </si>
  <si>
    <t>Besondere Leistungen/netto</t>
  </si>
  <si>
    <t>Honorar außerhalb HOAI</t>
  </si>
  <si>
    <t>Grundleistungen/netto ohne Aufschlag</t>
  </si>
  <si>
    <t>Innenraum 1.2 (gem. 2.1.1 getrennte Berechnung)</t>
  </si>
  <si>
    <t>Teilrechnung</t>
  </si>
  <si>
    <t>5a</t>
  </si>
  <si>
    <t>5b</t>
  </si>
  <si>
    <t>5c</t>
  </si>
  <si>
    <t>5d</t>
  </si>
  <si>
    <t>5e</t>
  </si>
  <si>
    <t>5f</t>
  </si>
  <si>
    <t>Summe:</t>
  </si>
  <si>
    <t>Stufen = Grundleistungen + Auf-/Abschlag +Besonderen Leistungen</t>
  </si>
  <si>
    <t>LPH 9</t>
  </si>
  <si>
    <t>Gesamt</t>
  </si>
  <si>
    <t>Stufen = Grundleistungen + Auf-/Abschlag</t>
  </si>
  <si>
    <t>Stufen = Grundleistungen</t>
  </si>
  <si>
    <t>Honorarangebot - TGA Abwasser-, Wasser-, Gasanlagen</t>
  </si>
  <si>
    <t>Vergütungsvereinbarung und Leistungsbilder - TGA Abwasser-, Wasser-, Gasanlagen</t>
  </si>
  <si>
    <t xml:space="preserve">Anrechenbare Kosten </t>
  </si>
  <si>
    <t>anrechenbare Kosten</t>
  </si>
  <si>
    <t>100 % HOAI nach Kostenberechnung</t>
  </si>
  <si>
    <t xml:space="preserve">Bewertung der Grundleistungen </t>
  </si>
  <si>
    <t xml:space="preserve">Die folgende Tabelle gibt die  geforderten Grundleistungen und Besonderen Leistungen wieder. </t>
  </si>
  <si>
    <t>Des Weiteren werden in der Spalte "zunächst beauftragt" die Leistungenn mit einem "ja" versehen, welche zunächst abgerufen werden sollen.</t>
  </si>
  <si>
    <t xml:space="preserve">Anlagengrupppe Abwasser-, Wasser- und Gasanlagen                          Anlagengrupppe Abwasser-, Wasser- und Gasanlagen                                Anlagengrupppe Abwasser-, Wasser- und Gasanlagen                            Anlagengrupppe Abwasser-, Wasser- und Gasanlagen </t>
  </si>
  <si>
    <t>Prozente nach der Simon-Tabelle</t>
  </si>
  <si>
    <t xml:space="preserve">Anzubietende Besondere Leistungen </t>
  </si>
  <si>
    <t>ja/nein</t>
  </si>
  <si>
    <t>Klären der Aufgabenstellung auf Grund der Vorgaben oder der Bedarfsplanung des Auftraggebers im Benehmen mit dem Objektplaner</t>
  </si>
  <si>
    <t xml:space="preserve">Mitwirken bei der Bedarfsplanung für komplexe Nutzungen zur Analyse der Bedürfnisse, Ziele und einschränkenden Gegebenheiten (Kosten-, Termine und andere Rahmenbedingungen) des Bauherrn und wichtiger Beteiligter </t>
  </si>
  <si>
    <t>Ermitteln der Planungsrandbedingungen und Beraten zum Leistungsbedarf und gegebenenfalls zur technischen Erschließung</t>
  </si>
  <si>
    <t>Bestandaufnahme, zeichnerische Darstellung und Nachrechnen vorhandener Anlagen und Anlagenteile</t>
  </si>
  <si>
    <t>Datenerfassung, Analysen und Optimierungsprozesse im Bestand</t>
  </si>
  <si>
    <t>Durchführen von Verbrauchsmessungen</t>
  </si>
  <si>
    <t>Endoskopische Untersuchungen</t>
  </si>
  <si>
    <t>Mitwirken bei der Ausführung von Auslobungen und bei Vorprüfungen für Planungswettbewerbe</t>
  </si>
  <si>
    <t xml:space="preserve">Erstellen von Leitungsbestandsplänen </t>
  </si>
  <si>
    <t>Analysieren der Grundlagen Mitwirken beim Abstimmen der Leistungen mit den Planungsbeteiligten</t>
  </si>
  <si>
    <t>Erarbeiten eines Planungskonzepts, dazu gehören zum Beispiel: Vordimensionieren der Systeme und maßbestimmenden Anlagenteile, Untersuchen von alternativen Lösungsmöglichkeiten bei gleichen Nutzungsanforderungen einschließlich Wirtschaftlichkeitsvorbetrachtung, zeichnerische Darstellung zur Integration in die Objektplanung unter Berücksichtigung exemplarischer Details, Angaben zum Raumbedarf</t>
  </si>
  <si>
    <t>Aufstellen eines Funktionsschemas bzw. Prinzipschaltbildes für jede Anlage</t>
  </si>
  <si>
    <t>Klären und Erläutern der wesentlichen fachübergreifenden Prozesse, Randbedingungen und Schnittstellen, Mitwirken bei der Integration der technischen Anlagen</t>
  </si>
  <si>
    <t>Vorverhandlungen mit Behörden über die Genehmigungsfähigkeit und mit den zu beteiligenden Stellen zur Infrastruktur</t>
  </si>
  <si>
    <t>Kostenschätzung nach DIN 276 (2. Ebene) und Terminplanung</t>
  </si>
  <si>
    <t xml:space="preserve">3. Entwurfsplanung </t>
  </si>
  <si>
    <t>Durcharbeiten des Planungskonzepts (stufenweise Erarbeitung einer Lösung) unter Berücksichtigung aller fachspezifischen Anforderungen sowie unter Beachtung der durch die Objektplanung integrierten Fachplanungen, bis zum vollständigen Entwurf</t>
  </si>
  <si>
    <t xml:space="preserve">Berechnung von Lebenszykluskosten </t>
  </si>
  <si>
    <t>Detaillierte Schadstoffemissionsberechnung für die ausgewählte Anlage</t>
  </si>
  <si>
    <t>Festlegen aller Systeme und Anlagenteile</t>
  </si>
  <si>
    <t>Berechnen und Bemessen der technischen Anlagen und Anlagenteile, Abschätzen von jährlichen Bedarfswerten (z. B. Nutz-, End- und Primärenergiebedarf) und Betriebskosten; Abstimmen des Platzbedarfs für technische Anlagen und Anlagenteile; Zeichnerische Darstellung des Entwurfs in einem mit dem Objektplaner abgestimmten Ausgabemaßstab mit Angabe maßbestimmender Dimensionen Fortschreiben und Detaillieren der Funktions- und Strangschemata der Anlagen Auflisten aller Anlagen mit technischen Daten und Angaben zum Beispiel für Energiebilanzierungen Anlagenbeschreibungen mit Angabe der Nutzungsbedingungen</t>
  </si>
  <si>
    <t>Aufstellen einer gewerkeübergreifenden Brandschutzmatrix</t>
  </si>
  <si>
    <t>Simulationen zur Prognose des Verhaltens von Gebäuden, Bauteilen, Räumen und Freiräumen</t>
  </si>
  <si>
    <t>Übergeben der Berechnungsergebnisse an andere Planungsbeteiligte zum Aufstellen vorgeschriebener Nachweise; Angabe und Abstimmung der für die Tragwerksplanung notwendigen Angaben über Durchführungen und Lastangaben (ohne Anfertigen von Schlitz- und Durchführungsplänen)</t>
  </si>
  <si>
    <t>Verhandlungen mit Behörden und mit anderen zu beteiligenden Stellen über die Genehmigungsfähigkeit</t>
  </si>
  <si>
    <t>Kostenberechnung nach DIN 276 (3. Ebene) und Terminplanung</t>
  </si>
  <si>
    <t>Kostenkontrolle durch Vergleich der Kostenberechnung mit der Kostenschätzung</t>
  </si>
  <si>
    <t>Erarbeiten und Zusammenstellen der Vorlagen und Nachweise für öffentlich-rechtliche Genehmigungen oder Zustimmungen einschließlich der Anträge auf Ausnahmen oder Befreiungen sowie Mitwirken bei Verhandlungen mit Behörden</t>
  </si>
  <si>
    <t>Vervollständigen und Anpassen der Planungsunterlagen, Beschreibungen und Berechnungen</t>
  </si>
  <si>
    <t>Erarbeiten der Ausführungsplanung auf Grundlage der Ergebnisse der Leistungsphasen 3 und 4 (stufenweise Erarbeitung und Darstellung der Lösung) unter Beachtung der durch die Objektplanung integrierten Fachplanungen bis zur ausführungsreifen Lösung</t>
  </si>
  <si>
    <t>Prüfen und Anerkennen von Schalplänen des Tragwerkplaners auf Übereinstimmung mit der Schlitz- und Durchbruchsplanung</t>
  </si>
  <si>
    <t xml:space="preserve">Leerrohrplanung mit besonderem Aufwand (z.B. bei Sichtbeton oder Fertigteilen) </t>
  </si>
  <si>
    <t>Fortschreiben der Berechnungen und Bemessungen zur Auslegung der technischen Anlagen und Anlagenteile
Zeichnerische Darstellung der Anlagen in einem mit dem Objektplaner abgestimmten Ausgabemaßstab und Detaillierungsgrad einschließlich Dimensionen (keine Montage- oder Werkstattpläne)
Anpassen und Detaillieren der Funktions- und Strangschemata der Anlagen bzw. der GA-Funktionslisten
Abstimmen der Ausführungszeichnungen mit dem Objektplaner und den übrigen Fachplanern</t>
  </si>
  <si>
    <t>Mitwirkung bei Detailplanungen mit besonderem Aufwand, z.B. Darstellung von Wandabwicklungen in hochinstallierten Bereichen</t>
  </si>
  <si>
    <t>Anfertigen von Schlitz- und Durchbruchsplänen</t>
  </si>
  <si>
    <t>Fortschreibung des Terminplans</t>
  </si>
  <si>
    <t>Fortschreiben der Ausführungsplanung auf den Stand der Ausschreibungsergebnisse und der dann vorliegenden Ausführungsplanung des Objektplaners, Übergeben der fortgeschriebenen Ausführungsplanung an die ausführenden Unternehmen</t>
  </si>
  <si>
    <t>Prüfen und Anerkennen der Montage- und Werkstattpläne der ausführenden Unternehmen auf Übereinstimmung mit der Ausführungsplanung</t>
  </si>
  <si>
    <t xml:space="preserve">Anlagengrupppe Abwasser-, Wasser- und Gasanlagen                                        Anlagengrupppe Abwasser-, Wasser- und Gasanlagen                                         Anlagengrupppe Abwasser-, Wasser- und Gasanlagen     </t>
  </si>
  <si>
    <t>6. Vorbereitung der Vergabe</t>
  </si>
  <si>
    <t>Ermitteln von Mengen als Grundlage für das Aufstellen von Leistungsverzeichnissen in Abstimmung mit Beiträgen anderer an der Planung fachlich Beteiligter</t>
  </si>
  <si>
    <t>Leistungsverzeichnis für geschlossene Leistungsbereiche</t>
  </si>
  <si>
    <t>Aufstellen der Vergabeunterlagen, insbesondere mit Leistungsverzeichnissen nach Leistungsbereichen, einschließlich der Wartungsleistungen auf Grundlage bestehender Regelwerke</t>
  </si>
  <si>
    <t>Fachplanerische Zuarbeit für das Aufstellen der Funktionalen Leistungsbeschreibung unter Verwendung der Beiträge anderer an der Planung fachlich Beteiligter auf Grundlage der Entwurfs- und Genehmigungsplanung, der Leitdetails sowie einer detaillierten Objektbeschreibung mit abgestimmter Bemusterungsliste; Zuarbeit für das Fortschreiben der Vergabeunterlagen im Vergabeprozess</t>
  </si>
  <si>
    <t>Besondere Ausarbeitung z.B. für Selbsthilfe</t>
  </si>
  <si>
    <t>Mitwirken beim Abstimmen der Schnittstellen zu den Leistungsbeschreibungen der anderen an der Planung fachlich Beteiligten</t>
  </si>
  <si>
    <t>Ermitteln der Kosten auf Grundlage der vom Planer bepreisten Leistungsverzeichnisse</t>
  </si>
  <si>
    <t>Zusammenstellen der Vergabeunterlagen</t>
  </si>
  <si>
    <t>Prüfen und Werten von Nebenangeboten</t>
  </si>
  <si>
    <t>Prüfen und Werten der Angebote, Aufstellen der Preisspiegel nach Einzelpositionen, Prüfen und Werten der Angebote für zusätzliche oder geänderte Leistungen der ausführenden Unternehmen und der Angemessenheit der Preise</t>
  </si>
  <si>
    <t>Vergleichen der Ausschreibungsergebnisse mit den vom Planer bepreisten Leistungsverzeichnissen und der Kostenberechnung</t>
  </si>
  <si>
    <t>Erstellen der Vergabevorschläge, Mitwirken bei der Dokumentation der Vergabeverfahren</t>
  </si>
  <si>
    <t>Zusammenstellen der Vertragsunterlagen und bei der Auftragserteilung</t>
  </si>
  <si>
    <t>8. Objektüberwachung und Dokumentation</t>
  </si>
  <si>
    <t>Überwachen der Ausführung des Objekts auf Übereinstimmung mit der öffentlich-rechtlichen Genehmigung oder Zustimmung, den Verträgen mit den ausführenden Unternehmen, den Ausführungsunterlagen, den Montage- und Werkstattplänen, den einschlägigen Vorschriften und den allgemein anerkannten Regeln der Technik</t>
  </si>
  <si>
    <t>Überwachung der Ausführung des Objektes im Sinne einer Qualitätssicherung mit ausreichend häufiger Begehung der Baustelle ab Beginn der Gewerke der Technischen Ausrüstung, Dokumentation der Qualitätsmängel und Abweichungen von der Planung sowie der Nachverfolgung und Überwachung der Mängelbeseitigung mit Führen der Mängelliste;
Organisation, Teilnahme u. Protokollierung der relevanten Bemusterungstermine</t>
  </si>
  <si>
    <t>Mitwirken bei der Koordination der am Projekt Beteiligten</t>
  </si>
  <si>
    <t>Aufstellen, Fortschreiben und Überwachen des Terminplans (Balkendiagramm)</t>
  </si>
  <si>
    <t>Dokumentation des Bauablaufs (Bautagebuch)</t>
  </si>
  <si>
    <t>Prüfen und Bewerten der Notwendigkeit geänderter oder zusätzlicher Leistungen der Unternehmer und der Angemessenheit der Preise</t>
  </si>
  <si>
    <t>Gemeinsames Aufmaß mit den ausführenden Unternehmen</t>
  </si>
  <si>
    <t>Rechnungsprüfung in rechnerischer und fachlicher Hinsicht mit Prüfen und Bescheinigen des Leistungsstandes anhand nachvollziehbarer Leistungsnachweise</t>
  </si>
  <si>
    <t>Zuarbeit zur Leistungsfeststellung gemäß Zahlungsplan mit Bautenstandsbericht für Rechnungsfreigabe durch den Objektplaner</t>
  </si>
  <si>
    <t>Prüfen der Ausführungsplanung des GU/GÜ sowie der Montage- und Werkstattpläne auf Übereinstimmung mit der Entwurfsplanung, den Leitdetails und der FLB; Prüfung und Nachverfolgung der Nachbesserung bei mangelhafter Ausführungsplanung</t>
  </si>
  <si>
    <t>Kostenkontrolle durch Überprüfen der Leistungsabrechnungen der ausführenden Unternehmen im Vergleich zu den Vertragspreisen und dem Kostenanschlag</t>
  </si>
  <si>
    <t>Kostenfeststellung</t>
  </si>
  <si>
    <t>Mitwirken bei Leistungs- u. Funktionsprüfungen</t>
  </si>
  <si>
    <t>Durchführung der fachtechnischen Vorbegehungen, Abnahmebegehungen und der Abnahme auf Grundlage der vorgelegten Dokumentation unter Mitwirkung anderer an der Planung und Objektüberwachung fachlich Beteiligter; Ermittlung der Mängelbeseitigungs- und Ausführungskosten zum Zeitpunkt der Abnahme vorhandener Mängel und Restleistungen</t>
  </si>
  <si>
    <t>fachtechnische Abnahme der Leistungen auf Grundlage der vorgelegten Dokumentation, Erstellung eines Abnahmeprotokolls, Feststellen von Mängeln und Erteilen einer Abnahmeempfehlung</t>
  </si>
  <si>
    <t>Antrag auf behördliche Abnahmen und Teilnahme daran</t>
  </si>
  <si>
    <t>Prüfung der übergebenen Revisionsunterlagen auf
Vollzähligkeit, Vollständigkeit und stichprobenartige Prüfung auf Übereinstimmung mit dem Stand der Ausführung</t>
  </si>
  <si>
    <t>Auflisten der Verjährungsfristen der Ansprüche auf Mängelbeseitigung</t>
  </si>
  <si>
    <t>Systematische Zusammenstellung der Dokumentation, der zeichnerischen Darstellungen und rechnerischen Ergebnisse des Objekts</t>
  </si>
  <si>
    <t>Honorartafel gem. § 56, Abs. 1 HOAI 2020 - Technische Gebäudeausrüstung</t>
  </si>
  <si>
    <t>Anlagengruppe 1 - Abwasser-, Wasser-, Gasanlagen</t>
  </si>
  <si>
    <t>1.1 Honorarzone, Honorarsatz, anrechenbare Kosten, mitzuverarbeitende Bausubstanz gem. HOAI 2020 - TGA</t>
  </si>
  <si>
    <t>Objekt 1.1</t>
  </si>
  <si>
    <t>Anrechenbare Kosten</t>
  </si>
  <si>
    <t>1.2 Rechenwerte (geringerer Wert/ höherer Wert gem. Honorartafel HOAI)</t>
  </si>
  <si>
    <t>1.3 Rechenwerte gem. Honorarzone</t>
  </si>
  <si>
    <t>1.4 Interpolation/ Berechnung Honorarsatz</t>
  </si>
  <si>
    <t>Honorar (100%)</t>
  </si>
  <si>
    <t>Honorargrundlage (100%)</t>
  </si>
  <si>
    <t>Grundleistungen</t>
  </si>
  <si>
    <t>Besondere Leistungen</t>
  </si>
  <si>
    <t>Vorläufig Gesamt</t>
  </si>
  <si>
    <t xml:space="preserve">zzgl. Aufschlag: </t>
  </si>
  <si>
    <t xml:space="preserve">Gesamt zzgl Aufschlag: </t>
  </si>
  <si>
    <t>zzgl. Mehrwertsteuer</t>
  </si>
  <si>
    <t xml:space="preserve">Gesamt gesamt: </t>
  </si>
  <si>
    <t>Fertig</t>
  </si>
  <si>
    <t>Honorarangebot - Wärmeversorgung</t>
  </si>
  <si>
    <t>Vergütungsvereinbarung - Wärmeversorgung</t>
  </si>
  <si>
    <t xml:space="preserve">Anlagengrupppe Wärmeversorgung                      Anlagengrupppe Wärmeversorgung                      Anlagengrupppe Wärmeversorgung                      Anlagengrupppe Wärmeversorgung                      Anlagengrupppe Wärmeversorgung                      Anlagengrupppe Wärmeversorgung                           </t>
  </si>
  <si>
    <t>Anlagengrupppe Wärmeversorgung                          Anlagengrupppe Wärmeversorgung                         Anlagengrupppe Wärmeversorgung                         Anlagengrupppe Wärmeversorgung                         Anlagengrupppe Wärmeversorgung                         Anlagengrupppe Wärmeversorgung                         Anlagengrupppe Wärmeversorgung                         Anlagengrupppe Wärmeversorgung</t>
  </si>
  <si>
    <t xml:space="preserve">6. Vorbereitung der Vergabe                 </t>
  </si>
  <si>
    <t>Anlagengruppe 2 -  Wärmversorgung</t>
  </si>
  <si>
    <t>Honorarangebot - Lufttechnische Anlagen</t>
  </si>
  <si>
    <t>Vergütungsvereinbarung - Lufttechnische Anlagen.</t>
  </si>
  <si>
    <t>Auf- oder Abschlag auf die Grundleistungen (Abschläge sind mit Minuszeichen versehen)</t>
  </si>
  <si>
    <t xml:space="preserve">Anlagengrupppe Lufttechnische Anlagen                        Anlagengrupppe Lufttechnische Anlagen                        Anlagengrupppe Lufttechnische Anlagen                        Anlagengrupppe Lufttechnische Anlagen                        Anlagengrupppe Lufttechnische Anlagen                        </t>
  </si>
  <si>
    <t>Anlagengrupppe Lufttechnische Anlagen                 Anlagengrupppe Lufttechnische Anlagen                 Anlagengrupppe Lufttechnische Anlagen                 Anlagengrupppe Lufttechnische Anlagen                 Anlagengrupppe Lufttechnische Anlagen</t>
  </si>
  <si>
    <t xml:space="preserve">6. Vorbereitung der Vergabe                               </t>
  </si>
  <si>
    <t>Honorarangebot - Starkstromanlagen</t>
  </si>
  <si>
    <t>Vergütungsvereinbarung - Starkstromanlagen</t>
  </si>
  <si>
    <t xml:space="preserve">Anlagengrupppe Starkstromanlagen                          Anlagengrupppe Starkstromanlagen                 Anlagengrupppe Starkstromanlagen                    Anlagengrupppe Starkstromanlagen                    Anlagengrupppe Starkstromanlagen                            </t>
  </si>
  <si>
    <t xml:space="preserve">Anlagengrupppe Starkstromanlagen                          Anlagengrupppe Starkstromanlagen                 Anlagengrupppe Starkstromanlagen                    Anlagengrupppe Starkstromanlagen                    Anlagengrupppe Starkstromanlagen                    Anlagengrupppe Starkstromanlagen                    </t>
  </si>
  <si>
    <t>6. Vorbereitung der Vergabe                                 Anlagengrupppe Wärmeversorgung                                 Anlagengrupppe Wärmeversorgung                                 Anlagengrupppe Wärmeversorgung                                 Anlagengrupppe Wärmeversorgung                                 Anlagengrupppe Wärmeversorgung</t>
  </si>
  <si>
    <t xml:space="preserve">Honorarangebot - Fernmelde- und informationstechnische Anlagen </t>
  </si>
  <si>
    <t xml:space="preserve">Vergütungsvereinbarung - Fernmelde- und informationstechnische Anlagen </t>
  </si>
  <si>
    <t xml:space="preserve">Anlagengrupppe Fernmelde- und informationstechnische Anlagen                      Anlagengrupppe Fernmelde- und informationstechnische Anlagen                       Anlagengrupppe Fernmelde- und informationstechnische Anlagen             </t>
  </si>
  <si>
    <t xml:space="preserve">Anlagengrupppe Fernmelde- und informationstechnische Anlagen                  Anlagengrupppe Fernmelde- und informationstechnische Anlagen                    Anlagengrupppe Fernmelde- und informationstechnische Anlagen              </t>
  </si>
  <si>
    <t xml:space="preserve">6. Vorbereitung der Vergabe                                 </t>
  </si>
  <si>
    <t>Honorarangebot -Förderanlagen</t>
  </si>
  <si>
    <t>Vergütungsvereinbarung - Förderanlagen</t>
  </si>
  <si>
    <t xml:space="preserve">anrechenbare Kosten </t>
  </si>
  <si>
    <t xml:space="preserve">Anlagengrupppe Förderanlagen                    Anlagengrupppe Förderanlagen                    Anlagengrupppe Förderanlagen                    Anlagengrupppe Förderanlagen                    Anlagengrupppe Förderanlagen                    Anlagengrupppe Förderanlagen                    </t>
  </si>
  <si>
    <t xml:space="preserve">Anlagengrupppe Förderanlagen                    Anlagengrupppe Förderanlagen                    Anlagengrupppe Förderanlagen                    Anlagengrupppe Förderanlagen                    Anlagengrupppe Förderanlagen                    Anlagengrupppe Förderanlagen                     Anlagengrupppe Förderanlagen </t>
  </si>
  <si>
    <t xml:space="preserve">6. Vorbereitung der Vergabe                          </t>
  </si>
  <si>
    <t>Honorarangebot - nutzungsspezifische Anlagen und verfahrenstechnische Anlagen</t>
  </si>
  <si>
    <t>Vergütungsvereinbarung - nutzungsspezifische Anlagen und verfahrenstechnische Anlagen</t>
  </si>
  <si>
    <t xml:space="preserve">Nutzerspezifische Anlagen            Nutzerspezifische Anlagen            Nutzerspezifische Anlagen            Nutzerspezifische Anlagen            Nutzerspezifische Anlagen            Nutzerspezifische Anlagen            Nutzerspezifische Anlagen                  </t>
  </si>
  <si>
    <t xml:space="preserve">Nutzerspezifische Anlagen            Nutzerspezifische Anlagen            Nutzerspezifische Anlagen            Nutzerspezifische Anlagen            Nutzerspezifische Anlagen            Nutzerspezifische Anlagen            Nutzerspezifische Anlagen </t>
  </si>
  <si>
    <t>Honorarangebot - Gebäudeautomation und Automation von Ingenieurbauwerken</t>
  </si>
  <si>
    <t>Vergütungsvereinbarung - Gebäudeautomation und Automation von Ingenieurbauwerken.</t>
  </si>
  <si>
    <t xml:space="preserve">Anlagengrupppe Gebäudeautomation             Anlagengrupppe Gebäudeautomation             Anlagengrupppe Gebäudeautomation             Anlagengrupppe Gebäudeautomation             Anlagengrupppe Gebäudeautomation             Anlagengrupppe Gebäudeautomation             </t>
  </si>
  <si>
    <t>Anlagengrupppe Gebäudeautomation             Anlagengrupppe Gebäudeautomation             Anlagengrupppe Gebäudeautomation             Anlagengrupppe Gebäudeautomation             Anlagengrupppe Gebäudeautomation             Anlagengrupppe Gebäudeautomati</t>
  </si>
  <si>
    <t xml:space="preserve">6. Vorbereitung der Vergabe                            </t>
  </si>
  <si>
    <t>Fachliche Bewertung der innerhalb der Verjährungsfristen für Gewährleistungsansprüche festgestellten Mängel, längstens jedoch bis zum Ablauf von fünf neinhren seit Abnahme der Leistung, einschließlich notwendiger Begehungen</t>
  </si>
  <si>
    <t>Honorarangebot HOAI - Bauphysik - Wärmeschutz und Energiebilanzierung</t>
  </si>
  <si>
    <t>Vergütungsvereinbarung HOAI - Bauphysik - Wärmeschutz und Energiebilanzierung</t>
  </si>
  <si>
    <t xml:space="preserve">Mit dem Auf-/Abschlag sind alle Nebenkosten ebsowie wie ein Generalplanerzuschlag abgegolten. </t>
  </si>
  <si>
    <t xml:space="preserve">Bauphysik          Bauphysik          Bauphysik          Bauphysik          Bauphysik          Bauphysik          Bauphysik          Bauphysik          Bauphysik          Bauphysik          Bauphysik         </t>
  </si>
  <si>
    <t xml:space="preserve">Klären der Aufgabenstellung </t>
  </si>
  <si>
    <t xml:space="preserve">Festlegen der Grundlagen Vorgaben und Ziele </t>
  </si>
  <si>
    <t>Mitwirken bei Vorgaben für Zertifizierungen</t>
  </si>
  <si>
    <t>Analysieren der Grundlagen</t>
  </si>
  <si>
    <t>Mitwirken beim Klären von Vorgaben für Fördermaßnahmen und bei deren Umsetzung</t>
  </si>
  <si>
    <t>Klären der wesentlichen Zusammenhänge von Gebäuden und technischen Anlagen einschließlich Betrachtung von Alternativen</t>
  </si>
  <si>
    <t>Mitwirken an Projekt-, Käufer- oder Mieterbaubeschreibungen</t>
  </si>
  <si>
    <t>Vordimensionieren der relevanten Bauteile des Gebäudes</t>
  </si>
  <si>
    <t>Mitwirken beim Abstimmen der fachspezifischen Planungskonzepte der Objektplanung und der Fachplanungen</t>
  </si>
  <si>
    <t>Erstellen eines fachübergreifenden Bauteilkatalogs</t>
  </si>
  <si>
    <t>Erstellen eines Gesamtkonzeptes in Abstimmung mit der Objektplanung und den Fachplanungen</t>
  </si>
  <si>
    <t>Erstellen von Rechenmodellen, Auflisten der wesentlichen Kennwerte als Arbeitsgrundlage für Objektplanung und Fachplanungen</t>
  </si>
  <si>
    <t>Fortschreiben der Rechenmodelle und der wesentlichen Kennwerte für das Gebäude</t>
  </si>
  <si>
    <t>Simulationen zur Prognose des Verhaltens von Bauteilen, Räumen, Gebäuden und Freiräumen</t>
  </si>
  <si>
    <t>Mitwirken beim Fortschreiben der Planungskonzepte der Objektplanung und Fachplanung bis zum vollständigen Entwurf</t>
  </si>
  <si>
    <t>Bemessen der Bauteile des Gebäudes</t>
  </si>
  <si>
    <t>Erarbeiten von Übersichtsplänen und des Erläuterungsberichtes mit Vorgaben, Grundlagen und Auslegungsdaten</t>
  </si>
  <si>
    <t>Mitwirken beim Aufstellen der Genehmigungsplanung und bei Vorgesprächen mit Behörden</t>
  </si>
  <si>
    <t>Mitwirken bei Vorkontrollen in Zertifizierungsprozessen</t>
  </si>
  <si>
    <t>Mitwirken beim Einholen von Zustimmungen im Einzelfall</t>
  </si>
  <si>
    <t>Aufstellen der förmlichen Nachweise</t>
  </si>
  <si>
    <t>Vervollständigen und Anpassen der Unterlagen</t>
  </si>
  <si>
    <t>Durcharbeiten der Ergebnisse der Leistungsphasen 3 und 4 unter Beachtung der durch die Objektplanung integrierten Fachplanungen</t>
  </si>
  <si>
    <t>Mitwirken beim Prüfen und Anerkennen der Montage- und Werkstattplanung der ausführenden Unternehmen auf Übereinstimmung mit der Ausführungsplanung</t>
  </si>
  <si>
    <t>Mitwirken bei der Ausführungsplanung durch ergänzende Angaben für die Objektplanung und Fachplanungen</t>
  </si>
  <si>
    <t xml:space="preserve">Bauphysik          Bauphysik          </t>
  </si>
  <si>
    <t>Beiträge zu Ausschreibungsunterlagen</t>
  </si>
  <si>
    <t>Mitwirken beim Prüfen und Bewerten der Angebote auf Erfüllung der Anforderungen</t>
  </si>
  <si>
    <t>Prüfen von Nebenangeboten</t>
  </si>
  <si>
    <t>1. Honorartafel gem. § 3 Abs. 1 HOAI 2022 - Bauphysik - Wärmeschutz und Energiebilanzierung</t>
  </si>
  <si>
    <t>2. Honorarzone, Honorarsatz, anrechenbare Kosten, mitzuverarbeitende Bausubstanz gem. HOAI 2020 - Freianlagen</t>
  </si>
  <si>
    <t>Grundleistungen/netto</t>
  </si>
  <si>
    <t>zzgl Aufschlag</t>
  </si>
  <si>
    <t>Honorarangebot HOAI - Bauphysik - Bauakustik</t>
  </si>
  <si>
    <t>Vergütungsvereinbarung HOAI - Bauphysik - Bauakustik</t>
  </si>
  <si>
    <t>1. Honorartafel gem. § 3 Abs. 1 HOAI 2022 - Bauphyik - Bauakustik</t>
  </si>
  <si>
    <t>,</t>
  </si>
  <si>
    <t>Honorarangebot HOAI - Bauphysik - Raumakustik</t>
  </si>
  <si>
    <t>Vergütungsvereinbarung HOAI - Bauphysik - Raumakustik</t>
  </si>
  <si>
    <t>1. Honorartafel gem. § 3 Abs. 1 HOAI 2022 - Bauphyik - Raumakustik</t>
  </si>
  <si>
    <t xml:space="preserve">hohe Anforderungen </t>
  </si>
  <si>
    <t xml:space="preserve">sehr hohe Anforderungen </t>
  </si>
  <si>
    <t>Honorarangebot HOAI - Tragwerksplanung</t>
  </si>
  <si>
    <t>Vergütungsvereinbarung HOAI - Tragwerksplanung</t>
  </si>
  <si>
    <t xml:space="preserve">Tragwerksplanung       Tragwerksplanung       Tragwerksplanung       Tragwerksplanung       Tragwerksplanung       Tragwerksplanung       Tragwerksplanung       Tragwerksplanung       Tragwerksplanung        </t>
  </si>
  <si>
    <t>Klären der Aufgabenstellung aufgrund der Vorgaben oder der Bedarfsplanung des Auftraggebers im Benehmen mit dem Objektplaner</t>
  </si>
  <si>
    <t>Tragwerksplanung Baugrube (ggf. inkl. Verbau)</t>
  </si>
  <si>
    <t>Objektplanung Baugrube (ggf. inkl. Verbau)</t>
  </si>
  <si>
    <t>Zusammenstellen der die Aufgabe beeinflussenden Planungsabsichten</t>
  </si>
  <si>
    <t>Tragwerksplanung Baugrube (ggf. incl. Verbau)</t>
  </si>
  <si>
    <t>Beraten in statisch-konstruktiver Hinsicht unter Berücksichtigung der Belange der Standsicherheit, der Gebrauchsfähigkeit und der Wirtschaftlichkeit</t>
  </si>
  <si>
    <t>Objektplanung Baugrube (ggf. incl. Verbau)</t>
  </si>
  <si>
    <t>Mitwirken bei dem Erarbeiten eines Planungskonzepts einschließlich Untersuchung der Lösungsmöglichkeiten des Tragwerks unter gleichen 
Objektbedingungen mit skizzenhafter Darstellung, Klärung und Angabe der für das Tragwerk wesentlichen konstruktiven Festlegungen für zum Beispiel 
Baustoffe, Bauarten und Herstellungsverfahren, Konstruktionsraster und Gründungsart</t>
  </si>
  <si>
    <t>Mitwirken bei Vorverhandlungen mit Behörden und anderen an der Planung fachlich Beteiligten über die Genehmigungsfähigkeit</t>
  </si>
  <si>
    <t xml:space="preserve"> Mitwirken bei der Kostenschätzung und bei der Terminplanung</t>
  </si>
  <si>
    <t xml:space="preserve">Erarbeiten der Tragwerkslösung, unter Beachtung der durch die Objektplanung integrierten Fachplanungen, bis zum konstruktiven Entwurf mit 
zeichnerischer Darstellung </t>
  </si>
  <si>
    <t>Überschlägige statische Berechnung und Bemessung</t>
  </si>
  <si>
    <t>Grundlegende Festlegungen der konstruktiven Details und Hauptabmessungen des Tragwerks für zum Beispiel Gestaltung der tragenden 
Querschnitte, Aussparungen und Fugen; Ausbildung der Auflager- und Knotenpunkte sowie der Verbindungsmittel</t>
  </si>
  <si>
    <t>Mehraufwand bei Sonderbauweisen oder Sonderkonstruktionen, z.B Klären von Konstruktionsdetails</t>
  </si>
  <si>
    <t>Überschlägiges Ermitteln der Betonstahlmengen im Stahlbetonbau, der Stahlmengen im Stahlbau und der Holzmengen im Ingenieurholzbau</t>
  </si>
  <si>
    <t>Mitwirken bei der Objektbeschreibung bzw. beim Erläuterungsbericht</t>
  </si>
  <si>
    <t>Mitwirken bei Verhandlungen mit Behörden und anderen an der Planung fachlich Beteiligten über die Genehmigungsfähigkeit</t>
  </si>
  <si>
    <t>Mitwirken bei der Kostenberechnung und bei der Terminplanung</t>
  </si>
  <si>
    <t>Mitwirken beim Vergleich der Kostenberechnung mit der Kostenschätzung</t>
  </si>
  <si>
    <t>Aufstellen der prüffähigen statischen Berechnungen für das Tragwerk unter Berücksichtigung der vorgegebenen bauphysikalischen Anforderungen</t>
  </si>
  <si>
    <t>Nachweis des konstruktiven Brandschutzes</t>
  </si>
  <si>
    <t>Anfertigen der Positionspläne für das Tragwerk oder Eintragen der statischen Positionen, der Tragwerksabmessungen, der Verkehrslasten, der Art 
und Güte der Baustoffe und der Besonderheiten der Konstruktionen in die Entwurfszeichnungen des Objektsplaners</t>
  </si>
  <si>
    <t>Zusammenstellen der Unterlagen der Tragwerksplanung zur Genehmigung</t>
  </si>
  <si>
    <t>Abstimmen mit Prüfämtern und Prüfingenieuren oder Eigenkontrolle</t>
  </si>
  <si>
    <t>Vervollständigen und Berichtigen der Berechnungen und Pläne</t>
  </si>
  <si>
    <t>Statische Nachweise an nicht zum Tragwerk gehörende Konstruktionen (z.B. Fassaden)</t>
  </si>
  <si>
    <t>Konstruktion und Nachweise der Anschlüsse im Stahl- und Holzbau</t>
  </si>
  <si>
    <t>Anfertigen der Schalpläne in Ergänzung der fertig gestellten Ausführungspläne des Objektplaners</t>
  </si>
  <si>
    <t>Zeichnerische Darstellung der Konstruktionen mit Einbau- und Verlegeanweisungen, zum Beispiel Bewehrungspläne, Stahlbau- oder Holzkonstruktionspläne mit Leitdetails (keine Werkstattzeichnungen)</t>
  </si>
  <si>
    <t>Fortführen der Abstimmung mit Prüfämtern und Prüfingenieuren oder Eigenkontrolle</t>
  </si>
  <si>
    <t>Ermitteln der Betonstahlmengen im Stahlbetonbau, der Stahlmengen in Stahlbau und der Holzmengen im Ingenieurholzbau als Ergebnis der Ausführungsplanung und als Beitrag zur Mengenermittlung des Objektplaners</t>
  </si>
  <si>
    <t>Fachplanerische Zuarbeit für das Aufstellen der Funktionalen Leistungsbeschreibung unter Verwendung der Beiträge anderer an der Planung fachlich Beteiligter auf Grundlage der Entwurfs- und Genehmigungsplanung, der Leitdetails sowie einer detaillierten Objektbeschreibung mit abgestimmter Bemusterungsliste; Zuarbeit für das Fortschreiben der Vergabeunterlagen im Vergabeprozess inkl. Dokumentation der Abstimmungen und Verhandlungen</t>
  </si>
  <si>
    <t>Überschlägiges Ermitteln der Mengen der konstruktiven Stahlteile und statisch erforderlichen Verbindungs- und Befestigungsmittel im Ingenieurholzbau</t>
  </si>
  <si>
    <t>Mitwirken beim Erstellen der Leistungsbeschreibung als Ergänzung zu den Mengenermittlungen als Grundlage für das Leistungsverzeichnis des Tragwerks</t>
  </si>
  <si>
    <t>1. Honorartafel gem. § 40 Abs. 1 HOAI 2020 - Freianlagenplanung</t>
  </si>
  <si>
    <t>Honorarangebot HOAI - Freianlagenplanung</t>
  </si>
  <si>
    <t>Vergütungsvereinbarung HOAI - Freianlagenplanung</t>
  </si>
  <si>
    <t>Freianlagen          Freianlagen          Freianlagen          Freianlagen          Freianlagen          Freianlagen          Freianlagen          Freianlagen          Freianlagen          Freianlagen          Freianlagen          Freianlagen          Freianlagen          Freianlagen</t>
  </si>
  <si>
    <t>Klären der Aufgabenstellung auf Grund der Vorgaben oder der Bedarfsplanung des Auftraggebers oder vorliegender Planungs- und Genehmigungsunterlagen</t>
  </si>
  <si>
    <t>Kartieren und Untersuchen des Bestandes, Floristische oder faunistische Kartierungen</t>
  </si>
  <si>
    <t>Beschaffung bzw. Aktualisieren bestehender Planunterlagen, Erstellen von Bestandskarten</t>
  </si>
  <si>
    <t xml:space="preserve">Umweltfolgenabschätzung </t>
  </si>
  <si>
    <t xml:space="preserve">Bestandsaufnahme, Vermessung </t>
  </si>
  <si>
    <t>Abstimmen der Zielvorstellungen</t>
  </si>
  <si>
    <t>Fotodokumentationen</t>
  </si>
  <si>
    <t>Erfassen, Bewerten und Erläutern der Wechselwirkungen im Ökosystem</t>
  </si>
  <si>
    <t>Mitwirkung bei der Beantragung von Fördermitteln und Beschäftigungsmaßnahmen</t>
  </si>
  <si>
    <t>Erarbeiten eines Planungskonzepts einschließlich Untersuchen und Bewerten von Varianten nach gleichen Anforderungen unter Berücksichtigung zum Beispiel
- der Topographie und der weiteren standörtlichen und ökologischen Rahmenbedingungen,
- der Umweltbelange einschließlich der natur- und artenschutzrechtlichen Anforderungen und der vegetationstechnischen Bedingungen,
- der gestalterischen und funktionalen Anforderungen,
- Klären der wesentlichen Zusammenhänge, Vorgänge und Bedingungen,
- Abstimmen oder Koordinieren unter Integration der Beiträge anderer an der Planung fachlich Beteiligter</t>
  </si>
  <si>
    <t xml:space="preserve">Erarbeiten von Unterlagen für besondere technische Prüfverfahren </t>
  </si>
  <si>
    <t xml:space="preserve">Beurteilen und Bewerten der vorhandenen Bausubstanz, Bauteile, Materialien, Einbauten oder der zu schützenden oder zu erhaltenden Gehölze oder Vegetationsbestände </t>
  </si>
  <si>
    <t>Darstellen des Vorentwurfs mit Erläuterungen und Angaben zum terminlichen Ablauf</t>
  </si>
  <si>
    <t>Kostenschätzung, zum Beispiel nach DIN 276, Vergleich mit den finanziellen Rahmenbedingungen</t>
  </si>
  <si>
    <t>Zusammenfassen, Erläutern und Dokumentieren der Vorplanungsergebnisse</t>
  </si>
  <si>
    <t>Erarbeiten der Entwurfsplanung auf Grundlage der Vorplanung unter Vertiefung zum Beispiel der gestalterischen, funktionalen, wirtschaftlichen, standörtlichen, ökologischen, natur- und artenschutzrechtlichen Anforderungen Abstimmen oder Koordinieren unter Integration der Beiträge anderer an der Planung fachlich Beteiligter</t>
  </si>
  <si>
    <t xml:space="preserve">Mitwirkung beim Beschaffen nachbarlicher Zustimmungen </t>
  </si>
  <si>
    <t xml:space="preserve">Erarbeiten besonderer Darstellungen, zum Beispiel Modelle, Perspektiven, Animationen </t>
  </si>
  <si>
    <t>Beteiligung von externen Initiativ- und Betroffenengruppen bei Planung und Ausführung</t>
  </si>
  <si>
    <t>Mieter- oder Nutzerbefragungen</t>
  </si>
  <si>
    <t>Abstimmen der Planung mit zu beteiligenden Stellen und Behörden</t>
  </si>
  <si>
    <t>Erarbeiten von Ausarbeitungen nach den Anforderungen der naturschutzrechtlichen Eingriffsregelung sowie des besonderen Arten- und Biotopschutzrechtes, Eingriffsgutachten, Eingriffs- oder Ausgleichsbilanz nach landesrechtlichen Regelungen</t>
  </si>
  <si>
    <t>Darstellen des Entwurfs zum Beispiel im Maßstab 1:500 bis 1:100, mit erforderlichen Angaben insbesondere
- zur Bepflanzung,
- zu Materialien und Ausstattungen,
- zu Maßnahmen auf Grund rechtlicher Vorgaben,
- zum terminlichen Ablauf</t>
  </si>
  <si>
    <t>Erstellen und Zusammenstellen von Unterlagen für die Beauftragung von Dritten (Sachverständigenbeauftragung)</t>
  </si>
  <si>
    <t>Objektbeschreibung mit Erläuterung von Ausgleichsund Ersatzmaßnahmen nach Maßgabe der naturschutzrechtlichen Eingriffsregelung</t>
  </si>
  <si>
    <t>Abrufen von Fördermitteln nach Vergleich mit den IST-Kosten (Baufinanzierungsleistung)</t>
  </si>
  <si>
    <t>Kostenberechnung, zum Beispiel nach DIN 276 einschließlich zugehöriger Mengenermittlung</t>
  </si>
  <si>
    <t>Erstellen einer Kosten-Nutzen-Analyse</t>
  </si>
  <si>
    <t>Vergleich der Kostenberechnung mit der Kostenschätzung</t>
  </si>
  <si>
    <t>Aufstellen und Berechnen von Lebenszykluskosten</t>
  </si>
  <si>
    <t>Zusammenfassen, Erläutern und Dokumentieren der Entwurfsplanungsergebnisse</t>
  </si>
  <si>
    <t>Mitwirken bei Beteiligungsverfahren oder Workshops</t>
  </si>
  <si>
    <t xml:space="preserve">Teilnahme an Sitzungen in politischen Gremien oder im Rahmen der Öffentlichkeitsbeteiligung </t>
  </si>
  <si>
    <t xml:space="preserve">Erstellen von landschaftspflegerischen Fachbeiträgen oder natur- und artenschutzrechtlichen Beiträgen </t>
  </si>
  <si>
    <t>Mitwirkung beim Einholen von Genehmigungen und Erlaubnissen nach Naturschutz-, Fach- und Satzungsrecht</t>
  </si>
  <si>
    <t xml:space="preserve">Erfassen, Bewerten und Darstellen des Bestandes gemäß Ortssatzung  </t>
  </si>
  <si>
    <t>Erstellen von Rodungs- und Baumfällanträgen</t>
  </si>
  <si>
    <t>Erstellen von Genehmigungsunterlagen und Anträgen nach besonderen Anforderungen</t>
  </si>
  <si>
    <t>Überflutungsnachweis Ableitungssysteme / Versickerung nach DIN 1986-100 (nicht, wenn bei Technische Ausrüstung)</t>
  </si>
  <si>
    <t>Prüfung von Unterlagen der Planfeststellung auf Übereinstimmung mit der Planung</t>
  </si>
  <si>
    <t>Erarbeiten der Ausführungsplanung auf Grundlage der Entwurfs- und Genehmigungsplanung bis zur ausführungsreifen Lösung als Grundlage für die weiteren Leistungsphasen</t>
  </si>
  <si>
    <t>Erarbeitung von Unterlagen für besondere technische Prüfverfahren (z.B. Lastplattendruckversuche)</t>
  </si>
  <si>
    <t>Erstellen von Plänen oder Beschreibungen, je nach Art des Bauvorhabens zum Beispiel im Maßstab 1:200 bis 1:50</t>
  </si>
  <si>
    <t>Abstimmen oder Koordinieren unter Integration der Beiträge anderer an der Planung fachlich Beteiligter</t>
  </si>
  <si>
    <t>Darstellen der Freianlagen mit den für die Ausführung notwendigen Angaben, Detail- oder Konstruktionszeichnungen, insbesondere
- zu Oberflächenmaterial, -befestigungen und -relief,
- zu ober- und unterirdischen Einbauten und Ausstattungen,
- zur Vegetation mit Angaben zu Arten, Sorten und Qualitäten,
- zu landschaftspflegerischen, naturschutzfachlichen oder artenschutzrechtlichen Maßnahmen</t>
  </si>
  <si>
    <t>Auswahl von Pflanzen beim Lieferanten (Erzeuger)</t>
  </si>
  <si>
    <t>Fortschreiben der Angaben zum terminlichen Ablauf</t>
  </si>
  <si>
    <t>Fortschreiben der Ausführungsplanung während der Objektausführung</t>
  </si>
  <si>
    <t xml:space="preserve">Freianlagen          Freianlagen          Freianlagen          Freianlagen          Freianlagen          Freianlagen          Freianlagen          Freianlagen          Freianlagen          Freianlagen          Freianlagen          </t>
  </si>
  <si>
    <t>Aufstellen von Leistungsbeschreibungen mit Leistungsverzeichnissen</t>
  </si>
  <si>
    <t>Ermitteln und Zusammenstellen von Mengen auf Grundlage der Ausführungsplanung</t>
  </si>
  <si>
    <t>Abstimmen oder Koordinieren der Leistungsbeschreibungen mit den an der Planung fachlich Beteiligten</t>
  </si>
  <si>
    <t>Aufstellen eines Terminplans unter Berücksichtigung jahreszeitlicher, bauablaufbedingter und witterungsbedingter Erfordernisse</t>
  </si>
  <si>
    <t>Kostenkontrolle durch Vergleichen der Ausschreibungsergebnisse mit den vom Planer bepreisten
Leistungsverzeichnissen und der Kostenberechnung</t>
  </si>
  <si>
    <t>Überwachen der Ausführung des Objekts auf Übereinstimmung mit der Genehmigung oder Zustimmung, den Verträgen mit ausführenden Unternehmen, den Ausführungsunterlagen, den einschlägigen Vorschriften sowie mit den allgemein anerkannten Regeln der Technik</t>
  </si>
  <si>
    <t>Überprüfen von Pflanzen- und Materiallieferungen</t>
  </si>
  <si>
    <t>Abstimmen mit den oder Koordinieren der an der
Objektüberwachung fachlich Beteiligten</t>
  </si>
  <si>
    <t>Fortschreiben und Überwachen des Terminplans unter Berücksichtigung jahreszeitlicher, bauablaufbedingter und witterungsbedingter Erfordernisse</t>
  </si>
  <si>
    <t>Dokumentation des Bauablaufes (zum Beispiel Bautagebuch), Feststellen des Anwuchsergebnisses</t>
  </si>
  <si>
    <t>Mitwirken beim Aufmaß mit den bauausführenden Unternehmen</t>
  </si>
  <si>
    <t>Rechnungsprüfung einschließlich Prüfen der Aufmaße der ausführenden Unternehmen</t>
  </si>
  <si>
    <t>Überwachen der Fertigstellungspflege bei vegetationstechnischen Maßnahmen</t>
  </si>
  <si>
    <t>Kostenfeststellung, zum Beispiel nach DIN 276</t>
  </si>
  <si>
    <t>Systematische Zusammenstellung der Dokumentation, zeichnerischen Darstellungen und rechnerischen Ergebnisse des Objekts</t>
  </si>
  <si>
    <t>Fachliche Bewertung der innerhalb der Verjährungsfristen für Gewährleistungsansprüche festgestellten Mängel, längstens jedoch bis zum Ablauf von 5 Jahren seit Abnahme der Leistung, einschließlich notwendiger Begehungen</t>
  </si>
  <si>
    <t xml:space="preserve">Vergabe-Nr.: </t>
  </si>
  <si>
    <t>Honorarangebot - Bebauungsplan</t>
  </si>
  <si>
    <t xml:space="preserve">Vergütungsvereinbarung - Bebauungsplan </t>
  </si>
  <si>
    <t>Hektar vom AG vorgegeben</t>
  </si>
  <si>
    <t>Fläche in Hektar</t>
  </si>
  <si>
    <t xml:space="preserve">100 % HOAI </t>
  </si>
  <si>
    <t xml:space="preserve">Bebauungsplan             Bebauungsplan             Bebauungsplan             Bebauungsplan             Bebauungsplan             Bebauungsplan             Bebauungsplan                        </t>
  </si>
  <si>
    <t>1. Vorentwurf für die frühzeitige Beteiligung</t>
  </si>
  <si>
    <t xml:space="preserve">Zusammenstellen und Werten des vorhandenen Grundlagenmaterials </t>
  </si>
  <si>
    <t>Erfassen der abwägungsrelevanten Sachverhalte</t>
  </si>
  <si>
    <t xml:space="preserve">Ortsbesichtigung </t>
  </si>
  <si>
    <t>Festlegen ergänzender Fachleistungen und Formulieren von Entscheidungshilfen für die Auswahl anderer fachlich Beteiligter, soweit notwendig</t>
  </si>
  <si>
    <t>Analysieren und Darstellen des Zustandes des Plangebiets, soweit für die Planung von Bedeutung und abwägungsrelevant, unter Verwendung hierzu vorliegender Fachbeiträge</t>
  </si>
  <si>
    <t>Mitwirken beim Festlegen von Zielen und Zwecken der Planung</t>
  </si>
  <si>
    <t>Erarbeiten des Vorentwurfes in der vorgeschriebenen Fassung mit Begründung für die frühzeitigen Beteiligungen nach den Bestimmungen des Baugesetzbuchs</t>
  </si>
  <si>
    <t>Darlegen der wesentlichen Auswirkungen der Planung</t>
  </si>
  <si>
    <t>Berücksichtigen von Fachplanungen</t>
  </si>
  <si>
    <t>Mitwirken an der frühzeitigen Öffentlichkeitsbeteiligung einschließlich Erörterung der Planung</t>
  </si>
  <si>
    <t xml:space="preserve">	Mitwirken an der frühzeitigen Beteiligung der Behörden und Stellen, die Träger öffentlicher Belange sind</t>
  </si>
  <si>
    <t>Mitwirken an der frühzeitigen Abstimmung mit den Nachbargemeinden</t>
  </si>
  <si>
    <t>Abstimmen des Vorentwurfes für die frühzeitigen Beteiligungen in der vorgeschriebenen Fassung mit der Gemeinde</t>
  </si>
  <si>
    <t xml:space="preserve">2. Entwurf zur öffentlichen Auslegung </t>
  </si>
  <si>
    <t>Erarbeiten des Entwurfes in der vorgeschriebenen Fassung mit Begründung für die Öffentlichkeits- und Behördenbeteiligung nach den Bestimmungen des Baugesetzbuchs</t>
  </si>
  <si>
    <t>Mitwirken an der Öffentlichkeitsbeteiligung</t>
  </si>
  <si>
    <t>Mitwirken an der Beteiligung der Behörden und Stellen, die Träger öffentlicher Belange sind</t>
  </si>
  <si>
    <t>Mitwirken an der Abstimmung mit den Nachbargemeinden</t>
  </si>
  <si>
    <t>Mitwirken bei der Abwägung der Gemeinde zu Stellungnahmen aus frühzeitigen Beteiligungen</t>
  </si>
  <si>
    <t xml:space="preserve">	Abstimmen des Entwurfs mit der Gemeinde</t>
  </si>
  <si>
    <t>3. Plan zur Beschlussfassung</t>
  </si>
  <si>
    <t>Erarbeiten des Planes in der vorgeschriebenen Fassung mit Begründung für den Beschluss durch die Gemeinde</t>
  </si>
  <si>
    <t xml:space="preserve">	Mitwirken bei der Abwägung der Gemeinde zu Stellungnahmen</t>
  </si>
  <si>
    <t>Erstellen des Planes in der durch Beschluss der Gemeinde aufgestellten Fassung.</t>
  </si>
  <si>
    <t>Vorläufiges Honorarangebot für die zunächst beauftragten &amp; vorausichtlichen Leistungen:</t>
  </si>
  <si>
    <t>Flächen in Hektar</t>
  </si>
  <si>
    <t>Hektar</t>
  </si>
  <si>
    <t>Pauschalhonorar/netto (Stundensatz und -anzahl dienen nur der Plausibilisierung)</t>
  </si>
  <si>
    <t>Honorarangebot zu weiteren Besonderen Leistungen</t>
  </si>
  <si>
    <t>Honorar, netto (Abrechnung erfolgt auf Stundenbasis)</t>
  </si>
  <si>
    <t>Vergütungsvereinbarung zu weiteren Besonderen Leistungen</t>
  </si>
  <si>
    <t>Einzelne Besondere Leistungen</t>
  </si>
  <si>
    <t xml:space="preserve"> Besondere Leistungen im Zusammenhang mit Instandsetzungen und Modernisierungen</t>
  </si>
  <si>
    <t>Erforderliche Stundenanzahl</t>
  </si>
  <si>
    <t>Stundensatz, netto</t>
  </si>
  <si>
    <t>SiGeKo-Leistungen gemäß Baustellenverordnung</t>
  </si>
  <si>
    <t>Ornithologische Untersuchungen</t>
  </si>
  <si>
    <t>Bestandsaufnahme der Gebäude und ggf. der Wohnungen</t>
  </si>
  <si>
    <t>Erstellung von Bestandsunterlagen</t>
  </si>
  <si>
    <t>Bauzustandsanalyse einschließlich bautechnischer Bestandsgutachten, u. a. mit Wärmebildkamera</t>
  </si>
  <si>
    <t>Schadstoffgutachten einschließlich Entsorgungskonzept</t>
  </si>
  <si>
    <t>Mitwirkung bei der Mieterbetreuung, z. B. Zuarbeit für die Modernisierungsankündigung und -abrechnung</t>
  </si>
  <si>
    <t>Mitwirkung bei der Abwicklung von Fördermöglichkeiten</t>
  </si>
  <si>
    <t>Erarbeitung eines Müllkonzeptes einschließlich Erwirkung der Standortgenehmigung</t>
  </si>
  <si>
    <t>Anfertigung von Vermietungsgrundrissen nach Vorgaben des AG und Zuarbeit erforderlicher Daten</t>
  </si>
  <si>
    <t>Mitwirkung bei der Erstellung einer "Mieterfibel" bestehend aus Bedienungsanleitungen oder Benutzungshinweisen</t>
  </si>
  <si>
    <t>Überwachung der Mängelbeseitigung innerhalb der Gewährleistungsfrist</t>
  </si>
  <si>
    <t>erforderliche brandschutztechnische Planung</t>
  </si>
  <si>
    <t>Lüftungskonzept</t>
  </si>
  <si>
    <t>Schallschutztechnisches Gutachten</t>
  </si>
  <si>
    <t>Energieausweis</t>
  </si>
  <si>
    <t>Nachweis nach Energieeinsparverordnung sowie erforderliche bauphysikalische Nachweise</t>
  </si>
  <si>
    <t>Teilnahme an Mietersprechstunden während der Bauzeit (als Ergänzung zu Mieterbetreuung…)</t>
  </si>
  <si>
    <t>Erforderlich statisch-konstruktive Berechnungen</t>
  </si>
  <si>
    <t>Abstimmung mit Behörden für die Erlangung behördlicher Zustimmungen</t>
  </si>
  <si>
    <t xml:space="preserve">Organisation der Bemusterung </t>
  </si>
  <si>
    <t xml:space="preserve">Teilnahme an der Bemusterung </t>
  </si>
  <si>
    <t xml:space="preserve">Objektplanung für Baugrube </t>
  </si>
  <si>
    <t>Schließplan/Schließanlagenkonzept in Abstimmung mit dem AG</t>
  </si>
  <si>
    <t>Beschilderungsplan/ Beschilderungskonzept in Abstimmung mit dem AG einschl. Fluchtwegepläne</t>
  </si>
  <si>
    <t xml:space="preserve"> Besondere Leistungen im Zusammenhang mit der Hochbauplanung</t>
  </si>
  <si>
    <t>Pauschalhonorar (Stundensatz und -anzahl dienen nur der Plausibilisierung)</t>
  </si>
  <si>
    <t>Farbkonzept mit künstlerischer Anmutung (je Bauvorhaben)</t>
  </si>
  <si>
    <t>Nachweis über die Einhaltung der Richtlinien und Merkblätter der Berliner Feuerwehr</t>
  </si>
  <si>
    <t>Mitwirkung bei der Fördermittelbeschaffung einschl. Erarbeitung der IBB-Anträge mit Kostenberechnung nach DIN 276 (2. Ebene), Kostenverfolgung bis Kostenfeststellung und Teilnahme an Abstimmungsgesprächen sowie Abrechnung</t>
  </si>
  <si>
    <t>Mitwirkung bei der Fördermittelbeschaffung einschl. Erarbeitung der KfW-Anträge, Teilnahme an Abstimmungsgesprächen sowie Abrechnung</t>
  </si>
  <si>
    <t>Erarbeitung Müllkonzept einschl. Erwirkung der Standortgenehmigung (ggf., wenn nicht bei Feianlagenplaner)</t>
  </si>
  <si>
    <t>Verkehrstechnische Untersuchung und Erstellung eines Verkehrskonzept (inkl. Tiefgaragenkonzept)</t>
  </si>
  <si>
    <t>Begleitung der Öffentlichkeitsarbeit im Zusammenhang mit Anwohnern, Bürgern u. polit. Vertretern einschl. Teilnahme an Sitzungen in polit. Gremien oder im Rahmen der Öffentlichkeitsarbeit oder bei Workshops</t>
  </si>
  <si>
    <t>Vorbereitung planerischer Grundlagen und Mitwirkung bei der Nachbarschaftsabstimmung</t>
  </si>
  <si>
    <t>Logistikkonzept mit Planung der Baustelleneinrichtung</t>
  </si>
  <si>
    <t>Überwachung der Mängelbeseitigung innerhalb der Verjährungsfrist</t>
  </si>
  <si>
    <t xml:space="preserve">Gewerkeweise Kostenverfolgung ab der Kostenberechnung </t>
  </si>
  <si>
    <t>Nachgeführte Planung im Zusammenhang mit den Aufzügen (entsprechend Vorgaben des Herstellers einschl. Schachtmaße u. Unterfahrt)</t>
  </si>
  <si>
    <t>Mitwirkung bei der Erstellung einer "Mieterfibel", bestehend aus Bedienungsanleitungen der technischen Besonderheiten und Benutzungshinweisen der jeweiligen Wohnungen (auch hinsichtl. der Vorgaben der IBB)</t>
  </si>
  <si>
    <t>SiGeKo-Leistungen gem. Baustellenverordnung</t>
  </si>
  <si>
    <t xml:space="preserve"> Besondere Leistungen im Zusammenhang mit der Tragwerksplanung</t>
  </si>
  <si>
    <t>Pauschalhonorar (Stundensatz und -anzahl dienen der Plausibilisierung)</t>
  </si>
  <si>
    <t>Nachgeführte Planung/Bemessung der Aufzugschachtsohlen/-unterfahrten für Anordnung eines Kranes (entsprechend Vorgaben des Herstellers einschl. Schachtmaßen u. Unterfahrten)</t>
  </si>
  <si>
    <t>Sondergründungsmaßnahmen</t>
  </si>
  <si>
    <t>Planungs- und Beratungsleistungen bez. der Abdichtung des Gebäudes mit WU-Betonkonstruktionen</t>
  </si>
  <si>
    <t xml:space="preserve"> Besondere Leistungen im Zusammenhang mit der Freianlagenplanung</t>
  </si>
  <si>
    <t>Überwachung der Entwicklungs- u. Unterhaltungspflege</t>
  </si>
  <si>
    <t>Erarbeitung Müllkonzept einschl. Erwirkung der Standortgenehmigung (ggf., wenn nicht bei Objektplaner)</t>
  </si>
  <si>
    <t xml:space="preserve"> Besondere Leistungen im Zusammenhang mit der Technischen Ausrüstung</t>
  </si>
  <si>
    <t xml:space="preserve">Leitungsmanagement: Koordination/Organisation/Begleitung der Bestandsleitungen/Leitungsumverlegungen über alle LPH auf dem Baugrundstück </t>
  </si>
  <si>
    <t>Leitungsmanagement: Koordination/Organisation/Begleitung der Bestandsleitungen/Leitungsumverlegungen über alle LPH am Baugrundstück (im öffentl. Bereich bzw. auf Nachbargrundstücken)</t>
  </si>
  <si>
    <t>Überflutungsnachweis Ableitungssysteme / Versickerung nach DIN 1986-100 (ggf., wenn nicht bei Freianlagenplanung)</t>
  </si>
  <si>
    <t xml:space="preserve"> Besondere Leistungen im Zusammenhang mit der Bauphysik</t>
  </si>
  <si>
    <t>Honorar, netto</t>
  </si>
  <si>
    <t>detaillierte Wärmebrückenberechnung zum Ansatz eines Wärmebrückenzuschlags von ΔUWB &lt; 0,02 W(m²K); soweit erforderlich ist für die Wärmebrücken ein (stationärer) Tauwassernachweis zu führen, x-fach</t>
  </si>
  <si>
    <t xml:space="preserve"> Besondere Leistungen im Zusammenhang mit dem Brandschutz</t>
  </si>
  <si>
    <t>Klären der Aufgabenstellung und des  Planungsumfangs. Klären, inwieweit besondere Fachplaner einzubeziehen sind, und Festlegen der Aufgabenverteilung</t>
  </si>
  <si>
    <t>Zusammenstellen der Ergebnisse</t>
  </si>
  <si>
    <t xml:space="preserve">Bestandserfassung vor Ort </t>
  </si>
  <si>
    <t>Auswerten von übergebenen Bauakten</t>
  </si>
  <si>
    <t>Feststellen einschlägiger Rechtsgrundlagen und der wesentlichen materiell-rechtlichen Anforderungen aufgrund der Art, Nutzung, Bauweise, Größe, Nachbarschaft und des gestalterischen Konzepts sowie eventuell beanspruchter Abweichungen von bauordnungsrechtlichen Vorschriften</t>
  </si>
  <si>
    <t xml:space="preserve">Erarbeiten der Grundzüge des Brandschutzkonzepts
einschließlich Möglichkeiten beim abwehrenden Brandschutz und Grundlagen für anlagentechnische Maßnahmen </t>
  </si>
  <si>
    <t>Erstellen von Brandschutzskizzen zur Visualisierung der baulichen Maßnahmen und des anlagentechnischen Konzepts</t>
  </si>
  <si>
    <t>Stichpunkthaftes Zusammenstellen der Vorplanungsergebnisse</t>
  </si>
  <si>
    <t xml:space="preserve">Qualitative Analyse der vorgesehenen Nutzung hinsichtlich besonderer Brand- und Explosionsgefahren oder Wassergefährdungsklassen </t>
  </si>
  <si>
    <t>Erarbeiten eines Entrauchungskonzepts für spezielle Fragestellungen</t>
  </si>
  <si>
    <t xml:space="preserve">Erarbeiten eines Evakuierungskonzepts für spezielle Fragestellungen  </t>
  </si>
  <si>
    <t xml:space="preserve">Auswerten von übergebenen Listen/Sicherheitsdatenblättern zu brennbaren Flüssigkeiten oder Gefahrstoffen </t>
  </si>
  <si>
    <t xml:space="preserve">Abgleich mit den Vorschriften des Arbeitsschutzes zur Auslegung der Rettungswege  </t>
  </si>
  <si>
    <t>Erarbeiten des Brandschutzkonzepts ggf. unter Berücksichtigung der Wechselwirkung zwischen den baulichen und anlagentechnischen Maßnahmen</t>
  </si>
  <si>
    <t>Konkretisieren von allen objektspezifischen Brandschutzanforderungen</t>
  </si>
  <si>
    <t>Mitwirken bei Abstimmungen mit Behörden, Brandschutzdienststellen und/oder Feuerwehr</t>
  </si>
  <si>
    <t>Zusammenstellen wesentlicher lnhalte als Entwurf des textlichen Erläuterungsberichts zum Stand der Entwurfsplanung</t>
  </si>
  <si>
    <t>Festlegen der maßgebenden Brandszenarien und numerische Brandsimulation oder qualitative Analysen</t>
  </si>
  <si>
    <t>Erarbeiten eines Evakuierungskonzepts auf Basis ingenieurmäßiger Methoden</t>
  </si>
  <si>
    <t>Erarbeiten des Erläuterungsberichts gemäß den jeweils geltenden bauaufsichtlichen Verfahrensvorschriften mit Darstellung
- der Rechtsgrundlagen, die der Planung zugrunde liegen
- des Brandschutzkonzepts mit den baulichen, anlagentechnischen und betrieblichen Maßnahmen
- der Erfordernisse zur Wahrung der Belange des abwehrenden Brandschutzes</t>
  </si>
  <si>
    <t>Erstellen von Brandschutzplänen als Visualisierung der baulichen Brandschutzmaßnahmen und des anlagentechnischen Konzepts</t>
  </si>
  <si>
    <t>Begründen von Abweichungen</t>
  </si>
  <si>
    <t>Zusammenstellen der vorgenannten Unterlagen</t>
  </si>
  <si>
    <t>Überprüfen von Bauvorlagen auf zutreffende Umsetzung der Brandschutzplanung und auf Übereinstimmung mit dem Erläuterungsbericht</t>
  </si>
  <si>
    <t>Fortschreiben des prinzipiell genehmgungsfähigen Brandschutzkonzepts um die Ergebnisse der Vorprüfung der Bauaufsichtsbehörden oder Forderungen des Prüfsachverständigen/Prüfingenieurs</t>
  </si>
  <si>
    <t>Rettungswegeführung aus Nachbargebäuden während der Bauzeit</t>
  </si>
  <si>
    <t>Prüfen der Baugenehmigung auf einen ggf. gebotenen Widerspruch bezogen auf das Brandschutzkonzept</t>
  </si>
  <si>
    <t>Beraten bei Anfragen der Objekt-und Fachplaner hinsichtlich der integrierten brandschutztechnischen Fachleistung bis zur ausführungsreifen Lösung auf Basis des genehmigten Brandschutzkonzeptes einschließlich der Auflagen aus der Genehmigung</t>
  </si>
  <si>
    <t>Mitwirken an der Koordination der Fachplanung an brandschutzrelevanten Schnittstellen</t>
  </si>
  <si>
    <t>Mitwirken bei Feststellung der Eignung vorgelegter Verwendbarkeitsnachweise für die Einbausituation</t>
  </si>
  <si>
    <t xml:space="preserve">Prüfen, inwieweit zusätzliche genehmigungspflichtige Sachverhalte entstanden sind </t>
  </si>
  <si>
    <t>Prüfen von Ausführungsplänen und Montageplänen der Objekt- und Fachplaner hinsichtlich des baulichen Brandschutzes</t>
  </si>
  <si>
    <t>Mitwirken bei dem Erstellen einer gesonderten Bauvorlage zur Lüftungsanlage („Lüftungsgesuch“)</t>
  </si>
  <si>
    <t>Prüfen von Funktionsbeschreibungen des anlagentechnischen Brandschutzes</t>
  </si>
  <si>
    <t>Mitwirken bei der Einholung von Zustimmung im Einzelfall</t>
  </si>
  <si>
    <t>Mitwirken bei dem Erstellen des Brandmelde- und Alarmierungskonzeptes</t>
  </si>
  <si>
    <t>Mitwirken bei dem Erstellen einer gewerkeübergreifenden Brandschutzmatrix</t>
  </si>
  <si>
    <t>Planung der Ausstattung mit Feuerlöschern</t>
  </si>
  <si>
    <t>Beraten der Objekt- und Fachplaner bei der Erstellung der brandschutztechnischen Teile des Leistungsverzeichnisses</t>
  </si>
  <si>
    <t>Prüfen von definierten brandschutztechnischen Teilleistungen im Leistungsverzeichnis</t>
  </si>
  <si>
    <t>Mitwirken bei der Anfertigung von Ausschreibungszeichnungen bei Leistungsbeschreibungen mit Leistungsprogramm</t>
  </si>
  <si>
    <t>Beraten der Objekt- und Fachplaner bei der Auswertung der brandschutzrelevanten Teile der Leistungsverzeichniss</t>
  </si>
  <si>
    <t>Prüfen der Ausführung des Objektes auf prinzipielle Übereinstimmung mit dem genehmigten Brandschutzkonzept einschließlich der Auflagen aus der Genehmigung an bis zu drei Begehungseinheiten</t>
  </si>
  <si>
    <t>Kontrolle der vorgelegten Verwendbarkeitsnachweise und Bescheinigungen zum baulichen Brandschutz</t>
  </si>
  <si>
    <t>Prüfen der Plausibilität der Sachverständigenbescheinigungen oder Sachkundigenbestätigungen für die brandschutzrelevanten Anlagen auf Schnittstellen</t>
  </si>
  <si>
    <t>Mitwirken bei der Vorbereitung von behördlichen Prüfungen/Begehungen und Teilnahme daran</t>
  </si>
  <si>
    <t>Erstellen eines Statusberichtes einschließlich Bewerten der Möglichkeiten für die Inbetriebnahme</t>
  </si>
  <si>
    <t>Fachbauleitung Brandschutz als systematisch-stichprobenartige und ggf. zerstörende Kontrolle von baulichen Brandschutzmaßnahmen</t>
  </si>
  <si>
    <t>Mitwirken bei der fachtechnischen Abnahme von Sonderbauteilen, Anlagen und Einrichtungen zur Feststellung von Mängeln</t>
  </si>
  <si>
    <t>Mitwirken bei der Erstellung der Brandschutzordnung für die Baustelle</t>
  </si>
  <si>
    <t>Mitwirken bei der Prüfung der Steuermatrix</t>
  </si>
  <si>
    <t>Aktualisierung des Erläuterungsberichts und der Brandschutzpläne</t>
  </si>
  <si>
    <t>Mitwirken bei der Überwachung zur Beseitigung der bei der Abnahme festgestellten Mängel</t>
  </si>
  <si>
    <t>Erstellen oder Prüfen von Feuerwehrpläne</t>
  </si>
  <si>
    <t>Erstellen oder Prüfen von Flucht- und Rettungsplänen</t>
  </si>
  <si>
    <t>Mitwirken bei der Erstellung der Brandschutzordnung, des Betriebshandbuches, des Alarm- und Gefahrenabwehrplans</t>
  </si>
  <si>
    <t xml:space="preserve"> Besondere Leistungen Plancontrolling</t>
  </si>
  <si>
    <t>: Prüfung der vorliegenden Entwurfs-, Genehmigungs- und Ausführungsplanung auf Eignung als Grundlage für die Erarbeitung der Vergabeunterlage durch den AN</t>
  </si>
  <si>
    <t>Prüfung auf Vollständigkeit, Bearbeitungstiefe und fachübergreifende Konformität (Gleichstellung und Integration der Objekt- und Fachplanungen sowie der dazugehörigen Gutachten)</t>
  </si>
  <si>
    <t>Prüfung auf technische Plausibilität, Ausführbarkeit und Übereinstimmung mit den anerkannten Regeln der Technik; Prüfung auf Potenzial zur Kostenoptimierung</t>
  </si>
  <si>
    <t>Unterstützung des AG bei der Durchsetzung von Vertragspflichten der Entwurfsverfasser, insbesondere zur Vervollständigung und -berichtigung der Entwurfs- und Genehmigungsplanung und Ausführungsplanung</t>
  </si>
  <si>
    <t>Prüfung und Nachverfolgung der Nachbesserung</t>
  </si>
  <si>
    <t xml:space="preserve">2. </t>
  </si>
  <si>
    <t>Honorarsumme für die besonderen Leistungen:</t>
  </si>
  <si>
    <t xml:space="preserve">3. </t>
  </si>
  <si>
    <t>Berechnung vorläufig beauftragte Besondere  Leistungen zu Modernisierung und Instandsetzung</t>
  </si>
  <si>
    <t>Berechnung vorläufig beauftragte Besondere Leistungen im Zusammenhang mit der Hochbauplanung</t>
  </si>
  <si>
    <t>Berechnung vorläufig beauftragte Besondere Leistungen im Zusammenhang mit der Tragwerksplanung</t>
  </si>
  <si>
    <t>Berechnung vorläufig beauftragte Besondere Leistungen im Zusammenhang mit der Freianlagenplanung</t>
  </si>
  <si>
    <t xml:space="preserve"> Berechnung vorläufig beauftragte Besondere Leistungen im Zusammenhang mit der Bauphysik</t>
  </si>
  <si>
    <t xml:space="preserve"> Berechnung vorläufig beauftragte Besondere Leistungen Brandschutzplanung</t>
  </si>
  <si>
    <t>Summe</t>
  </si>
  <si>
    <t>Summe Gesamt:</t>
  </si>
  <si>
    <t xml:space="preserve">Stufenberechnung </t>
  </si>
  <si>
    <t>v</t>
  </si>
  <si>
    <t>Phase:</t>
  </si>
  <si>
    <t>Gesamtsumme:</t>
  </si>
  <si>
    <t>Honorarangebot zu den Besonderen Leistungen GÜ-Berater</t>
  </si>
  <si>
    <t>Vergütungsvereinbarung zu den Besonderen Leistungen GÜ-Berater</t>
  </si>
  <si>
    <t xml:space="preserve"> Besondere Leistungen im Zusammenhang mit der Erbringung von GÜ-Beratungsleistungen </t>
  </si>
  <si>
    <t>Vorbereitung des Verfahrens</t>
  </si>
  <si>
    <t xml:space="preserve">Erarbeiten und Abstimmen der Aufbau- und Ablauforganisation inkl. der Erstellung eines Organigramms, Projektbeteiligtenliste, Festlegung der Besprechungsorganisation etc. inkl. der erforderli-chen Abstimmungsgespräche in Berlin </t>
  </si>
  <si>
    <t>Einarbeiten in die vorhandenen Projekt-Unterlagen, Beratung zur Beschaffung ggf. weiterer erforderlicher Bestandsunterlagen, Plausibilitätsprüfung der Aufgabenstellung (insbesondere Wohnungs-schlüssel, funktionale und qualitative Anforderungen) sowie der Kosten- und Terminziele</t>
  </si>
  <si>
    <t>Erstellung der Rahmenterminplans für den Verfahrensablauf bis zur Zuschlagserteilung als verknüpfter Balkenterminplan</t>
  </si>
  <si>
    <t>Bekanntmachungstext Teilnahmewettbewerb</t>
  </si>
  <si>
    <t xml:space="preserve">Beratung zu Mindesteignungsanforderungen an die Bewerber bezüglich deren wirtschaftlich-finanzieller und technisch-fachlicher Leistungsfähigkeit unter Berücksichtigung der besonderen Marktkenntnisse des AN, Erarbeitung und Abstimmung Eignungskriterien </t>
  </si>
  <si>
    <t>Mitarbeit an dem Entwurf zur Veröffentlichung der EU-weiten Bekanntmachung.</t>
  </si>
  <si>
    <t>Erstellung des Bewerbungsmemorandum/ - bogen</t>
  </si>
  <si>
    <t>Erstellung der EU-weiten Bekanntmachung durch Rechtsberatung des AG. Versand der Bekanntmachung durch den AG (Verdingungsstelle).</t>
  </si>
  <si>
    <t>Beantwortung von Bewerberfragen (bis zu 25 Fragen je Bewerber), , Abstimmung mit den Beteiligten</t>
  </si>
  <si>
    <t>Mitwirkung an der Erstellung einer Auswahlmatrix zur Auswahl der Bewerber für die nächste Verfahrensstufe unter Berücksichtigung der Zielvorstellungen des AG zum Bieterkreis und unter Berücksich-tigung der besonderen Marktkenntnisse des AN</t>
  </si>
  <si>
    <t>Erarbeitung und Zusammenstellung aller erforderlichen Unterlagen und Musterdokumente für den Teilnahmewettbewerb und die weiteren für die Aufforderung zur Angebotsabgabe erforderlichen Unterlagen, insbesondere Unterlagen, Preisblätter, Formblätter und Anlagen zur Vervollständigung der Vergabeunterlagen (Anforderungen an das Angebot).</t>
  </si>
  <si>
    <t xml:space="preserve">Mitwirkung bei Wertung der Teilnahmeanträge und Dokumentation: Prüfung der Teilnahmeanträge auf Vollständigkeit, Auswertung der Teilnahmeanträge hinsichtlich Eignung, Empfehlung zur Bewer-berauswahl aus technischer Sicht, Dokumentation der Bewerberauswahl. </t>
  </si>
  <si>
    <t>Mitwirkung beim Erstellung der Absage- und Aufforderungsschreiben an die Bewerber</t>
  </si>
  <si>
    <t>Koordinierung und Abstimmung der erforderlichen Leistungen</t>
  </si>
  <si>
    <t xml:space="preserve">Vorbereitung und Erstellung Vergabeunterlagen     </t>
  </si>
  <si>
    <t>Die Muster Vergabeunterlage des AG ist auf das konkrete Projekt anzupassen. Das Muster ist zuvor auf Aktualität und Übereinstimmung mit dem aktuellen Regelwerk zu überprüfen.</t>
  </si>
  <si>
    <t>Abfrage der quantitativen und qualitativen Bedarfsanforderungen des AG über Fragenkataloge, Teilnahme an Vorbereitungsgesprächen und fachtechnischen Beratungen bei der WBM</t>
  </si>
  <si>
    <t>Erstellung von Leistungsbeschreibungen Bau für Hochbau, TA und Außenanlagen, als funktionale Leistungsbeschreibung / Outputspezifikation (ohne Ausstattung und Möblierung) auf Grundlage des Anforderungsprogramms der WBM und unter Verwendung von bereitgestellten Angaben und Unterlagen Dritter</t>
  </si>
  <si>
    <t>Vorbereitung und Teilnahme an Abstimmungsgesprächen zu den Entwürfen der Leistungsbeschrei-bung Planung und Bau und Unterlagen nach den vorgenannten Ziffern</t>
  </si>
  <si>
    <t>Mitwirkung beim Zusammenstellen der Vergabeunterlagen unter Verwendung der eigenen Arbeitsergebnisse und der vom AG und Anderen bereitgestellten Unterlagen. Die Vervielfältigung und der Versand wird durch die Vergabestelle der WBM durchgeführt</t>
  </si>
  <si>
    <t>Vergabeunterlagen - Allgemeine Bedingungen Teil A</t>
  </si>
  <si>
    <t>Beschreibung der allgemeinen Verfahrensgrundsätze 
(Formulierung der Projektrahmenbedingungen; allgemeinen Bedingungen für die Auftragsvergabe)</t>
  </si>
  <si>
    <t>Erarbeitung und Abstimmung der Zuschlagskriterien sowie einer Bewertungsmatrix</t>
  </si>
  <si>
    <t>Zusammenfügen der Ergebnisse, Endredaktion Teil A</t>
  </si>
  <si>
    <t>Vergabeunterlagen - Funktionale Leistungsbeschreibung Bau Teil B (Kapitel 1 bis 5)</t>
  </si>
  <si>
    <t>Kapitel 1 der FLB (Allgemeines): Prüfen auf Aktualität und ggfs. Abstimmung und Einarbeiten dieser Informationen in die FLB</t>
  </si>
  <si>
    <t>Kapitel 2 der FLB (Funktionale Anforderung an die Planung): Einfordern, Sichten und Werten aller relevanten Unterlagen und Informationen zur Bauaufgabe und Baugrundstück, Einarbeiten dieser Informationen in die FLB</t>
  </si>
  <si>
    <t>Kapitel 3 der FLB (Übergreifende Anforderungen an Planung und Ausführung): Prüfen auf Aktualität und ggfs. Abstimmung und Einarbeiten dieser Informationen in die FLB</t>
  </si>
  <si>
    <t>Kapitel 4 der FLB (Anforderungen an die Bauausführung): Prüfen auf Aktualität und ggfs. Abstimmung und Einarbeiten dieser Informationen in die FLB</t>
  </si>
  <si>
    <t xml:space="preserve">Kapitel 5 der FLB (Leitfabrikate): </t>
  </si>
  <si>
    <t>Zusammen tragen aller Inhalte und Einarbeiten in die endsprechenden Kapitel, Endredaktion der Funktionalen Leistungsbeschreibung Bau</t>
  </si>
  <si>
    <t>Zusammenstellen der Anlagen Teil B, Erstellen Anlagenverzeichnis, Erstellung der ergänzenden Anlagen zur Leistungsbeschreibung Bau für Hochbau, TA und Außenanlagen als Raumprogramm, Raumtypenbuch o.ä. auf Grundlage des Anforderungsprogramms der WBM und unter Verwendung von bereitgestellten Angaben und Unterlagen Dritter</t>
  </si>
  <si>
    <t>Erarbeiten eines Prüfschemas für unbedingt einzuhaltende Forderungen der FLB</t>
  </si>
  <si>
    <t>Vergabeunterlagen - Angebotsformblätter Teil D</t>
  </si>
  <si>
    <t xml:space="preserve">	Anpassen der Muster- Angebotsformblätter auf die Erfordernisse des aktuellen Projektes</t>
  </si>
  <si>
    <t>Ggfs. Erarbeitung notwendiger neuer Angebotsformblätter</t>
  </si>
  <si>
    <t>Technische und wirtschaftliche Prüfung der von der Rechtsberatung der WBM erstellten juristischen Vergabeunterlagen, z.B. Entwurf Totalunternehmervertrag, Angebotsformular, Bürgschaftsmuster u.ä..</t>
  </si>
  <si>
    <t>Fortschreiben und regelmäßige (mindestens monatliche) Aktualisierung des Rahmenterminplanes während des Vergabeverfahrens als verknüpfter Balkenterminplan.</t>
  </si>
  <si>
    <t>Bieterfragen</t>
  </si>
  <si>
    <t>Beantwortung von Rückfragen der Bieter zum Leistungsbereich des AN (bis zu 30 Fragen zu Planung und Bau je Bieter); Koordination und Versand der Fragen und Antworten erfolgt durch die Vergabe-stelle der WBM. Mitwirkung bei Koordination der Bieterfragen und Antworten zu den Bereichen Planung, Bau und Recht; Abstimmung mit allen Beteiligten - Hinweis: Die Bieterfragen gehen bei der Vergabestelle ein, diese leitet die Bieterfragen weiter</t>
  </si>
  <si>
    <t xml:space="preserve">Erstellung Dokumentation aller Bieterfragen, Antworten auf Bieterfragen und Nachgereichter Dokumente - Hinweis: Die Antworten auf die Bieterfragen werden von dem AG versandt </t>
  </si>
  <si>
    <t>Angebotsauswertung von bis zu 5 Angeboten</t>
  </si>
  <si>
    <t>Mitwirkung bei der Sachstandsfeststellung der indikativen Angebote, Abstimmung des Ergebnisses mit Rechtsberatung des AG (wenn erforderlich), Mitwirkung an etwaigem Schriftverkehr mit den Bietern. 
- Hinweis: Die Angebote gehen bei der Vergabestelle ein. Diese stellt dem AN die digitalen Unterlagen zur Verfügung.</t>
  </si>
  <si>
    <t>Mitwirkung bei Prüfung und Wertung der indikativen Angebote hinsichtlich Preis, Planung und Bau, Außenanlagen (Städtebaus/Architektur, Funktionalität, Bauqualitäten), einschließlich Zahlungsplan, Zeit, Kosten, Kapazitäten.</t>
  </si>
  <si>
    <t xml:space="preserve">	Vorbereitung und Teilnahme an einem Workshop zu Auswertung der Funktionalität der indikativen Angebotsentwürfe einschl. Protokollführung (Raumgestaltung und Ausstellung der Entwürfe durch die WBM).</t>
  </si>
  <si>
    <t>Vorbereitung und Teilnahme an der Sitzung eines Architekturgremiums inkl. Erstellung Vorprüfbericht und Protokollierung. Integration der Ergebnisse in die Angebotsauswertung. Insbesondere die technische und wirtschaftliche Unterstützung bei der Auswertung der architektonischen Entwürfe; Begleitung der Wertung durch das Fachgremium.</t>
  </si>
  <si>
    <t>Formale Prüfung</t>
  </si>
  <si>
    <t>Formale Prüfung auf Vollständigkeit der Unterlagen</t>
  </si>
  <si>
    <t>Dokumentation der formalen Prüfung innerhalb 3 Werktagen an Vergabestelle</t>
  </si>
  <si>
    <t>Ggfs. Vorbereitung von Nachforderungsschreiben</t>
  </si>
  <si>
    <t>Quantitative Prüfung 1a - Investitionskosten</t>
  </si>
  <si>
    <t>Plausibilitätskontrolle der Pauschalfestpreise</t>
  </si>
  <si>
    <t>Falls die Plausibilitätskontrolle Nachfragebedarf ergibt, Erarbeitung der entsprechenden Un-terlagen für eine Nachforderung</t>
  </si>
  <si>
    <t>Vergleichende Darstellung der Pauschalfestpreise aller Bieter</t>
  </si>
  <si>
    <t>Ermittlung der Punktzahlen aller Bieter gemäß Bewertungsmatrix</t>
  </si>
  <si>
    <t>Dokumentation der nach Bewertungsmatrix unmittelbar bewertungsrelevanten Kennzahl für Baukosten innerhalb von 8 Werktagen an Vergabestelle</t>
  </si>
  <si>
    <t>Quantitative Prüfung 1b - Vorbereitung der Bietergespräche</t>
  </si>
  <si>
    <t>Vergleich der Kalkulationsgrundlagen der Angebote aller Bieter mit Kennzeichnung signifikanter Differenzen</t>
  </si>
  <si>
    <t>Erarbeitung eines Fragenkataloges für das erste Bietergespräch zur Plausibilisierung des Pauschalfestpreises unter Benutzung des vom AG zur Verfügung gestellten Musters einer Klarstellungsliste.</t>
  </si>
  <si>
    <t>Quantitative Prüfung 2a - Flächen, Wohnungsanzahl, Wohnungsmix</t>
  </si>
  <si>
    <t>Plausibilitätskontrolle der Angaben</t>
  </si>
  <si>
    <t>Prüfung der Erfüllung der nach Bewertungsmatrix unmittelbar bewertungsrelevanten Kennzah-len wie z.B. Mietfläche, Wohnungsanzahl und Wohnungsmix</t>
  </si>
  <si>
    <t>Dokumentation der nach Bewertungsmatrix unmittelbar bewertungsrelevanten Kennzahlen für quantitativen Anforderungen innerhalb von 8 Werktagen an Vergabestelle</t>
  </si>
  <si>
    <t>Quantitative Prüfung 2b - Vorbereitung Bietergespräch bzw. Überarbeitungsaufträge</t>
  </si>
  <si>
    <t>Darstellung von Auffälligkeiten und Unklarheiten, welche im Bietergespräch angesprochen werden sollten unter Benutzung des vom AG zur Verfügung gestellten Musters einer Klarstellungsliste</t>
  </si>
  <si>
    <t>Quantitative Prüfung - Qualität von Wohnungen, Gebäude, Außenanlagen</t>
  </si>
  <si>
    <t>Erarbeiten eines Prüfschemas für MUSS-Forderungen der FLB sowie SOLL-Anforderungen der FLB</t>
  </si>
  <si>
    <t>Prüfung der Entwürfe auf Einhaltung der MUSS- und SOLL-Forderungen der FLB</t>
  </si>
  <si>
    <t>Aufbereitung der Ergebnisse als Grundlage für die Bewertung des AG - Hinweis: Die eigentliche Qualitative Bewertung (Punktvergabe) erfolgt durch den AG.</t>
  </si>
  <si>
    <t>Erstellung einer vergleichenden Stellungnahme zu den verschiedenen Angeboten.</t>
  </si>
  <si>
    <t>Dokumentation der Bewertung für die Vergabeakte</t>
  </si>
  <si>
    <t>Erstellung präzisierender Vorgaben für die Aufforderung zur Abgabe zunächst ggf. überarbei-teter und schließlich der abschließenden Angebote zu den Teilbereichen Preis, Planung und Bau, Außenanlagen. Versand durch die Vergabeabteilung der WBM</t>
  </si>
  <si>
    <t>Bietergespräche und Vertragsabschluss</t>
  </si>
  <si>
    <t>Teilnahme an den Bietergesprächen, Vertragsverhandlungen und Mitwirkung bei der Optimierung der Vertragsbedingungen bis zum Vertragsabschluss</t>
  </si>
  <si>
    <t>Prüfung der durch die Anbieter angegebenen Kostenbestandteile</t>
  </si>
  <si>
    <t>Unterstützung bei der Nachkalkulation und bei Wirtschaftlichkeitsberechnungen, soweit diese bei der Projektrealisierung notwendig werden.</t>
  </si>
  <si>
    <t xml:space="preserve">Vorbereitung, Teilnahme und Unterstützung bei Aufklärungsgesprächen und Vertragsverhand-lungen zu den Bereichen Recht, Preis, Planung und Bau, Außenanlagen </t>
  </si>
  <si>
    <t>Weitere Auswertung der indikativen Angebote unter Berücksichtigung der Aufklärungsge-spräche und Verhandlungen der Teilbereiche Preis, Planung und Bau, Außenanlagen</t>
  </si>
  <si>
    <t>Honorarsumme für die Besonderen Leistungen GÜ-Berater:</t>
  </si>
  <si>
    <t>Vergütungsvereinbarung zu Auftragsänderungen und -ergänzungen</t>
  </si>
  <si>
    <t>Honorarangebot zu weiteren besonderen Leistungen</t>
  </si>
  <si>
    <t xml:space="preserve">Einzelne weitere Leistungen und Auftragsänderungen </t>
  </si>
  <si>
    <t>Vergütungsvereinbarung zu weiteren besonderen Leistungen</t>
  </si>
  <si>
    <t>Weitere Leistungen/Auftragsänderungen</t>
  </si>
  <si>
    <t>Berechnung vorläufig beauftragte Besondere  Leistungen GÜ-Berater</t>
  </si>
  <si>
    <t>Stufen 1</t>
  </si>
  <si>
    <t>Summen</t>
  </si>
  <si>
    <t>Rechen- wert 1</t>
  </si>
  <si>
    <t>Rechen- wert 2</t>
  </si>
  <si>
    <r>
      <t xml:space="preserve">Wir bitten Sie, die </t>
    </r>
    <r>
      <rPr>
        <b/>
        <sz val="14"/>
        <color theme="9" tint="-0.249977111117893"/>
        <rFont val="Arial"/>
        <family val="2"/>
      </rPr>
      <t>orange</t>
    </r>
    <r>
      <rPr>
        <b/>
        <sz val="14"/>
        <color theme="1"/>
        <rFont val="Arial"/>
        <family val="2"/>
      </rPr>
      <t xml:space="preserve"> markierten Zellen auf diesem und den weiteren Tabellenblättern auszufüllen. </t>
    </r>
  </si>
  <si>
    <t>Wird kein Auf-/Abschlag von dem Bieter/Auftragnehmer benannt, geht der AG davon aus, dass der Bieter/Auftragnehmer einen Aufschlag von 0% angeboten hat.</t>
  </si>
  <si>
    <t xml:space="preserve">Unternehmen: </t>
  </si>
  <si>
    <t>Aufschlag/Abschlag:</t>
  </si>
  <si>
    <t>Besondere Leistungen:</t>
  </si>
  <si>
    <t>Höhe Grundleistungen inkl. Aufschlag:</t>
  </si>
  <si>
    <t>Abwasser-, Wasser-, Gasanlagen</t>
  </si>
  <si>
    <t>Gesamtsumme besondere Leistungen/netto:</t>
  </si>
  <si>
    <t xml:space="preserve">Wärmeversorgung </t>
  </si>
  <si>
    <t xml:space="preserve">Lufttechnische Anlagen </t>
  </si>
  <si>
    <t xml:space="preserve">Starkstromanlagen </t>
  </si>
  <si>
    <t>Fernemeldeanlagen</t>
  </si>
  <si>
    <t xml:space="preserve">Nutzerspezifische Anlagen </t>
  </si>
  <si>
    <t xml:space="preserve">Gebäudeautomation </t>
  </si>
  <si>
    <t>Bauphysik - Wärmeschutz</t>
  </si>
  <si>
    <t xml:space="preserve">Bauphysik - Raumakustik </t>
  </si>
  <si>
    <t xml:space="preserve">Tragwerksplanung </t>
  </si>
  <si>
    <t xml:space="preserve">Freianlagenplanung </t>
  </si>
  <si>
    <t xml:space="preserve">Bebauungsplan </t>
  </si>
  <si>
    <t xml:space="preserve">weitere Besondere Leistungen </t>
  </si>
  <si>
    <t xml:space="preserve">Auftragsänderungen und Ergänzungen </t>
  </si>
  <si>
    <t>Auftragsänderungen:</t>
  </si>
  <si>
    <t xml:space="preserve">A. </t>
  </si>
  <si>
    <t>Überblick</t>
  </si>
  <si>
    <t>Gesamtsumme  Grundleistungen</t>
  </si>
  <si>
    <t xml:space="preserve">Gesamtsumme: </t>
  </si>
  <si>
    <t xml:space="preserve">Vergabenummer: </t>
  </si>
  <si>
    <t>Überblick über das Honorarangebot für</t>
  </si>
  <si>
    <t xml:space="preserve">Überblick über die  Vertragsdetails zu   </t>
  </si>
  <si>
    <t>Honorarangebot - Technische Ausrüstung</t>
  </si>
  <si>
    <t>Vergütungsvereinbarung - Technische Ausrüstung</t>
  </si>
  <si>
    <t>Technische Ausrüstung</t>
  </si>
  <si>
    <t>S.</t>
  </si>
  <si>
    <t>T.</t>
  </si>
  <si>
    <t>Anlagengruppe 2 -  Technische Ausrüstung</t>
  </si>
  <si>
    <t>Version: 27.06.2023</t>
  </si>
  <si>
    <t>Breite Strasse, 10178 Berlin-Mitte, zw. Neumannsgasse und Scharrenstrasse</t>
  </si>
  <si>
    <t>Beinhaltet Haus 1-5 und UG</t>
  </si>
  <si>
    <t xml:space="preserve">Sollte die Auffassung bestehen, dass es sich um mehrere Objekte handelt und daher die anrechenbaren Kosten aufgeteilt werden müssten, ist der planerische Mehraufwand </t>
  </si>
  <si>
    <t xml:space="preserve">der sich hieraus evtl. ergibt mit Hilfe des Auf-/Abschlages abgegolten. Eine Anpassung der anrechenbaren Kosten findet nicht statt. </t>
  </si>
  <si>
    <t>erledigt</t>
  </si>
  <si>
    <t>Erarbeitung einer BIM-Strategie (vgl. BIM-Leitfaden für den Mittelstand)</t>
  </si>
  <si>
    <t>Fortschreibung der Schnittstellendefinition (Ausbauzustand Gewerbeflächen)</t>
  </si>
  <si>
    <t>Fortführung der Vorgaben aus der Machbarkeitsstudie (z.B. aus Abstimmungen mit Behörden)</t>
  </si>
  <si>
    <t>Beratung und Abstimmung zu Schnittstellendefinitionen</t>
  </si>
  <si>
    <t>Koordination aller Planungsbeteiligten Haus 1-5</t>
  </si>
  <si>
    <t>Untersuchen und Aufzeigen von Einsparpotentialen und Erarbeitung von Lösungsvorschlägen in den Planungen</t>
  </si>
  <si>
    <t>Erarbeitung vorgezogener Leitdetails im Mindestumfang entsprechend der Vorgaben des AG</t>
  </si>
  <si>
    <t>Erstellung und Mitwirkung bei der Erstellung der benötigten Unterlagen im Zusammenhang mit einer Nachhaltigkeitszertifizierung nach DGNB</t>
  </si>
  <si>
    <t>Prüfen der Ausführungsplanung des GU/GÜ sowie erforderlicher Montagepläne auf Übereinstimmung mit der Entwurfsplanung, den Leitdetails und der FLB; Prüfung und Nachverfolgung der Nachbesserung bei mangelhafter Ausführungsplanung</t>
  </si>
  <si>
    <t>Durchführung der technischen Vorbegehungen, der Abnahmebegehungen und der Abnahme unter Mitwirkung anderer an der Planung und Objektüberwachung fachlich Beteiligter; Ermittlung der Mängelbeseitigungs- und Ausführungskosten zum Zeitpunkt der Abnahme vorhandener Mängel und Restleistungen</t>
  </si>
  <si>
    <t>3-D Gebäudemodellbearbeitung (Building Information Modelling)</t>
  </si>
  <si>
    <t>Erstellen von Vorgabung Planungsstruktur
(Definieren Austauschformat/Layoutvorgaben/
Planbezeichnungen usw.)</t>
  </si>
  <si>
    <t>Bereitstellung und Pflege des Datenraum in Abstimmung mit AG</t>
  </si>
  <si>
    <t>farbige 3-D-Visualisierung / perspektivische Darstellung straßenseitig / hofseitig / Zusammenführung 3D-Modelle Los 1-5</t>
  </si>
  <si>
    <t>Erstellen eines Terminplans mit den wesentlichen Vorgängen des Planungs- und Bauablaufs (siehe besondere Leistungen)</t>
  </si>
  <si>
    <t>Zusammenführen der Planungsergebnisse inkl. Plausibilisierung der Kostenschätzungen  der anderen Planungsbeteiligten Haus 2-5</t>
  </si>
  <si>
    <t>Zusammenführen Terminplanungen der anderen Planungsbeteiligten Haus 2-5 und Integration in Gesamt-Terminplan</t>
  </si>
  <si>
    <t>Beachten der Anforderungen des vereinbarten Zertifizierungssystems 
Durchführung des Zertifizierungssystems</t>
  </si>
  <si>
    <t>Zusammenführen der Planungsergebnisse inkl. Plausibilisierung der Terminplanungen der anderen Planungsbeteiligten Haus 2-5</t>
  </si>
  <si>
    <t>Zusammenführen der einzelnen Objekt- und Freiraumplanungen zu genehmigungsfähigen Antragsunterlagen für einen Bauantrag Los 1-5</t>
  </si>
  <si>
    <t xml:space="preserve">offen siehe </t>
  </si>
  <si>
    <t>Thermische Simulation zum Nachweis des sommerlichen Wärmeschutzes</t>
  </si>
  <si>
    <t>Simulationen zur Prognose des Verhaltens von Bauteilen, Räumen Bodendenkmäler (Luftfeuchte, -temparatur, ggf. Be- u. Entlüftung usw. um Schimmelbefall o.ä. zu vermeiden)</t>
  </si>
  <si>
    <t>Erarbeitung eines Konzepts zum Schutz der Bodendenkmäler (Luftfeuchte, -temparatur, ggf. Be- u. Entlüftung usw. um Schimmelbefall o.ä. zu vermeiden)</t>
  </si>
  <si>
    <t>Beinhaltet Haus 1 / 4 / 5 Büroflächen</t>
  </si>
  <si>
    <t>Aufstellen von Vergleichsberechnungen für mehrere Lösungsmöglichkeiten unter verschiedenen Objektbedingungen (bspw. Holz-, Holzhybridbau)</t>
  </si>
  <si>
    <t>LP 1-4</t>
  </si>
  <si>
    <t>Erstellung einer Lebenszyklusanalyse Zusammenführung Zuarbeit Lose 2-5</t>
  </si>
  <si>
    <t>Aktualisierung der Lebenszyklus-Analyse bei Änderung der Ausführungsplanung</t>
  </si>
  <si>
    <t>Schnittstellendefinition (Ausbau Gewerbeflächen)</t>
  </si>
  <si>
    <t>Integration der Leitdetails (Obj.-Planer Los 2-5) in die Ausführungsplanung</t>
  </si>
  <si>
    <t>ANALOG ABWASSER-, WASSER-, GASANLAGEN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</si>
</sst>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0.00\ &quot;€&quot;;\-#,##0.00\ &quot;€&quot;"/>
    <numFmt numFmtId="44" formatCode="_-* #,##0.00\ &quot;€&quot;_-;\-* #,##0.00\ &quot;€&quot;_-;_-* &quot;-&quot;??\ &quot;€&quot;_-;_-@_-"/>
    <numFmt numFmtId="43" formatCode="_-* #,##0.00_-;\-* #,##0.00_-;_-* &quot;-&quot;??_-;_-@_-"/>
    <numFmt numFmtId="164" formatCode="_-* #,##0.00\ _€_-;\-* #,##0.00\ _€_-;_-* &quot;-&quot;??\ _€_-;_-@_-"/>
    <numFmt numFmtId="165" formatCode="#,##0.00\ &quot;€&quot;"/>
    <numFmt numFmtId="166" formatCode="0.0%"/>
    <numFmt numFmtId="167" formatCode="#,##0\ &quot;€&quot;"/>
    <numFmt numFmtId="168" formatCode="_-* #,##0\ &quot;€&quot;_-;\-* #,##0\ &quot;€&quot;_-;_-* &quot;-&quot;??\ &quot;€&quot;_-;_-@_-"/>
    <numFmt numFmtId="169" formatCode="&quot;HZ&quot;\ 0"/>
    <numFmt numFmtId="170" formatCode="#,##0.00\ _€"/>
    <numFmt numFmtId="171" formatCode="#,##0.0\ &quot;€&quot;"/>
    <numFmt numFmtId="172" formatCode="0.0"/>
    <numFmt numFmtId="173" formatCode="#,##0.0"/>
    <numFmt numFmtId="174" formatCode="_-* #,##0_-;\-* #,##0_-;_-* &quot;-&quot;??_-;_-@_-"/>
  </numFmts>
  <fonts count="84" x14ac:knownFonts="1">
    <font>
      <sz val="11"/>
      <color theme="1"/>
      <name val="Calibri"/>
      <family val="2"/>
      <scheme val="minor"/>
    </font>
    <font>
      <sz val="11"/>
      <color theme="1"/>
      <name val="Tahoma"/>
      <family val="2"/>
    </font>
    <font>
      <sz val="11"/>
      <color theme="1"/>
      <name val="Tahoma"/>
      <family val="2"/>
    </font>
    <font>
      <sz val="11"/>
      <color theme="1"/>
      <name val="Tahoma"/>
      <family val="2"/>
    </font>
    <font>
      <sz val="10"/>
      <name val="Arial"/>
      <family val="2"/>
    </font>
    <font>
      <sz val="10"/>
      <name val="Arial"/>
      <family val="2"/>
    </font>
    <font>
      <b/>
      <sz val="11"/>
      <color theme="1"/>
      <name val="Calibri"/>
      <family val="2"/>
      <scheme val="minor"/>
    </font>
    <font>
      <sz val="11"/>
      <name val="Tahoma"/>
      <family val="2"/>
    </font>
    <font>
      <sz val="11"/>
      <color theme="1"/>
      <name val="Calibri"/>
      <family val="2"/>
      <scheme val="minor"/>
    </font>
    <font>
      <sz val="11"/>
      <color theme="1"/>
      <name val="Times New Roman"/>
      <family val="1"/>
    </font>
    <font>
      <b/>
      <sz val="11"/>
      <color theme="1"/>
      <name val="Tahoma"/>
      <family val="2"/>
    </font>
    <font>
      <sz val="10"/>
      <color theme="1"/>
      <name val="Tahoma"/>
      <family val="2"/>
    </font>
    <font>
      <sz val="11"/>
      <color theme="0"/>
      <name val="Calibri"/>
      <family val="2"/>
      <scheme val="minor"/>
    </font>
    <font>
      <sz val="10"/>
      <color theme="1"/>
      <name val="Calibri"/>
      <family val="2"/>
      <scheme val="minor"/>
    </font>
    <font>
      <sz val="8"/>
      <color theme="1"/>
      <name val="Tahoma"/>
      <family val="2"/>
    </font>
    <font>
      <b/>
      <sz val="11"/>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1"/>
      <color theme="10"/>
      <name val="Tahoma"/>
      <family val="2"/>
    </font>
    <font>
      <b/>
      <sz val="11"/>
      <color theme="1"/>
      <name val="Arial"/>
      <family val="2"/>
    </font>
    <font>
      <sz val="11"/>
      <color theme="1"/>
      <name val="Arial"/>
      <family val="2"/>
    </font>
    <font>
      <sz val="11"/>
      <color theme="0"/>
      <name val="Arial"/>
      <family val="2"/>
    </font>
    <font>
      <sz val="11"/>
      <name val="Arial"/>
      <family val="2"/>
    </font>
    <font>
      <b/>
      <sz val="11"/>
      <color theme="0"/>
      <name val="Arial"/>
      <family val="2"/>
    </font>
    <font>
      <b/>
      <u/>
      <sz val="11"/>
      <name val="Arial"/>
      <family val="2"/>
    </font>
    <font>
      <sz val="8"/>
      <name val="Calibri"/>
      <family val="2"/>
      <scheme val="minor"/>
    </font>
    <font>
      <b/>
      <sz val="11"/>
      <name val="Arial"/>
      <family val="2"/>
    </font>
    <font>
      <b/>
      <u/>
      <sz val="11"/>
      <color theme="1"/>
      <name val="Arial"/>
      <family val="2"/>
    </font>
    <font>
      <sz val="11"/>
      <color rgb="FFFF0000"/>
      <name val="Arial"/>
      <family val="2"/>
    </font>
    <font>
      <b/>
      <sz val="10"/>
      <color theme="1"/>
      <name val="Tahoma"/>
      <family val="2"/>
    </font>
    <font>
      <sz val="10"/>
      <color theme="1"/>
      <name val="Times New Roman"/>
      <family val="1"/>
    </font>
    <font>
      <sz val="11"/>
      <name val="Calibri"/>
      <family val="2"/>
      <scheme val="minor"/>
    </font>
    <font>
      <sz val="11"/>
      <name val="Times New Roman"/>
      <family val="1"/>
    </font>
    <font>
      <b/>
      <sz val="11"/>
      <color rgb="FFFF0000"/>
      <name val="Arial"/>
      <family val="2"/>
    </font>
    <font>
      <b/>
      <u/>
      <sz val="11"/>
      <color theme="1"/>
      <name val="Times New Roman"/>
      <family val="1"/>
    </font>
    <font>
      <b/>
      <u/>
      <sz val="11"/>
      <color theme="0"/>
      <name val="Arial"/>
      <family val="2"/>
    </font>
    <font>
      <b/>
      <u val="double"/>
      <sz val="11"/>
      <color theme="1"/>
      <name val="Times New Roman"/>
      <family val="1"/>
    </font>
    <font>
      <b/>
      <u/>
      <sz val="12"/>
      <color theme="1"/>
      <name val="Times New Roman"/>
      <family val="1"/>
    </font>
    <font>
      <sz val="9"/>
      <color theme="1"/>
      <name val="Arial"/>
      <family val="2"/>
    </font>
    <font>
      <sz val="11"/>
      <color rgb="FF000000"/>
      <name val="Arial"/>
      <family val="2"/>
    </font>
    <font>
      <sz val="8"/>
      <color theme="0"/>
      <name val="Arial"/>
      <family val="2"/>
    </font>
    <font>
      <b/>
      <sz val="11"/>
      <name val="Times New Roman"/>
      <family val="1"/>
    </font>
    <font>
      <b/>
      <u/>
      <sz val="11"/>
      <name val="Times New Roman"/>
      <family val="1"/>
    </font>
    <font>
      <strike/>
      <sz val="11"/>
      <color theme="1"/>
      <name val="Arial"/>
      <family val="2"/>
    </font>
    <font>
      <sz val="12"/>
      <name val="Arial"/>
      <family val="2"/>
    </font>
    <font>
      <sz val="16"/>
      <name val="Arial"/>
      <family val="2"/>
    </font>
    <font>
      <sz val="10"/>
      <name val="Tahoma"/>
      <family val="2"/>
    </font>
    <font>
      <b/>
      <sz val="16"/>
      <name val="Tahoma"/>
      <family val="2"/>
    </font>
    <font>
      <sz val="8"/>
      <color theme="1"/>
      <name val="Arial"/>
      <family val="2"/>
    </font>
    <font>
      <sz val="11"/>
      <color rgb="FF00B050"/>
      <name val="Arial"/>
      <family val="2"/>
    </font>
    <font>
      <sz val="7"/>
      <color theme="0"/>
      <name val="Arial"/>
      <family val="2"/>
    </font>
    <font>
      <sz val="8"/>
      <name val="Arial"/>
      <family val="2"/>
    </font>
    <font>
      <b/>
      <sz val="11"/>
      <name val="Tahoma"/>
      <family val="2"/>
    </font>
    <font>
      <sz val="11"/>
      <color rgb="FFFFFFFF"/>
      <name val="Arial"/>
      <family val="2"/>
    </font>
    <font>
      <sz val="10"/>
      <name val="Calibri"/>
      <family val="2"/>
      <scheme val="minor"/>
    </font>
    <font>
      <b/>
      <sz val="11"/>
      <name val="Calibri"/>
      <family val="2"/>
      <scheme val="minor"/>
    </font>
    <font>
      <b/>
      <sz val="11"/>
      <color rgb="FFFFFFFF"/>
      <name val="Arial"/>
      <family val="2"/>
    </font>
    <font>
      <b/>
      <sz val="14"/>
      <name val="Tahoma"/>
      <family val="2"/>
    </font>
    <font>
      <sz val="14"/>
      <name val="Tahoma"/>
      <family val="2"/>
    </font>
    <font>
      <sz val="14"/>
      <name val="Calibri"/>
      <family val="2"/>
      <scheme val="minor"/>
    </font>
    <font>
      <sz val="8"/>
      <name val="Tahoma"/>
      <family val="2"/>
    </font>
    <font>
      <b/>
      <sz val="10"/>
      <name val="Tahoma"/>
      <family val="2"/>
    </font>
    <font>
      <b/>
      <u/>
      <sz val="11"/>
      <name val="Calibri"/>
      <family val="2"/>
      <scheme val="minor"/>
    </font>
    <font>
      <b/>
      <sz val="16"/>
      <name val="Calibri"/>
      <family val="2"/>
      <scheme val="minor"/>
    </font>
    <font>
      <sz val="10"/>
      <name val="Times New Roman"/>
      <family val="1"/>
    </font>
    <font>
      <b/>
      <sz val="8"/>
      <name val="Times New Roman"/>
      <family val="1"/>
    </font>
    <font>
      <b/>
      <sz val="10"/>
      <name val="Times New Roman"/>
      <family val="1"/>
    </font>
    <font>
      <b/>
      <sz val="14"/>
      <color theme="1"/>
      <name val="Arial"/>
      <family val="2"/>
    </font>
    <font>
      <b/>
      <sz val="14"/>
      <color theme="9" tint="-0.249977111117893"/>
      <name val="Arial"/>
      <family val="2"/>
    </font>
    <font>
      <sz val="7"/>
      <name val="Arial"/>
      <family val="2"/>
    </font>
    <font>
      <b/>
      <sz val="14"/>
      <name val="Arial"/>
      <family val="2"/>
    </font>
    <font>
      <b/>
      <sz val="14"/>
      <color rgb="FFFF0000"/>
      <name val="Arial"/>
      <family val="2"/>
    </font>
  </fonts>
  <fills count="46">
    <fill>
      <patternFill patternType="none"/>
    </fill>
    <fill>
      <patternFill patternType="gray125"/>
    </fill>
    <fill>
      <patternFill patternType="solid">
        <fgColor theme="4" tint="0.79998168889431442"/>
        <bgColor indexed="64"/>
      </patternFill>
    </fill>
    <fill>
      <patternFill patternType="solid">
        <fgColor theme="0" tint="-0.249977111117893"/>
        <bgColor indexed="64"/>
      </patternFill>
    </fill>
    <fill>
      <patternFill patternType="solid">
        <fgColor rgb="FFDCE6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indexed="22"/>
        <bgColor indexed="64"/>
      </patternFill>
    </fill>
    <fill>
      <patternFill patternType="solid">
        <fgColor indexed="9"/>
        <bgColor indexed="64"/>
      </patternFill>
    </fill>
    <fill>
      <patternFill patternType="solid">
        <fgColor rgb="FFF4F7FA"/>
        <bgColor indexed="64"/>
      </patternFill>
    </fill>
    <fill>
      <patternFill patternType="solid">
        <fgColor rgb="FFFFFF00"/>
        <bgColor indexed="64"/>
      </patternFill>
    </fill>
  </fills>
  <borders count="94">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thin">
        <color auto="1"/>
      </left>
      <right/>
      <top style="medium">
        <color auto="1"/>
      </top>
      <bottom/>
      <diagonal/>
    </border>
    <border>
      <left style="medium">
        <color auto="1"/>
      </left>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top style="thin">
        <color auto="1"/>
      </top>
      <bottom/>
      <diagonal/>
    </border>
    <border>
      <left/>
      <right/>
      <top style="thin">
        <color auto="1"/>
      </top>
      <bottom style="medium">
        <color auto="1"/>
      </bottom>
      <diagonal/>
    </border>
    <border>
      <left style="thin">
        <color auto="1"/>
      </left>
      <right/>
      <top style="thin">
        <color auto="1"/>
      </top>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style="medium">
        <color auto="1"/>
      </left>
      <right style="medium">
        <color auto="1"/>
      </right>
      <top style="medium">
        <color auto="1"/>
      </top>
      <bottom/>
      <diagonal/>
    </border>
    <border>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medium">
        <color auto="1"/>
      </right>
      <top/>
      <bottom/>
      <diagonal/>
    </border>
    <border>
      <left style="medium">
        <color auto="1"/>
      </left>
      <right style="thin">
        <color auto="1"/>
      </right>
      <top/>
      <bottom/>
      <diagonal/>
    </border>
    <border>
      <left/>
      <right style="thin">
        <color auto="1"/>
      </right>
      <top/>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right style="thin">
        <color auto="1"/>
      </right>
      <top style="medium">
        <color auto="1"/>
      </top>
      <bottom/>
      <diagonal/>
    </border>
    <border>
      <left/>
      <right style="medium">
        <color auto="1"/>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indexed="64"/>
      </left>
      <right/>
      <top style="medium">
        <color auto="1"/>
      </top>
      <bottom style="medium">
        <color auto="1"/>
      </bottom>
      <diagonal/>
    </border>
    <border>
      <left style="thin">
        <color auto="1"/>
      </left>
      <right/>
      <top style="medium">
        <color indexed="64"/>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right/>
      <top style="medium">
        <color auto="1"/>
      </top>
      <bottom style="medium">
        <color indexed="64"/>
      </bottom>
      <diagonal/>
    </border>
    <border>
      <left/>
      <right/>
      <top style="medium">
        <color auto="1"/>
      </top>
      <bottom style="thin">
        <color indexed="64"/>
      </bottom>
      <diagonal/>
    </border>
    <border>
      <left/>
      <right style="medium">
        <color auto="1"/>
      </right>
      <top style="thin">
        <color indexed="64"/>
      </top>
      <bottom style="medium">
        <color indexed="64"/>
      </bottom>
      <diagonal/>
    </border>
    <border>
      <left/>
      <right style="medium">
        <color auto="1"/>
      </right>
      <top style="medium">
        <color auto="1"/>
      </top>
      <bottom style="medium">
        <color auto="1"/>
      </bottom>
      <diagonal/>
    </border>
    <border>
      <left/>
      <right style="thin">
        <color indexed="64"/>
      </right>
      <top style="medium">
        <color auto="1"/>
      </top>
      <bottom style="medium">
        <color auto="1"/>
      </bottom>
      <diagonal/>
    </border>
    <border>
      <left style="thin">
        <color auto="1"/>
      </left>
      <right style="thin">
        <color indexed="64"/>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64"/>
      </left>
      <right/>
      <top style="medium">
        <color auto="1"/>
      </top>
      <bottom style="medium">
        <color auto="1"/>
      </bottom>
      <diagonal/>
    </border>
    <border>
      <left style="medium">
        <color indexed="64"/>
      </left>
      <right style="thin">
        <color auto="1"/>
      </right>
      <top style="medium">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indexed="64"/>
      </right>
      <top style="thin">
        <color auto="1"/>
      </top>
      <bottom style="medium">
        <color auto="1"/>
      </bottom>
      <diagonal/>
    </border>
    <border>
      <left/>
      <right style="thin">
        <color indexed="64"/>
      </right>
      <top/>
      <bottom style="thin">
        <color auto="1"/>
      </bottom>
      <diagonal/>
    </border>
    <border>
      <left/>
      <right style="thin">
        <color indexed="64"/>
      </right>
      <top style="thin">
        <color indexed="64"/>
      </top>
      <bottom/>
      <diagonal/>
    </border>
    <border>
      <left style="medium">
        <color indexed="64"/>
      </left>
      <right/>
      <top/>
      <bottom style="medium">
        <color auto="1"/>
      </bottom>
      <diagonal/>
    </border>
    <border>
      <left/>
      <right style="thin">
        <color indexed="64"/>
      </right>
      <top/>
      <bottom style="medium">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style="thin">
        <color auto="1"/>
      </right>
      <top style="thick">
        <color auto="1"/>
      </top>
      <bottom style="thick">
        <color auto="1"/>
      </bottom>
      <diagonal/>
    </border>
    <border>
      <left style="medium">
        <color auto="1"/>
      </left>
      <right style="medium">
        <color auto="1"/>
      </right>
      <top style="thin">
        <color auto="1"/>
      </top>
      <bottom/>
      <diagonal/>
    </border>
    <border>
      <left style="thin">
        <color auto="1"/>
      </left>
      <right style="medium">
        <color auto="1"/>
      </right>
      <top style="thick">
        <color auto="1"/>
      </top>
      <bottom style="thick">
        <color auto="1"/>
      </bottom>
      <diagonal/>
    </border>
  </borders>
  <cellStyleXfs count="59">
    <xf numFmtId="0" fontId="0" fillId="0" borderId="0"/>
    <xf numFmtId="0" fontId="4" fillId="0" borderId="0"/>
    <xf numFmtId="0" fontId="5" fillId="0" borderId="0"/>
    <xf numFmtId="0" fontId="5" fillId="0" borderId="0"/>
    <xf numFmtId="0" fontId="7" fillId="0" borderId="0"/>
    <xf numFmtId="44" fontId="8" fillId="0" borderId="0" applyFont="0" applyFill="0" applyBorder="0" applyAlignment="0" applyProtection="0"/>
    <xf numFmtId="0" fontId="4" fillId="0" borderId="0"/>
    <xf numFmtId="0" fontId="4"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6" fillId="0" borderId="0" applyNumberFormat="0" applyFill="0" applyBorder="0" applyAlignment="0" applyProtection="0"/>
    <xf numFmtId="0" fontId="2" fillId="0" borderId="0"/>
    <xf numFmtId="44" fontId="2" fillId="0" borderId="0" applyFont="0" applyFill="0" applyBorder="0" applyAlignment="0" applyProtection="0"/>
    <xf numFmtId="0" fontId="8" fillId="0" borderId="0"/>
    <xf numFmtId="0" fontId="17" fillId="0" borderId="17" applyNumberFormat="0" applyFill="0" applyAlignment="0" applyProtection="0"/>
    <xf numFmtId="0" fontId="18" fillId="0" borderId="18" applyNumberFormat="0" applyFill="0" applyAlignment="0" applyProtection="0"/>
    <xf numFmtId="0" fontId="19" fillId="0" borderId="19" applyNumberFormat="0" applyFill="0" applyAlignment="0" applyProtection="0"/>
    <xf numFmtId="0" fontId="19" fillId="0" borderId="0" applyNumberFormat="0" applyFill="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20" applyNumberFormat="0" applyAlignment="0" applyProtection="0"/>
    <xf numFmtId="0" fontId="24" fillId="9" borderId="21" applyNumberFormat="0" applyAlignment="0" applyProtection="0"/>
    <xf numFmtId="0" fontId="25" fillId="9" borderId="20" applyNumberFormat="0" applyAlignment="0" applyProtection="0"/>
    <xf numFmtId="0" fontId="26" fillId="0" borderId="22" applyNumberFormat="0" applyFill="0" applyAlignment="0" applyProtection="0"/>
    <xf numFmtId="0" fontId="27" fillId="10" borderId="23" applyNumberFormat="0" applyAlignment="0" applyProtection="0"/>
    <xf numFmtId="0" fontId="28" fillId="0" borderId="0" applyNumberFormat="0" applyFill="0" applyBorder="0" applyAlignment="0" applyProtection="0"/>
    <xf numFmtId="0" fontId="8" fillId="11" borderId="24" applyNumberFormat="0" applyFont="0" applyAlignment="0" applyProtection="0"/>
    <xf numFmtId="0" fontId="29" fillId="0" borderId="0" applyNumberFormat="0" applyFill="0" applyBorder="0" applyAlignment="0" applyProtection="0"/>
    <xf numFmtId="0" fontId="6" fillId="0" borderId="25" applyNumberFormat="0" applyFill="0" applyAlignment="0" applyProtection="0"/>
    <xf numFmtId="0" fontId="12"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12" fillId="35" borderId="0" applyNumberFormat="0" applyBorder="0" applyAlignment="0" applyProtection="0"/>
    <xf numFmtId="0" fontId="4" fillId="0" borderId="0"/>
    <xf numFmtId="0" fontId="30" fillId="0" borderId="0" applyNumberFormat="0" applyFill="0" applyBorder="0" applyAlignment="0" applyProtection="0"/>
    <xf numFmtId="43" fontId="8" fillId="0" borderId="0" applyFont="0" applyFill="0" applyBorder="0" applyAlignment="0" applyProtection="0"/>
  </cellStyleXfs>
  <cellXfs count="2272">
    <xf numFmtId="0" fontId="0" fillId="0" borderId="0" xfId="0"/>
    <xf numFmtId="0" fontId="9" fillId="0" borderId="0" xfId="0" applyFont="1"/>
    <xf numFmtId="0" fontId="0" fillId="0" borderId="0" xfId="0" applyAlignment="1">
      <alignment vertical="center"/>
    </xf>
    <xf numFmtId="0" fontId="0" fillId="0" borderId="0" xfId="0" applyAlignment="1">
      <alignment horizontal="center" vertical="center"/>
    </xf>
    <xf numFmtId="167" fontId="11" fillId="0" borderId="0" xfId="5" applyNumberFormat="1" applyFont="1" applyFill="1" applyBorder="1" applyAlignment="1">
      <alignment horizontal="right" vertical="center"/>
    </xf>
    <xf numFmtId="167" fontId="0" fillId="0" borderId="0" xfId="0" applyNumberFormat="1" applyAlignment="1">
      <alignment vertical="center"/>
    </xf>
    <xf numFmtId="0" fontId="0" fillId="0" borderId="0" xfId="0" applyAlignment="1">
      <alignment horizontal="left" vertical="center"/>
    </xf>
    <xf numFmtId="168" fontId="0" fillId="0" borderId="0" xfId="5" applyNumberFormat="1" applyFont="1" applyAlignment="1">
      <alignment horizontal="center" vertical="center"/>
    </xf>
    <xf numFmtId="0" fontId="13" fillId="0" borderId="0" xfId="0" applyFont="1" applyAlignment="1">
      <alignment vertical="center"/>
    </xf>
    <xf numFmtId="0" fontId="10" fillId="0" borderId="0" xfId="0" applyFont="1"/>
    <xf numFmtId="0" fontId="10" fillId="0" borderId="0" xfId="0" applyFont="1" applyAlignment="1">
      <alignment vertical="center"/>
    </xf>
    <xf numFmtId="49" fontId="0" fillId="0" borderId="0" xfId="0" applyNumberFormat="1" applyAlignment="1">
      <alignment vertical="center"/>
    </xf>
    <xf numFmtId="0" fontId="8" fillId="0" borderId="0" xfId="13" applyFont="1"/>
    <xf numFmtId="49" fontId="8" fillId="0" borderId="0" xfId="15" applyNumberFormat="1"/>
    <xf numFmtId="49" fontId="8" fillId="0" borderId="0" xfId="13" applyNumberFormat="1" applyFont="1"/>
    <xf numFmtId="0" fontId="8" fillId="0" borderId="0" xfId="13" applyFont="1" applyAlignment="1">
      <alignment wrapText="1"/>
    </xf>
    <xf numFmtId="49" fontId="8" fillId="0" borderId="0" xfId="15" applyNumberFormat="1" applyAlignment="1">
      <alignment wrapText="1"/>
    </xf>
    <xf numFmtId="49" fontId="6" fillId="0" borderId="0" xfId="0" applyNumberFormat="1" applyFont="1" applyAlignment="1">
      <alignment vertical="center"/>
    </xf>
    <xf numFmtId="1" fontId="0" fillId="0" borderId="0" xfId="0" applyNumberFormat="1" applyAlignment="1">
      <alignment horizontal="center" vertical="center"/>
    </xf>
    <xf numFmtId="1" fontId="12" fillId="0" borderId="0" xfId="0" applyNumberFormat="1" applyFont="1" applyAlignment="1">
      <alignment horizontal="center" vertical="center"/>
    </xf>
    <xf numFmtId="165" fontId="6" fillId="0" borderId="0" xfId="0" applyNumberFormat="1" applyFont="1" applyAlignment="1">
      <alignment vertical="center"/>
    </xf>
    <xf numFmtId="49" fontId="0" fillId="0" borderId="0" xfId="0" applyNumberFormat="1"/>
    <xf numFmtId="165" fontId="0" fillId="0" borderId="0" xfId="0" applyNumberFormat="1" applyAlignment="1">
      <alignment vertical="center"/>
    </xf>
    <xf numFmtId="165" fontId="0" fillId="0" borderId="0" xfId="5" applyNumberFormat="1" applyFont="1" applyFill="1" applyBorder="1" applyAlignment="1">
      <alignment vertical="center"/>
    </xf>
    <xf numFmtId="169" fontId="6" fillId="0" borderId="0" xfId="0" applyNumberFormat="1" applyFont="1" applyAlignment="1">
      <alignment horizontal="center" vertical="center"/>
    </xf>
    <xf numFmtId="165" fontId="10" fillId="0" borderId="0" xfId="0" applyNumberFormat="1" applyFont="1" applyAlignment="1">
      <alignment vertical="center"/>
    </xf>
    <xf numFmtId="0" fontId="0" fillId="36" borderId="46" xfId="0" applyFill="1" applyBorder="1" applyAlignment="1">
      <alignment vertical="center"/>
    </xf>
    <xf numFmtId="167" fontId="0" fillId="36" borderId="46" xfId="0" applyNumberFormat="1" applyFill="1" applyBorder="1" applyAlignment="1">
      <alignment vertical="center"/>
    </xf>
    <xf numFmtId="0" fontId="0" fillId="36" borderId="82" xfId="0" applyFill="1" applyBorder="1" applyAlignment="1">
      <alignment horizontal="center" vertical="center"/>
    </xf>
    <xf numFmtId="0" fontId="0" fillId="36" borderId="73" xfId="0" applyFill="1" applyBorder="1" applyAlignment="1">
      <alignment horizontal="center" vertical="center"/>
    </xf>
    <xf numFmtId="0" fontId="0" fillId="37" borderId="46" xfId="0" applyFill="1" applyBorder="1" applyAlignment="1">
      <alignment vertical="center"/>
    </xf>
    <xf numFmtId="167" fontId="0" fillId="37" borderId="46" xfId="0" applyNumberFormat="1" applyFill="1" applyBorder="1" applyAlignment="1">
      <alignment vertical="center"/>
    </xf>
    <xf numFmtId="0" fontId="0" fillId="37" borderId="82" xfId="0" applyFill="1" applyBorder="1" applyAlignment="1">
      <alignment horizontal="center" vertical="center"/>
    </xf>
    <xf numFmtId="0" fontId="0" fillId="37" borderId="73" xfId="0" applyFill="1" applyBorder="1" applyAlignment="1">
      <alignment horizontal="center" vertical="center"/>
    </xf>
    <xf numFmtId="0" fontId="0" fillId="38" borderId="46" xfId="0" applyFill="1" applyBorder="1" applyAlignment="1">
      <alignment vertical="center"/>
    </xf>
    <xf numFmtId="0" fontId="0" fillId="38" borderId="82" xfId="0" applyFill="1" applyBorder="1" applyAlignment="1">
      <alignment horizontal="center" vertical="center"/>
    </xf>
    <xf numFmtId="165" fontId="0" fillId="0" borderId="14" xfId="0" applyNumberFormat="1" applyBorder="1" applyAlignment="1">
      <alignment vertical="center"/>
    </xf>
    <xf numFmtId="0" fontId="3" fillId="0" borderId="0" xfId="8"/>
    <xf numFmtId="49" fontId="31" fillId="0" borderId="0" xfId="0" applyNumberFormat="1" applyFont="1"/>
    <xf numFmtId="0" fontId="32" fillId="0" borderId="0" xfId="0" applyFont="1"/>
    <xf numFmtId="0" fontId="31" fillId="0" borderId="0" xfId="0" applyFont="1"/>
    <xf numFmtId="0" fontId="32" fillId="0" borderId="0" xfId="0" applyFont="1" applyAlignment="1">
      <alignment horizontal="right"/>
    </xf>
    <xf numFmtId="49" fontId="38" fillId="0" borderId="0" xfId="1" applyNumberFormat="1" applyFont="1"/>
    <xf numFmtId="49" fontId="34" fillId="0" borderId="0" xfId="1" applyNumberFormat="1" applyFont="1"/>
    <xf numFmtId="0" fontId="34" fillId="0" borderId="0" xfId="1" applyFont="1"/>
    <xf numFmtId="0" fontId="32" fillId="0" borderId="28" xfId="0" applyFont="1" applyBorder="1"/>
    <xf numFmtId="0" fontId="32" fillId="0" borderId="29" xfId="0" applyFont="1" applyBorder="1"/>
    <xf numFmtId="0" fontId="31" fillId="0" borderId="0" xfId="0" applyFont="1" applyAlignment="1">
      <alignment horizontal="center" vertical="center" wrapText="1"/>
    </xf>
    <xf numFmtId="165" fontId="32" fillId="0" borderId="0" xfId="0" applyNumberFormat="1" applyFont="1"/>
    <xf numFmtId="0" fontId="32" fillId="0" borderId="29" xfId="0" applyFont="1" applyBorder="1" applyAlignment="1">
      <alignment horizontal="left"/>
    </xf>
    <xf numFmtId="0" fontId="32" fillId="0" borderId="29" xfId="0" applyFont="1" applyBorder="1" applyAlignment="1">
      <alignment wrapText="1"/>
    </xf>
    <xf numFmtId="165" fontId="32" fillId="0" borderId="29" xfId="0" applyNumberFormat="1" applyFont="1" applyBorder="1" applyAlignment="1">
      <alignment horizontal="right"/>
    </xf>
    <xf numFmtId="165" fontId="32" fillId="0" borderId="40" xfId="0" applyNumberFormat="1" applyFont="1" applyBorder="1" applyAlignment="1">
      <alignment horizontal="right"/>
    </xf>
    <xf numFmtId="165" fontId="32" fillId="0" borderId="28" xfId="0" applyNumberFormat="1" applyFont="1" applyBorder="1" applyAlignment="1">
      <alignment horizontal="right"/>
    </xf>
    <xf numFmtId="165" fontId="32" fillId="0" borderId="0" xfId="0" applyNumberFormat="1" applyFont="1" applyAlignment="1">
      <alignment horizontal="right"/>
    </xf>
    <xf numFmtId="165" fontId="31" fillId="0" borderId="87" xfId="0" applyNumberFormat="1" applyFont="1" applyBorder="1" applyAlignment="1">
      <alignment horizontal="right"/>
    </xf>
    <xf numFmtId="0" fontId="32" fillId="0" borderId="0" xfId="0" applyFont="1" applyAlignment="1">
      <alignment horizontal="left"/>
    </xf>
    <xf numFmtId="0" fontId="32" fillId="0" borderId="0" xfId="0" applyFont="1" applyAlignment="1">
      <alignment horizontal="center"/>
    </xf>
    <xf numFmtId="165" fontId="31" fillId="0" borderId="0" xfId="0" applyNumberFormat="1" applyFont="1" applyAlignment="1">
      <alignment horizontal="right"/>
    </xf>
    <xf numFmtId="0" fontId="31" fillId="0" borderId="0" xfId="0" applyFont="1" applyAlignment="1">
      <alignment horizontal="right"/>
    </xf>
    <xf numFmtId="0" fontId="31" fillId="0" borderId="0" xfId="0" applyFont="1" applyAlignment="1">
      <alignment horizontal="left"/>
    </xf>
    <xf numFmtId="165" fontId="34" fillId="0" borderId="0" xfId="1" applyNumberFormat="1" applyFont="1"/>
    <xf numFmtId="9" fontId="38" fillId="0" borderId="0" xfId="1" applyNumberFormat="1" applyFont="1"/>
    <xf numFmtId="9" fontId="34" fillId="0" borderId="0" xfId="1" applyNumberFormat="1" applyFont="1" applyAlignment="1">
      <alignment horizontal="right"/>
    </xf>
    <xf numFmtId="9" fontId="34" fillId="0" borderId="0" xfId="1" applyNumberFormat="1" applyFont="1"/>
    <xf numFmtId="9" fontId="32" fillId="0" borderId="0" xfId="0" applyNumberFormat="1" applyFont="1" applyAlignment="1">
      <alignment horizontal="center"/>
    </xf>
    <xf numFmtId="166" fontId="32" fillId="0" borderId="0" xfId="0" applyNumberFormat="1" applyFont="1" applyAlignment="1">
      <alignment horizontal="right"/>
    </xf>
    <xf numFmtId="166" fontId="40" fillId="0" borderId="0" xfId="0" applyNumberFormat="1" applyFont="1" applyAlignment="1">
      <alignment horizontal="right"/>
    </xf>
    <xf numFmtId="0" fontId="34" fillId="0" borderId="0" xfId="0" applyFont="1"/>
    <xf numFmtId="0" fontId="31" fillId="0" borderId="41" xfId="0" applyFont="1" applyBorder="1"/>
    <xf numFmtId="0" fontId="32" fillId="0" borderId="0" xfId="0" applyFont="1" applyAlignment="1">
      <alignment wrapText="1"/>
    </xf>
    <xf numFmtId="0" fontId="32" fillId="0" borderId="30" xfId="0" applyFont="1" applyBorder="1" applyAlignment="1">
      <alignment wrapText="1"/>
    </xf>
    <xf numFmtId="0" fontId="33" fillId="0" borderId="0" xfId="0" applyFont="1"/>
    <xf numFmtId="49" fontId="33" fillId="0" borderId="0" xfId="0" applyNumberFormat="1" applyFont="1" applyAlignment="1">
      <alignment wrapText="1"/>
    </xf>
    <xf numFmtId="10" fontId="33" fillId="0" borderId="0" xfId="0" applyNumberFormat="1" applyFont="1" applyAlignment="1">
      <alignment vertical="center"/>
    </xf>
    <xf numFmtId="10" fontId="35" fillId="0" borderId="0" xfId="0" applyNumberFormat="1" applyFont="1" applyAlignment="1">
      <alignment vertical="center"/>
    </xf>
    <xf numFmtId="10" fontId="33" fillId="0" borderId="0" xfId="0" applyNumberFormat="1" applyFont="1" applyAlignment="1">
      <alignment horizontal="center" vertical="center"/>
    </xf>
    <xf numFmtId="10" fontId="33" fillId="0" borderId="0" xfId="0" applyNumberFormat="1" applyFont="1"/>
    <xf numFmtId="0" fontId="33" fillId="0" borderId="0" xfId="0" applyFont="1" applyAlignment="1">
      <alignment vertical="center"/>
    </xf>
    <xf numFmtId="165" fontId="32" fillId="0" borderId="0" xfId="0" applyNumberFormat="1" applyFont="1" applyAlignment="1">
      <alignment wrapText="1"/>
    </xf>
    <xf numFmtId="10" fontId="32" fillId="0" borderId="0" xfId="0" applyNumberFormat="1" applyFont="1" applyAlignment="1">
      <alignment wrapText="1"/>
    </xf>
    <xf numFmtId="0" fontId="35" fillId="0" borderId="0" xfId="0" applyFont="1" applyAlignment="1">
      <alignment wrapText="1"/>
    </xf>
    <xf numFmtId="0" fontId="9" fillId="0" borderId="69" xfId="0" applyFont="1" applyBorder="1" applyAlignment="1">
      <alignment horizontal="right"/>
    </xf>
    <xf numFmtId="165" fontId="9" fillId="0" borderId="0" xfId="0" applyNumberFormat="1" applyFont="1"/>
    <xf numFmtId="165" fontId="15" fillId="0" borderId="0" xfId="0" applyNumberFormat="1" applyFont="1"/>
    <xf numFmtId="0" fontId="9" fillId="0" borderId="29" xfId="0" applyFont="1" applyBorder="1"/>
    <xf numFmtId="0" fontId="9" fillId="0" borderId="74" xfId="0" applyFont="1" applyBorder="1" applyAlignment="1">
      <alignment horizontal="right"/>
    </xf>
    <xf numFmtId="0" fontId="35" fillId="0" borderId="0" xfId="0" applyFont="1" applyAlignment="1">
      <alignment horizontal="center" vertical="center" wrapText="1"/>
    </xf>
    <xf numFmtId="0" fontId="32" fillId="0" borderId="31" xfId="0" applyFont="1" applyBorder="1"/>
    <xf numFmtId="0" fontId="32" fillId="0" borderId="41" xfId="0" applyFont="1" applyBorder="1"/>
    <xf numFmtId="0" fontId="32" fillId="0" borderId="31" xfId="0" applyFont="1" applyBorder="1" applyAlignment="1">
      <alignment horizontal="right" vertical="top" wrapText="1"/>
    </xf>
    <xf numFmtId="0" fontId="32" fillId="0" borderId="0" xfId="0" applyFont="1" applyAlignment="1">
      <alignment horizontal="right" vertical="top" wrapText="1"/>
    </xf>
    <xf numFmtId="0" fontId="32" fillId="0" borderId="41" xfId="0" applyFont="1" applyBorder="1" applyAlignment="1">
      <alignment horizontal="right" vertical="top" wrapText="1"/>
    </xf>
    <xf numFmtId="165" fontId="31" fillId="0" borderId="29" xfId="0" applyNumberFormat="1" applyFont="1" applyBorder="1" applyAlignment="1">
      <alignment horizontal="center"/>
    </xf>
    <xf numFmtId="165" fontId="31" fillId="0" borderId="40" xfId="0" applyNumberFormat="1" applyFont="1" applyBorder="1" applyAlignment="1">
      <alignment horizontal="center"/>
    </xf>
    <xf numFmtId="0" fontId="42" fillId="0" borderId="0" xfId="0" applyFont="1"/>
    <xf numFmtId="165" fontId="33" fillId="0" borderId="0" xfId="0" applyNumberFormat="1" applyFont="1"/>
    <xf numFmtId="165" fontId="39" fillId="3" borderId="28" xfId="0" applyNumberFormat="1" applyFont="1" applyFill="1" applyBorder="1" applyAlignment="1">
      <alignment vertical="center"/>
    </xf>
    <xf numFmtId="165" fontId="39" fillId="3" borderId="87" xfId="0" applyNumberFormat="1" applyFont="1" applyFill="1" applyBorder="1" applyAlignment="1">
      <alignment vertical="center"/>
    </xf>
    <xf numFmtId="166" fontId="32" fillId="0" borderId="28" xfId="0" applyNumberFormat="1" applyFont="1" applyBorder="1"/>
    <xf numFmtId="10" fontId="32" fillId="0" borderId="31" xfId="0" applyNumberFormat="1" applyFont="1" applyBorder="1"/>
    <xf numFmtId="166" fontId="32" fillId="0" borderId="31" xfId="0" applyNumberFormat="1" applyFont="1" applyBorder="1"/>
    <xf numFmtId="10" fontId="32" fillId="0" borderId="87" xfId="0" applyNumberFormat="1" applyFont="1" applyBorder="1"/>
    <xf numFmtId="0" fontId="32" fillId="0" borderId="28" xfId="0" applyFont="1" applyBorder="1" applyAlignment="1">
      <alignment horizontal="right" vertical="top" wrapText="1"/>
    </xf>
    <xf numFmtId="0" fontId="32" fillId="0" borderId="29" xfId="0" applyFont="1" applyBorder="1" applyAlignment="1">
      <alignment horizontal="right" vertical="top" wrapText="1"/>
    </xf>
    <xf numFmtId="0" fontId="32" fillId="0" borderId="40" xfId="0" applyFont="1" applyBorder="1"/>
    <xf numFmtId="166" fontId="32" fillId="0" borderId="87" xfId="0" applyNumberFormat="1" applyFont="1" applyBorder="1"/>
    <xf numFmtId="0" fontId="32" fillId="0" borderId="79" xfId="0" applyFont="1" applyBorder="1"/>
    <xf numFmtId="0" fontId="15" fillId="0" borderId="31" xfId="0" applyFont="1" applyBorder="1" applyAlignment="1">
      <alignment wrapText="1"/>
    </xf>
    <xf numFmtId="0" fontId="15" fillId="0" borderId="0" xfId="0" applyFont="1" applyAlignment="1">
      <alignment wrapText="1"/>
    </xf>
    <xf numFmtId="165" fontId="34" fillId="0" borderId="31" xfId="0" applyNumberFormat="1" applyFont="1" applyBorder="1" applyAlignment="1">
      <alignment horizontal="right"/>
    </xf>
    <xf numFmtId="0" fontId="34" fillId="0" borderId="31" xfId="0" applyFont="1" applyBorder="1"/>
    <xf numFmtId="0" fontId="44" fillId="0" borderId="0" xfId="0" applyFont="1"/>
    <xf numFmtId="0" fontId="43" fillId="0" borderId="0" xfId="0" applyFont="1" applyAlignment="1">
      <alignment vertical="center"/>
    </xf>
    <xf numFmtId="0" fontId="32" fillId="0" borderId="0" xfId="0" applyFont="1" applyAlignment="1">
      <alignment vertical="center" wrapText="1"/>
    </xf>
    <xf numFmtId="0" fontId="32" fillId="0" borderId="26" xfId="0" applyFont="1" applyBorder="1" applyAlignment="1">
      <alignment vertical="center" wrapText="1"/>
    </xf>
    <xf numFmtId="0" fontId="32" fillId="0" borderId="26" xfId="0" applyFont="1" applyBorder="1" applyAlignment="1">
      <alignment wrapText="1"/>
    </xf>
    <xf numFmtId="49" fontId="34" fillId="0" borderId="0" xfId="0" applyNumberFormat="1" applyFont="1" applyAlignment="1">
      <alignment wrapText="1"/>
    </xf>
    <xf numFmtId="0" fontId="38" fillId="0" borderId="0" xfId="0" applyFont="1" applyAlignment="1">
      <alignment wrapText="1"/>
    </xf>
    <xf numFmtId="0" fontId="38" fillId="0" borderId="0" xfId="0" applyFont="1" applyAlignment="1">
      <alignment vertical="center"/>
    </xf>
    <xf numFmtId="49" fontId="33" fillId="0" borderId="0" xfId="0" applyNumberFormat="1" applyFont="1" applyAlignment="1">
      <alignment horizontal="left" vertical="top" wrapText="1"/>
    </xf>
    <xf numFmtId="0" fontId="1" fillId="0" borderId="0" xfId="9" applyNumberFormat="1" applyFont="1" applyFill="1" applyBorder="1" applyAlignment="1">
      <alignment vertical="center"/>
    </xf>
    <xf numFmtId="167" fontId="0" fillId="0" borderId="82" xfId="0" applyNumberFormat="1" applyBorder="1" applyAlignment="1">
      <alignment vertical="center"/>
    </xf>
    <xf numFmtId="165" fontId="0" fillId="0" borderId="82" xfId="0" applyNumberFormat="1" applyBorder="1" applyAlignment="1">
      <alignment vertical="center"/>
    </xf>
    <xf numFmtId="167" fontId="0" fillId="0" borderId="37" xfId="0" applyNumberFormat="1" applyBorder="1" applyAlignment="1">
      <alignment vertical="center"/>
    </xf>
    <xf numFmtId="169" fontId="14" fillId="0" borderId="57" xfId="0" applyNumberFormat="1" applyFont="1" applyBorder="1" applyAlignment="1">
      <alignment horizontal="center" vertical="center"/>
    </xf>
    <xf numFmtId="0" fontId="45" fillId="0" borderId="0" xfId="0" applyFont="1"/>
    <xf numFmtId="0" fontId="40" fillId="0" borderId="0" xfId="0" applyFont="1"/>
    <xf numFmtId="165" fontId="41" fillId="0" borderId="65" xfId="0" applyNumberFormat="1" applyFont="1" applyBorder="1" applyAlignment="1">
      <alignment vertical="center"/>
    </xf>
    <xf numFmtId="0" fontId="12" fillId="0" borderId="0" xfId="0" applyFont="1"/>
    <xf numFmtId="0" fontId="0" fillId="36" borderId="82" xfId="0" applyFill="1" applyBorder="1" applyAlignment="1">
      <alignment vertical="center"/>
    </xf>
    <xf numFmtId="167" fontId="0" fillId="36" borderId="82" xfId="0" applyNumberFormat="1" applyFill="1" applyBorder="1" applyAlignment="1">
      <alignment vertical="center"/>
    </xf>
    <xf numFmtId="0" fontId="0" fillId="38" borderId="82" xfId="0" applyFill="1" applyBorder="1" applyAlignment="1">
      <alignment vertical="center"/>
    </xf>
    <xf numFmtId="165" fontId="0" fillId="36" borderId="72" xfId="0" applyNumberFormat="1" applyFill="1" applyBorder="1" applyAlignment="1">
      <alignment vertical="center"/>
    </xf>
    <xf numFmtId="165" fontId="0" fillId="36" borderId="74" xfId="0" applyNumberFormat="1" applyFill="1" applyBorder="1" applyAlignment="1">
      <alignment vertical="center"/>
    </xf>
    <xf numFmtId="165" fontId="0" fillId="36" borderId="78" xfId="0" applyNumberFormat="1" applyFill="1" applyBorder="1" applyAlignment="1">
      <alignment vertical="center"/>
    </xf>
    <xf numFmtId="0" fontId="31" fillId="0" borderId="0" xfId="0" applyFont="1" applyAlignment="1">
      <alignment horizontal="right" vertical="center" wrapText="1"/>
    </xf>
    <xf numFmtId="10" fontId="31"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5" fontId="31" fillId="0" borderId="0" xfId="0" applyNumberFormat="1" applyFont="1" applyAlignment="1">
      <alignment vertical="center" wrapText="1"/>
    </xf>
    <xf numFmtId="0" fontId="32" fillId="0" borderId="0" xfId="0" applyFont="1" applyAlignment="1">
      <alignment horizontal="center" vertical="center"/>
    </xf>
    <xf numFmtId="49" fontId="32" fillId="0" borderId="31" xfId="0" applyNumberFormat="1" applyFont="1" applyBorder="1" applyAlignment="1">
      <alignment vertical="center"/>
    </xf>
    <xf numFmtId="10" fontId="32" fillId="0" borderId="31" xfId="0" applyNumberFormat="1" applyFont="1" applyBorder="1" applyAlignment="1">
      <alignment vertical="center"/>
    </xf>
    <xf numFmtId="10" fontId="32" fillId="0" borderId="87" xfId="0" applyNumberFormat="1" applyFont="1" applyBorder="1" applyAlignment="1">
      <alignment vertical="center"/>
    </xf>
    <xf numFmtId="0" fontId="32" fillId="0" borderId="62" xfId="0" applyFont="1" applyBorder="1"/>
    <xf numFmtId="0" fontId="34" fillId="0" borderId="29" xfId="0" applyFont="1" applyBorder="1"/>
    <xf numFmtId="165" fontId="32" fillId="0" borderId="29" xfId="0" applyNumberFormat="1" applyFont="1" applyBorder="1"/>
    <xf numFmtId="165" fontId="34" fillId="0" borderId="31" xfId="0" applyNumberFormat="1" applyFont="1" applyBorder="1"/>
    <xf numFmtId="10" fontId="34" fillId="0" borderId="0" xfId="1"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0" xfId="0" applyFont="1"/>
    <xf numFmtId="10" fontId="35" fillId="0" borderId="0" xfId="0" applyNumberFormat="1" applyFont="1"/>
    <xf numFmtId="0" fontId="33" fillId="0" borderId="0" xfId="0" applyFont="1" applyAlignment="1">
      <alignment horizontal="center" vertical="center"/>
    </xf>
    <xf numFmtId="49" fontId="33" fillId="0" borderId="30" xfId="0" applyNumberFormat="1" applyFont="1" applyBorder="1" applyAlignment="1">
      <alignment horizontal="center" vertical="center" wrapText="1"/>
    </xf>
    <xf numFmtId="0" fontId="15" fillId="0" borderId="30" xfId="0" applyFont="1" applyBorder="1" applyAlignment="1">
      <alignment horizontal="center" vertical="center"/>
    </xf>
    <xf numFmtId="0" fontId="28" fillId="0" borderId="0" xfId="0" applyFont="1" applyAlignment="1">
      <alignment vertical="center"/>
    </xf>
    <xf numFmtId="165" fontId="9" fillId="0" borderId="67" xfId="0" applyNumberFormat="1" applyFont="1" applyBorder="1"/>
    <xf numFmtId="165" fontId="9" fillId="0" borderId="82" xfId="0" applyNumberFormat="1" applyFont="1" applyBorder="1"/>
    <xf numFmtId="165" fontId="9" fillId="0" borderId="80" xfId="0" applyNumberFormat="1" applyFont="1" applyBorder="1"/>
    <xf numFmtId="165" fontId="9" fillId="0" borderId="12" xfId="0" applyNumberFormat="1" applyFont="1" applyBorder="1"/>
    <xf numFmtId="165" fontId="9" fillId="0" borderId="81" xfId="0" applyNumberFormat="1" applyFont="1" applyBorder="1"/>
    <xf numFmtId="165" fontId="9" fillId="0" borderId="76" xfId="0" applyNumberFormat="1" applyFont="1" applyBorder="1"/>
    <xf numFmtId="165" fontId="9" fillId="0" borderId="84" xfId="0" applyNumberFormat="1" applyFont="1" applyBorder="1"/>
    <xf numFmtId="0" fontId="15" fillId="0" borderId="79" xfId="0" applyFont="1" applyBorder="1"/>
    <xf numFmtId="165" fontId="15" fillId="0" borderId="68" xfId="0" applyNumberFormat="1" applyFont="1" applyBorder="1"/>
    <xf numFmtId="165" fontId="15" fillId="0" borderId="56" xfId="0" applyNumberFormat="1" applyFont="1" applyBorder="1"/>
    <xf numFmtId="165" fontId="15" fillId="0" borderId="64" xfId="0" applyNumberFormat="1" applyFont="1" applyBorder="1"/>
    <xf numFmtId="165" fontId="9" fillId="0" borderId="55" xfId="0" applyNumberFormat="1" applyFont="1" applyBorder="1"/>
    <xf numFmtId="0" fontId="9" fillId="0" borderId="13" xfId="0" applyFont="1" applyBorder="1"/>
    <xf numFmtId="10" fontId="32" fillId="41" borderId="31" xfId="0" applyNumberFormat="1" applyFont="1" applyFill="1" applyBorder="1"/>
    <xf numFmtId="0" fontId="31" fillId="0" borderId="0" xfId="0" applyFont="1" applyAlignment="1">
      <alignment vertical="center"/>
    </xf>
    <xf numFmtId="0" fontId="32" fillId="3" borderId="28" xfId="0" applyFont="1" applyFill="1" applyBorder="1"/>
    <xf numFmtId="0" fontId="33" fillId="0" borderId="0" xfId="0" applyFont="1" applyAlignment="1">
      <alignment horizontal="right" vertical="center"/>
    </xf>
    <xf numFmtId="0" fontId="32" fillId="0" borderId="28" xfId="0" applyFont="1" applyBorder="1" applyAlignment="1">
      <alignment wrapText="1"/>
    </xf>
    <xf numFmtId="10" fontId="32" fillId="0" borderId="0" xfId="0" applyNumberFormat="1" applyFont="1" applyAlignment="1">
      <alignment vertical="center"/>
    </xf>
    <xf numFmtId="10" fontId="32" fillId="0" borderId="26" xfId="0" applyNumberFormat="1" applyFont="1" applyBorder="1" applyAlignment="1">
      <alignment vertical="center"/>
    </xf>
    <xf numFmtId="165" fontId="33" fillId="0" borderId="0" xfId="1" applyNumberFormat="1" applyFont="1" applyAlignment="1">
      <alignment vertical="center"/>
    </xf>
    <xf numFmtId="9" fontId="33" fillId="0" borderId="0" xfId="1" applyNumberFormat="1" applyFont="1" applyAlignment="1">
      <alignment horizontal="right"/>
    </xf>
    <xf numFmtId="9" fontId="33" fillId="0" borderId="0" xfId="1" applyNumberFormat="1" applyFont="1"/>
    <xf numFmtId="10" fontId="33" fillId="0" borderId="0" xfId="1" applyNumberFormat="1" applyFont="1" applyAlignment="1" applyProtection="1">
      <alignment vertical="center"/>
      <protection locked="0"/>
    </xf>
    <xf numFmtId="165" fontId="33" fillId="0" borderId="0" xfId="0" applyNumberFormat="1" applyFont="1" applyProtection="1">
      <protection locked="0"/>
    </xf>
    <xf numFmtId="0" fontId="34" fillId="0" borderId="0" xfId="1" applyFont="1" applyAlignment="1">
      <alignment horizontal="right"/>
    </xf>
    <xf numFmtId="2" fontId="33" fillId="0" borderId="0" xfId="1" applyNumberFormat="1" applyFont="1" applyAlignment="1">
      <alignment vertical="center"/>
    </xf>
    <xf numFmtId="49" fontId="33" fillId="0" borderId="0" xfId="0" applyNumberFormat="1" applyFont="1" applyAlignment="1">
      <alignment vertical="center" wrapText="1"/>
    </xf>
    <xf numFmtId="49" fontId="47" fillId="0" borderId="0" xfId="1" applyNumberFormat="1" applyFont="1"/>
    <xf numFmtId="0" fontId="38" fillId="0" borderId="0" xfId="1" applyFont="1"/>
    <xf numFmtId="0" fontId="39" fillId="0" borderId="0" xfId="0" applyFont="1"/>
    <xf numFmtId="0" fontId="36" fillId="0" borderId="0" xfId="1" applyFont="1"/>
    <xf numFmtId="0" fontId="33" fillId="0" borderId="0" xfId="1" applyFont="1" applyAlignment="1">
      <alignment vertical="center"/>
    </xf>
    <xf numFmtId="0" fontId="31" fillId="0" borderId="41" xfId="0" applyFont="1" applyBorder="1" applyAlignment="1">
      <alignment horizontal="right" vertical="center"/>
    </xf>
    <xf numFmtId="10" fontId="38" fillId="0" borderId="0" xfId="0" applyNumberFormat="1" applyFont="1" applyAlignment="1">
      <alignment vertical="center"/>
    </xf>
    <xf numFmtId="10" fontId="34" fillId="0" borderId="0" xfId="0" applyNumberFormat="1" applyFont="1"/>
    <xf numFmtId="0" fontId="38" fillId="0" borderId="0" xfId="0" applyFont="1" applyAlignment="1">
      <alignment horizontal="center" vertical="center"/>
    </xf>
    <xf numFmtId="0" fontId="34" fillId="0" borderId="0" xfId="0" applyFont="1" applyAlignment="1">
      <alignment vertical="center"/>
    </xf>
    <xf numFmtId="10" fontId="34" fillId="0" borderId="0" xfId="0" applyNumberFormat="1" applyFont="1" applyAlignment="1">
      <alignment wrapText="1"/>
    </xf>
    <xf numFmtId="165" fontId="31" fillId="0" borderId="28" xfId="0" applyNumberFormat="1" applyFont="1" applyBorder="1" applyAlignment="1">
      <alignment vertical="center"/>
    </xf>
    <xf numFmtId="165" fontId="31" fillId="0" borderId="29" xfId="0" applyNumberFormat="1" applyFont="1" applyBorder="1" applyAlignment="1">
      <alignment vertical="center"/>
    </xf>
    <xf numFmtId="49" fontId="34" fillId="0" borderId="0" xfId="0" applyNumberFormat="1" applyFont="1" applyAlignment="1">
      <alignment vertical="center" wrapText="1"/>
    </xf>
    <xf numFmtId="165" fontId="32" fillId="0" borderId="0" xfId="0" applyNumberFormat="1" applyFont="1" applyAlignment="1" applyProtection="1">
      <alignment vertical="center"/>
      <protection locked="0"/>
    </xf>
    <xf numFmtId="165" fontId="31" fillId="0" borderId="40" xfId="0" applyNumberFormat="1" applyFont="1" applyBorder="1" applyAlignment="1">
      <alignment vertical="center"/>
    </xf>
    <xf numFmtId="0" fontId="32" fillId="0" borderId="40" xfId="0" applyFont="1" applyBorder="1" applyAlignment="1">
      <alignment horizontal="right" vertical="top" wrapText="1"/>
    </xf>
    <xf numFmtId="0" fontId="32" fillId="0" borderId="26" xfId="0" applyFont="1" applyBorder="1"/>
    <xf numFmtId="0" fontId="32" fillId="0" borderId="44" xfId="0" applyFont="1" applyBorder="1"/>
    <xf numFmtId="166" fontId="31" fillId="0" borderId="0" xfId="0" applyNumberFormat="1" applyFont="1" applyAlignment="1">
      <alignment horizontal="center"/>
    </xf>
    <xf numFmtId="166" fontId="38" fillId="0" borderId="0" xfId="0" applyNumberFormat="1" applyFont="1" applyAlignment="1">
      <alignment horizontal="center"/>
    </xf>
    <xf numFmtId="3" fontId="33" fillId="0" borderId="0" xfId="0" applyNumberFormat="1" applyFont="1" applyAlignment="1">
      <alignment wrapText="1"/>
    </xf>
    <xf numFmtId="10" fontId="33" fillId="0" borderId="0" xfId="0" applyNumberFormat="1" applyFont="1" applyAlignment="1">
      <alignment wrapText="1"/>
    </xf>
    <xf numFmtId="0" fontId="32" fillId="0" borderId="58" xfId="0" applyFont="1" applyBorder="1" applyAlignment="1">
      <alignment wrapText="1"/>
    </xf>
    <xf numFmtId="0" fontId="32" fillId="0" borderId="10" xfId="0" applyFont="1" applyBorder="1" applyAlignment="1">
      <alignment wrapText="1"/>
    </xf>
    <xf numFmtId="0" fontId="38" fillId="0" borderId="0" xfId="0" applyFont="1" applyAlignment="1">
      <alignment horizontal="center" vertical="center" wrapText="1"/>
    </xf>
    <xf numFmtId="165" fontId="33" fillId="0" borderId="10" xfId="0" applyNumberFormat="1" applyFont="1" applyBorder="1"/>
    <xf numFmtId="10" fontId="32" fillId="0" borderId="10" xfId="0" applyNumberFormat="1" applyFont="1" applyBorder="1"/>
    <xf numFmtId="0" fontId="32" fillId="0" borderId="0" xfId="0" applyFont="1" applyAlignment="1">
      <alignment vertical="center"/>
    </xf>
    <xf numFmtId="0" fontId="32" fillId="0" borderId="0" xfId="0" applyFont="1" applyAlignment="1">
      <alignment vertical="top" wrapText="1"/>
    </xf>
    <xf numFmtId="49" fontId="32" fillId="0" borderId="0" xfId="0" applyNumberFormat="1" applyFont="1" applyAlignment="1">
      <alignment vertical="top" wrapText="1"/>
    </xf>
    <xf numFmtId="9" fontId="32" fillId="0" borderId="0" xfId="0" applyNumberFormat="1" applyFont="1" applyAlignment="1">
      <alignment vertical="center"/>
    </xf>
    <xf numFmtId="49" fontId="32" fillId="0" borderId="0" xfId="0" applyNumberFormat="1" applyFont="1" applyAlignment="1">
      <alignment vertical="center" wrapText="1"/>
    </xf>
    <xf numFmtId="49" fontId="32" fillId="0" borderId="0" xfId="0" applyNumberFormat="1" applyFont="1" applyAlignment="1">
      <alignment horizontal="center" vertical="top" wrapText="1"/>
    </xf>
    <xf numFmtId="9" fontId="32" fillId="0" borderId="0" xfId="0" applyNumberFormat="1" applyFont="1" applyAlignment="1">
      <alignment horizontal="center" vertical="center"/>
    </xf>
    <xf numFmtId="49" fontId="38" fillId="0" borderId="0" xfId="0" applyNumberFormat="1" applyFont="1" applyAlignment="1">
      <alignment textRotation="90"/>
    </xf>
    <xf numFmtId="49" fontId="31" fillId="0" borderId="0" xfId="0" applyNumberFormat="1" applyFont="1" applyAlignment="1">
      <alignment vertical="center"/>
    </xf>
    <xf numFmtId="0" fontId="32" fillId="0" borderId="0" xfId="0" applyFont="1" applyAlignment="1">
      <alignment horizontal="left" vertical="top" wrapText="1"/>
    </xf>
    <xf numFmtId="0" fontId="15" fillId="0" borderId="0" xfId="0" applyFont="1"/>
    <xf numFmtId="165" fontId="9" fillId="0" borderId="0" xfId="0" applyNumberFormat="1" applyFont="1" applyAlignment="1">
      <alignment horizontal="right"/>
    </xf>
    <xf numFmtId="1" fontId="9" fillId="0" borderId="0" xfId="0" applyNumberFormat="1" applyFont="1"/>
    <xf numFmtId="165" fontId="46" fillId="0" borderId="0" xfId="0" applyNumberFormat="1" applyFont="1"/>
    <xf numFmtId="1" fontId="9" fillId="0" borderId="54" xfId="0" applyNumberFormat="1" applyFont="1" applyBorder="1" applyAlignment="1">
      <alignment horizontal="center" vertical="center"/>
    </xf>
    <xf numFmtId="1" fontId="9" fillId="0" borderId="13" xfId="0" applyNumberFormat="1" applyFont="1" applyBorder="1" applyAlignment="1">
      <alignment horizontal="center" vertical="center"/>
    </xf>
    <xf numFmtId="1" fontId="9" fillId="0" borderId="16" xfId="0" applyNumberFormat="1" applyFont="1" applyBorder="1" applyAlignment="1">
      <alignment horizontal="center" vertical="center"/>
    </xf>
    <xf numFmtId="165" fontId="9" fillId="0" borderId="80" xfId="0" applyNumberFormat="1" applyFont="1" applyBorder="1" applyAlignment="1">
      <alignment horizontal="center"/>
    </xf>
    <xf numFmtId="165" fontId="9" fillId="0" borderId="67" xfId="0" applyNumberFormat="1" applyFont="1" applyBorder="1" applyAlignment="1">
      <alignment horizontal="center"/>
    </xf>
    <xf numFmtId="165" fontId="9" fillId="0" borderId="12" xfId="0" applyNumberFormat="1" applyFont="1" applyBorder="1" applyAlignment="1">
      <alignment horizontal="center"/>
    </xf>
    <xf numFmtId="165" fontId="9" fillId="0" borderId="81" xfId="0" applyNumberFormat="1" applyFont="1" applyBorder="1" applyAlignment="1">
      <alignment horizontal="center"/>
    </xf>
    <xf numFmtId="165" fontId="9" fillId="0" borderId="82" xfId="0" applyNumberFormat="1" applyFont="1" applyBorder="1" applyAlignment="1">
      <alignment horizontal="center"/>
    </xf>
    <xf numFmtId="165" fontId="9" fillId="0" borderId="1" xfId="0" applyNumberFormat="1" applyFont="1" applyBorder="1" applyAlignment="1">
      <alignment horizontal="center"/>
    </xf>
    <xf numFmtId="165" fontId="9" fillId="0" borderId="76" xfId="0" applyNumberFormat="1" applyFont="1" applyBorder="1" applyAlignment="1">
      <alignment horizontal="center"/>
    </xf>
    <xf numFmtId="165" fontId="9" fillId="0" borderId="84" xfId="0" applyNumberFormat="1" applyFont="1" applyBorder="1" applyAlignment="1">
      <alignment horizontal="center"/>
    </xf>
    <xf numFmtId="165" fontId="9" fillId="0" borderId="2" xfId="0" applyNumberFormat="1" applyFont="1" applyBorder="1" applyAlignment="1">
      <alignment horizontal="center"/>
    </xf>
    <xf numFmtId="165" fontId="46" fillId="0" borderId="57" xfId="0" applyNumberFormat="1" applyFont="1" applyBorder="1" applyAlignment="1">
      <alignment horizontal="center"/>
    </xf>
    <xf numFmtId="0" fontId="9" fillId="0" borderId="72" xfId="0" applyFont="1" applyBorder="1" applyAlignment="1">
      <alignment horizontal="center" vertical="center"/>
    </xf>
    <xf numFmtId="0" fontId="9" fillId="0" borderId="74" xfId="0" applyFont="1" applyBorder="1" applyAlignment="1">
      <alignment horizontal="center" vertical="center"/>
    </xf>
    <xf numFmtId="0" fontId="9" fillId="0" borderId="74" xfId="0" applyFont="1" applyBorder="1"/>
    <xf numFmtId="0" fontId="9" fillId="0" borderId="92" xfId="0" applyFont="1" applyBorder="1"/>
    <xf numFmtId="0" fontId="9" fillId="0" borderId="30" xfId="0" applyFont="1" applyBorder="1"/>
    <xf numFmtId="165" fontId="9" fillId="0" borderId="0" xfId="0" applyNumberFormat="1" applyFont="1" applyAlignment="1">
      <alignment horizontal="center"/>
    </xf>
    <xf numFmtId="0" fontId="31" fillId="0" borderId="41" xfId="0" applyFont="1" applyBorder="1" applyAlignment="1">
      <alignment horizontal="center" vertical="center"/>
    </xf>
    <xf numFmtId="0" fontId="31" fillId="0" borderId="0" xfId="0" applyFont="1" applyAlignment="1">
      <alignment horizontal="center"/>
    </xf>
    <xf numFmtId="9" fontId="31" fillId="0" borderId="0" xfId="0" applyNumberFormat="1" applyFont="1" applyAlignment="1">
      <alignment horizontal="center"/>
    </xf>
    <xf numFmtId="0" fontId="9" fillId="0" borderId="0" xfId="0" applyFont="1" applyAlignment="1">
      <alignment horizontal="center" vertical="center"/>
    </xf>
    <xf numFmtId="165" fontId="9" fillId="0" borderId="0" xfId="0" applyNumberFormat="1" applyFont="1" applyAlignment="1">
      <alignment horizontal="center" vertical="center"/>
    </xf>
    <xf numFmtId="165" fontId="9" fillId="0" borderId="29" xfId="0" applyNumberFormat="1" applyFont="1" applyBorder="1"/>
    <xf numFmtId="165" fontId="9" fillId="0" borderId="26" xfId="0" applyNumberFormat="1" applyFont="1" applyBorder="1"/>
    <xf numFmtId="165" fontId="9" fillId="0" borderId="26" xfId="0" applyNumberFormat="1" applyFont="1" applyBorder="1" applyAlignment="1">
      <alignment horizontal="center"/>
    </xf>
    <xf numFmtId="165" fontId="46" fillId="0" borderId="0" xfId="0" applyNumberFormat="1" applyFont="1" applyAlignment="1">
      <alignment horizontal="center"/>
    </xf>
    <xf numFmtId="0" fontId="31" fillId="0" borderId="31" xfId="0" applyFont="1" applyBorder="1" applyAlignment="1">
      <alignment wrapText="1"/>
    </xf>
    <xf numFmtId="0" fontId="31" fillId="0" borderId="0" xfId="0" applyFont="1" applyAlignment="1">
      <alignment wrapText="1"/>
    </xf>
    <xf numFmtId="0" fontId="31" fillId="3" borderId="28" xfId="0" applyFont="1" applyFill="1" applyBorder="1" applyAlignment="1">
      <alignment vertical="center" wrapText="1"/>
    </xf>
    <xf numFmtId="0" fontId="31" fillId="3" borderId="29" xfId="0" applyFont="1" applyFill="1" applyBorder="1" applyAlignment="1">
      <alignment vertical="center" wrapText="1"/>
    </xf>
    <xf numFmtId="0" fontId="32" fillId="0" borderId="43" xfId="0" applyFont="1" applyBorder="1" applyAlignment="1">
      <alignment horizontal="right" vertical="top" wrapText="1"/>
    </xf>
    <xf numFmtId="0" fontId="32" fillId="0" borderId="48" xfId="0" applyFont="1" applyBorder="1" applyAlignment="1">
      <alignment horizontal="right"/>
    </xf>
    <xf numFmtId="0" fontId="32" fillId="0" borderId="51" xfId="0" applyFont="1" applyBorder="1" applyAlignment="1">
      <alignment horizontal="right" vertical="top" wrapText="1"/>
    </xf>
    <xf numFmtId="0" fontId="31" fillId="0" borderId="43" xfId="0" applyFont="1" applyBorder="1" applyAlignment="1">
      <alignment horizontal="right" wrapText="1"/>
    </xf>
    <xf numFmtId="10" fontId="32" fillId="0" borderId="48" xfId="0" applyNumberFormat="1" applyFont="1" applyBorder="1"/>
    <xf numFmtId="0" fontId="31" fillId="0" borderId="48" xfId="0" applyFont="1" applyBorder="1" applyAlignment="1">
      <alignment horizontal="right" wrapText="1"/>
    </xf>
    <xf numFmtId="0" fontId="31" fillId="3" borderId="43" xfId="0" applyFont="1" applyFill="1" applyBorder="1" applyAlignment="1">
      <alignment vertical="center" wrapText="1"/>
    </xf>
    <xf numFmtId="0" fontId="31" fillId="3" borderId="51" xfId="0" applyFont="1" applyFill="1" applyBorder="1" applyAlignment="1">
      <alignment vertical="center" wrapText="1"/>
    </xf>
    <xf numFmtId="10" fontId="32" fillId="0" borderId="26" xfId="0" applyNumberFormat="1" applyFont="1" applyBorder="1"/>
    <xf numFmtId="165" fontId="31" fillId="0" borderId="0" xfId="0" applyNumberFormat="1" applyFont="1"/>
    <xf numFmtId="165" fontId="39" fillId="0" borderId="0" xfId="0" applyNumberFormat="1" applyFont="1" applyAlignment="1">
      <alignment vertical="center"/>
    </xf>
    <xf numFmtId="165" fontId="32" fillId="0" borderId="31" xfId="0" applyNumberFormat="1" applyFont="1" applyBorder="1"/>
    <xf numFmtId="165" fontId="39" fillId="0" borderId="0" xfId="0" applyNumberFormat="1" applyFont="1" applyAlignment="1">
      <alignment vertical="center" wrapText="1"/>
    </xf>
    <xf numFmtId="165" fontId="39" fillId="3" borderId="40" xfId="0" applyNumberFormat="1" applyFont="1" applyFill="1" applyBorder="1" applyAlignment="1">
      <alignment vertical="center" wrapText="1"/>
    </xf>
    <xf numFmtId="165" fontId="31" fillId="0" borderId="40" xfId="0" applyNumberFormat="1" applyFont="1" applyBorder="1"/>
    <xf numFmtId="0" fontId="32" fillId="0" borderId="48" xfId="0" applyFont="1" applyBorder="1" applyAlignment="1">
      <alignment horizontal="right" vertical="top" wrapText="1"/>
    </xf>
    <xf numFmtId="0" fontId="32" fillId="0" borderId="51" xfId="0" applyFont="1" applyBorder="1" applyAlignment="1">
      <alignment horizontal="right"/>
    </xf>
    <xf numFmtId="10" fontId="31" fillId="0" borderId="48" xfId="0" applyNumberFormat="1" applyFont="1" applyBorder="1" applyAlignment="1">
      <alignment horizontal="right" wrapText="1"/>
    </xf>
    <xf numFmtId="0" fontId="31" fillId="3" borderId="43" xfId="0" applyFont="1" applyFill="1" applyBorder="1" applyAlignment="1">
      <alignment horizontal="center" vertical="center" wrapText="1"/>
    </xf>
    <xf numFmtId="0" fontId="31" fillId="3" borderId="51" xfId="0" applyFont="1" applyFill="1" applyBorder="1" applyAlignment="1">
      <alignment horizontal="center" vertical="center" wrapText="1"/>
    </xf>
    <xf numFmtId="0" fontId="15" fillId="0" borderId="0" xfId="0" applyFont="1" applyAlignment="1">
      <alignment horizontal="center"/>
    </xf>
    <xf numFmtId="0" fontId="32" fillId="0" borderId="87" xfId="0" applyFont="1" applyBorder="1" applyAlignment="1">
      <alignment horizontal="right"/>
    </xf>
    <xf numFmtId="0" fontId="32" fillId="0" borderId="26" xfId="0" applyFont="1" applyBorder="1" applyAlignment="1">
      <alignment horizontal="right"/>
    </xf>
    <xf numFmtId="0" fontId="32" fillId="0" borderId="44" xfId="0" applyFont="1" applyBorder="1" applyAlignment="1">
      <alignment horizontal="right"/>
    </xf>
    <xf numFmtId="165" fontId="9" fillId="0" borderId="56" xfId="0" applyNumberFormat="1" applyFont="1" applyBorder="1"/>
    <xf numFmtId="165" fontId="9" fillId="0" borderId="69" xfId="0" applyNumberFormat="1" applyFont="1" applyBorder="1"/>
    <xf numFmtId="165" fontId="9" fillId="0" borderId="36" xfId="0" applyNumberFormat="1" applyFont="1" applyBorder="1"/>
    <xf numFmtId="165" fontId="9" fillId="0" borderId="42" xfId="0" applyNumberFormat="1" applyFont="1" applyBorder="1"/>
    <xf numFmtId="165" fontId="9" fillId="0" borderId="62" xfId="0" applyNumberFormat="1" applyFont="1" applyBorder="1" applyAlignment="1">
      <alignment horizontal="center" vertical="center"/>
    </xf>
    <xf numFmtId="165" fontId="33" fillId="0" borderId="0" xfId="0" applyNumberFormat="1" applyFont="1" applyAlignment="1">
      <alignment vertical="center"/>
    </xf>
    <xf numFmtId="165" fontId="9" fillId="0" borderId="0" xfId="0" applyNumberFormat="1" applyFont="1" applyAlignment="1">
      <alignment vertical="center"/>
    </xf>
    <xf numFmtId="165" fontId="48" fillId="0" borderId="0" xfId="0" applyNumberFormat="1" applyFont="1"/>
    <xf numFmtId="0" fontId="32" fillId="0" borderId="87" xfId="0" applyFont="1" applyBorder="1"/>
    <xf numFmtId="165" fontId="32" fillId="0" borderId="31" xfId="0" applyNumberFormat="1" applyFont="1" applyBorder="1" applyAlignment="1">
      <alignment horizontal="right"/>
    </xf>
    <xf numFmtId="165" fontId="34" fillId="0" borderId="87" xfId="0" applyNumberFormat="1" applyFont="1" applyBorder="1" applyAlignment="1">
      <alignment horizontal="right"/>
    </xf>
    <xf numFmtId="165" fontId="32" fillId="0" borderId="29" xfId="0" applyNumberFormat="1" applyFont="1" applyBorder="1" applyAlignment="1">
      <alignment horizontal="center"/>
    </xf>
    <xf numFmtId="165" fontId="32" fillId="0" borderId="40" xfId="0" applyNumberFormat="1" applyFont="1" applyBorder="1" applyAlignment="1">
      <alignment horizontal="center"/>
    </xf>
    <xf numFmtId="0" fontId="32" fillId="0" borderId="87" xfId="0" applyFont="1" applyBorder="1" applyAlignment="1">
      <alignment horizontal="right" vertical="top" wrapText="1"/>
    </xf>
    <xf numFmtId="0" fontId="32" fillId="0" borderId="26" xfId="0" applyFont="1" applyBorder="1" applyAlignment="1">
      <alignment horizontal="right" vertical="top" wrapText="1"/>
    </xf>
    <xf numFmtId="0" fontId="32" fillId="0" borderId="44" xfId="0" applyFont="1" applyBorder="1" applyAlignment="1">
      <alignment horizontal="right" vertical="top" wrapText="1"/>
    </xf>
    <xf numFmtId="165" fontId="32" fillId="0" borderId="26" xfId="0" applyNumberFormat="1" applyFont="1" applyBorder="1" applyAlignment="1">
      <alignment horizontal="center"/>
    </xf>
    <xf numFmtId="165" fontId="32" fillId="0" borderId="44" xfId="0" applyNumberFormat="1" applyFont="1" applyBorder="1" applyAlignment="1">
      <alignment horizontal="center"/>
    </xf>
    <xf numFmtId="0" fontId="32" fillId="0" borderId="31" xfId="0" applyFont="1" applyBorder="1" applyAlignment="1">
      <alignment horizontal="right"/>
    </xf>
    <xf numFmtId="0" fontId="32" fillId="0" borderId="41" xfId="0" applyFont="1" applyBorder="1" applyAlignment="1">
      <alignment horizontal="right"/>
    </xf>
    <xf numFmtId="165" fontId="32" fillId="0" borderId="0" xfId="0" applyNumberFormat="1" applyFont="1" applyAlignment="1">
      <alignment horizontal="center"/>
    </xf>
    <xf numFmtId="165" fontId="32" fillId="0" borderId="41" xfId="0" applyNumberFormat="1" applyFont="1" applyBorder="1" applyAlignment="1">
      <alignment horizontal="center"/>
    </xf>
    <xf numFmtId="0" fontId="31" fillId="0" borderId="31" xfId="0" applyFont="1" applyBorder="1" applyAlignment="1">
      <alignment horizontal="right" wrapText="1"/>
    </xf>
    <xf numFmtId="0" fontId="31" fillId="0" borderId="0" xfId="0" applyFont="1" applyAlignment="1">
      <alignment horizontal="right" wrapText="1"/>
    </xf>
    <xf numFmtId="0" fontId="31" fillId="0" borderId="41" xfId="0" applyFont="1" applyBorder="1" applyAlignment="1">
      <alignment horizontal="right" wrapText="1"/>
    </xf>
    <xf numFmtId="165" fontId="34" fillId="0" borderId="0" xfId="0" applyNumberFormat="1" applyFont="1" applyAlignment="1">
      <alignment horizontal="right"/>
    </xf>
    <xf numFmtId="165" fontId="34" fillId="0" borderId="41" xfId="0" applyNumberFormat="1" applyFont="1" applyBorder="1" applyAlignment="1">
      <alignment horizontal="right"/>
    </xf>
    <xf numFmtId="0" fontId="32" fillId="0" borderId="31" xfId="0" applyFont="1" applyBorder="1" applyAlignment="1">
      <alignment horizontal="left" wrapText="1"/>
    </xf>
    <xf numFmtId="0" fontId="32" fillId="0" borderId="0" xfId="0" applyFont="1" applyAlignment="1">
      <alignment horizontal="left" wrapText="1"/>
    </xf>
    <xf numFmtId="9" fontId="32" fillId="2" borderId="11" xfId="0" applyNumberFormat="1" applyFont="1" applyFill="1" applyBorder="1" applyAlignment="1">
      <alignment horizontal="center" vertical="center"/>
    </xf>
    <xf numFmtId="9" fontId="32" fillId="2" borderId="12" xfId="0" applyNumberFormat="1" applyFont="1" applyFill="1" applyBorder="1" applyAlignment="1">
      <alignment horizontal="center" vertical="center"/>
    </xf>
    <xf numFmtId="9" fontId="32" fillId="2" borderId="1" xfId="0" applyNumberFormat="1" applyFont="1" applyFill="1" applyBorder="1" applyAlignment="1">
      <alignment horizontal="center" vertical="center"/>
    </xf>
    <xf numFmtId="9" fontId="32" fillId="2" borderId="2" xfId="0" applyNumberFormat="1" applyFont="1" applyFill="1" applyBorder="1" applyAlignment="1">
      <alignment horizontal="center" vertical="center"/>
    </xf>
    <xf numFmtId="9" fontId="32" fillId="2" borderId="60" xfId="0" applyNumberFormat="1" applyFont="1" applyFill="1" applyBorder="1" applyAlignment="1">
      <alignment horizontal="center" vertical="center"/>
    </xf>
    <xf numFmtId="9" fontId="32" fillId="2" borderId="34" xfId="0" applyNumberFormat="1" applyFont="1" applyFill="1" applyBorder="1" applyAlignment="1">
      <alignment horizontal="center" vertical="center"/>
    </xf>
    <xf numFmtId="165" fontId="31" fillId="0" borderId="26" xfId="0" applyNumberFormat="1" applyFont="1" applyBorder="1" applyAlignment="1">
      <alignment horizontal="right"/>
    </xf>
    <xf numFmtId="165" fontId="34" fillId="0" borderId="26" xfId="0" applyNumberFormat="1" applyFont="1" applyBorder="1" applyAlignment="1">
      <alignment horizontal="right"/>
    </xf>
    <xf numFmtId="0" fontId="31" fillId="0" borderId="28" xfId="0" applyFont="1" applyBorder="1" applyAlignment="1">
      <alignment horizontal="right" wrapText="1"/>
    </xf>
    <xf numFmtId="0" fontId="31" fillId="0" borderId="29" xfId="0" applyFont="1" applyBorder="1" applyAlignment="1">
      <alignment horizontal="right" wrapText="1"/>
    </xf>
    <xf numFmtId="0" fontId="31" fillId="0" borderId="40" xfId="0" applyFont="1" applyBorder="1" applyAlignment="1">
      <alignment horizontal="right" wrapText="1"/>
    </xf>
    <xf numFmtId="0" fontId="31" fillId="0" borderId="87" xfId="0" applyFont="1" applyBorder="1" applyAlignment="1">
      <alignment horizontal="right" wrapText="1"/>
    </xf>
    <xf numFmtId="9" fontId="32" fillId="2" borderId="61" xfId="0" applyNumberFormat="1" applyFont="1" applyFill="1" applyBorder="1" applyAlignment="1">
      <alignment horizontal="center" vertical="center"/>
    </xf>
    <xf numFmtId="9" fontId="32" fillId="2" borderId="63" xfId="0" applyNumberFormat="1" applyFont="1" applyFill="1" applyBorder="1" applyAlignment="1">
      <alignment horizontal="center" vertical="center"/>
    </xf>
    <xf numFmtId="9" fontId="32" fillId="2" borderId="59" xfId="0" applyNumberFormat="1" applyFont="1" applyFill="1" applyBorder="1" applyAlignment="1">
      <alignment horizontal="center" vertical="center"/>
    </xf>
    <xf numFmtId="0" fontId="31" fillId="0" borderId="0" xfId="0" applyFont="1" applyAlignment="1">
      <alignment horizontal="left" vertical="center" wrapText="1"/>
    </xf>
    <xf numFmtId="10" fontId="32" fillId="0" borderId="81" xfId="0" applyNumberFormat="1" applyFont="1" applyBorder="1" applyAlignment="1">
      <alignment horizontal="center" vertical="center" wrapText="1"/>
    </xf>
    <xf numFmtId="0" fontId="32" fillId="4" borderId="82" xfId="0" applyFont="1" applyFill="1" applyBorder="1" applyAlignment="1">
      <alignment horizontal="center" vertical="center"/>
    </xf>
    <xf numFmtId="0" fontId="32" fillId="4" borderId="84" xfId="0" applyFont="1" applyFill="1" applyBorder="1" applyAlignment="1">
      <alignment horizontal="center" vertical="center"/>
    </xf>
    <xf numFmtId="0" fontId="32" fillId="4" borderId="67" xfId="0" applyFont="1" applyFill="1" applyBorder="1" applyAlignment="1">
      <alignment horizontal="center" vertical="center"/>
    </xf>
    <xf numFmtId="0" fontId="33" fillId="0" borderId="0" xfId="0" applyFont="1" applyAlignment="1">
      <alignment horizontal="left"/>
    </xf>
    <xf numFmtId="49" fontId="34" fillId="0" borderId="0" xfId="0" applyNumberFormat="1" applyFont="1"/>
    <xf numFmtId="0" fontId="32" fillId="0" borderId="30" xfId="0" applyFont="1" applyBorder="1"/>
    <xf numFmtId="0" fontId="32" fillId="0" borderId="30" xfId="0" applyFont="1" applyBorder="1" applyAlignment="1">
      <alignment horizontal="center" vertical="center"/>
    </xf>
    <xf numFmtId="0" fontId="31" fillId="2" borderId="74" xfId="0" applyFont="1" applyFill="1" applyBorder="1" applyAlignment="1">
      <alignment horizontal="center" vertical="center"/>
    </xf>
    <xf numFmtId="0" fontId="32" fillId="0" borderId="3" xfId="0" applyFont="1" applyBorder="1" applyAlignment="1">
      <alignment horizontal="center" vertical="center"/>
    </xf>
    <xf numFmtId="165" fontId="33" fillId="0" borderId="10" xfId="0" applyNumberFormat="1" applyFont="1" applyBorder="1" applyAlignment="1">
      <alignment vertical="center"/>
    </xf>
    <xf numFmtId="0" fontId="33" fillId="0" borderId="0" xfId="0" applyFont="1" applyAlignment="1">
      <alignment wrapText="1"/>
    </xf>
    <xf numFmtId="10" fontId="33" fillId="0" borderId="0" xfId="0" applyNumberFormat="1" applyFont="1" applyAlignment="1">
      <alignment vertical="center" wrapText="1"/>
    </xf>
    <xf numFmtId="0" fontId="34" fillId="0" borderId="0" xfId="0" applyFont="1" applyAlignment="1">
      <alignment wrapText="1"/>
    </xf>
    <xf numFmtId="0" fontId="32" fillId="0" borderId="65" xfId="0" applyFont="1" applyBorder="1" applyAlignment="1">
      <alignment horizontal="center" vertical="center"/>
    </xf>
    <xf numFmtId="10" fontId="32" fillId="0" borderId="79" xfId="0" applyNumberFormat="1" applyFont="1" applyBorder="1"/>
    <xf numFmtId="10" fontId="32" fillId="0" borderId="62" xfId="0" applyNumberFormat="1" applyFont="1" applyBorder="1"/>
    <xf numFmtId="10" fontId="32" fillId="0" borderId="81" xfId="0" applyNumberFormat="1" applyFont="1" applyBorder="1" applyAlignment="1">
      <alignment vertical="center" wrapText="1"/>
    </xf>
    <xf numFmtId="10" fontId="32" fillId="0" borderId="10" xfId="0" applyNumberFormat="1" applyFont="1" applyBorder="1" applyAlignment="1">
      <alignment vertical="center"/>
    </xf>
    <xf numFmtId="10" fontId="33" fillId="0" borderId="10" xfId="0" applyNumberFormat="1" applyFont="1" applyBorder="1" applyAlignment="1">
      <alignment vertical="center"/>
    </xf>
    <xf numFmtId="9" fontId="33" fillId="0" borderId="0" xfId="0" applyNumberFormat="1" applyFont="1"/>
    <xf numFmtId="0" fontId="51" fillId="0" borderId="0" xfId="0" applyFont="1" applyAlignment="1">
      <alignment vertical="center"/>
    </xf>
    <xf numFmtId="10" fontId="32" fillId="0" borderId="48" xfId="0" applyNumberFormat="1" applyFont="1" applyBorder="1" applyAlignment="1">
      <alignment horizontal="right" wrapText="1"/>
    </xf>
    <xf numFmtId="0" fontId="33" fillId="0" borderId="0" xfId="0" applyFont="1" applyAlignment="1">
      <alignment horizontal="center"/>
    </xf>
    <xf numFmtId="10" fontId="33" fillId="0" borderId="0" xfId="1" applyNumberFormat="1" applyFont="1" applyAlignment="1">
      <alignment vertical="center"/>
    </xf>
    <xf numFmtId="9" fontId="32" fillId="2" borderId="46" xfId="0" applyNumberFormat="1" applyFont="1" applyFill="1" applyBorder="1" applyAlignment="1">
      <alignment horizontal="center" vertical="center"/>
    </xf>
    <xf numFmtId="165" fontId="52" fillId="0" borderId="0" xfId="1" applyNumberFormat="1" applyFont="1" applyAlignment="1">
      <alignment vertical="center"/>
    </xf>
    <xf numFmtId="165" fontId="33" fillId="0" borderId="10" xfId="0" applyNumberFormat="1" applyFont="1" applyBorder="1" applyAlignment="1">
      <alignment vertical="center" wrapText="1"/>
    </xf>
    <xf numFmtId="0" fontId="9" fillId="0" borderId="31" xfId="0" applyFont="1" applyBorder="1" applyAlignment="1">
      <alignment horizontal="right"/>
    </xf>
    <xf numFmtId="0" fontId="31" fillId="0" borderId="30" xfId="0" applyFont="1" applyBorder="1" applyAlignment="1">
      <alignment horizontal="center" vertical="center"/>
    </xf>
    <xf numFmtId="0" fontId="31" fillId="0" borderId="91" xfId="0" applyFont="1" applyBorder="1" applyAlignment="1">
      <alignment horizontal="center" vertical="center" wrapText="1"/>
    </xf>
    <xf numFmtId="0" fontId="31" fillId="0" borderId="89" xfId="0" applyFont="1" applyBorder="1" applyAlignment="1">
      <alignment horizontal="center" vertical="center" wrapText="1"/>
    </xf>
    <xf numFmtId="0" fontId="31" fillId="0" borderId="89" xfId="0" applyFont="1" applyBorder="1" applyAlignment="1">
      <alignment horizontal="center" vertical="center"/>
    </xf>
    <xf numFmtId="9" fontId="31" fillId="0" borderId="89" xfId="0" applyNumberFormat="1" applyFont="1" applyBorder="1" applyAlignment="1">
      <alignment horizontal="center" vertical="center"/>
    </xf>
    <xf numFmtId="166" fontId="31" fillId="0" borderId="89" xfId="0" applyNumberFormat="1" applyFont="1" applyBorder="1" applyAlignment="1">
      <alignment horizontal="center" vertical="center"/>
    </xf>
    <xf numFmtId="166" fontId="38" fillId="0" borderId="90" xfId="0" applyNumberFormat="1" applyFont="1" applyBorder="1" applyAlignment="1">
      <alignment horizontal="center" vertical="center"/>
    </xf>
    <xf numFmtId="166" fontId="31" fillId="0" borderId="93" xfId="0" applyNumberFormat="1" applyFont="1" applyBorder="1" applyAlignment="1">
      <alignment horizontal="center" vertical="center"/>
    </xf>
    <xf numFmtId="0" fontId="9" fillId="0" borderId="78" xfId="0" applyFont="1" applyBorder="1" applyAlignment="1">
      <alignment horizontal="center" vertical="center"/>
    </xf>
    <xf numFmtId="0" fontId="15" fillId="0" borderId="43" xfId="0" applyFont="1" applyBorder="1" applyAlignment="1">
      <alignment horizontal="center" vertical="center"/>
    </xf>
    <xf numFmtId="1" fontId="9" fillId="0" borderId="57" xfId="0" applyNumberFormat="1" applyFont="1" applyBorder="1" applyAlignment="1">
      <alignment horizontal="center" vertical="center"/>
    </xf>
    <xf numFmtId="1" fontId="9" fillId="0" borderId="10" xfId="0" applyNumberFormat="1" applyFont="1" applyBorder="1" applyAlignment="1">
      <alignment horizontal="center" vertical="center"/>
    </xf>
    <xf numFmtId="49" fontId="43" fillId="0" borderId="0" xfId="13" applyNumberFormat="1" applyFont="1"/>
    <xf numFmtId="49" fontId="43" fillId="0" borderId="0" xfId="15" applyNumberFormat="1" applyFont="1"/>
    <xf numFmtId="0" fontId="43" fillId="0" borderId="0" xfId="13" applyFont="1" applyAlignment="1">
      <alignment wrapText="1"/>
    </xf>
    <xf numFmtId="0" fontId="9" fillId="0" borderId="40" xfId="0" applyFont="1" applyBorder="1" applyAlignment="1">
      <alignment horizontal="center" vertical="center"/>
    </xf>
    <xf numFmtId="0" fontId="9" fillId="0" borderId="41" xfId="0" applyFont="1" applyBorder="1" applyAlignment="1">
      <alignment horizontal="center" vertical="center"/>
    </xf>
    <xf numFmtId="0" fontId="9" fillId="0" borderId="41" xfId="0" applyFont="1" applyBorder="1"/>
    <xf numFmtId="0" fontId="15" fillId="0" borderId="79" xfId="0" applyFont="1" applyBorder="1" applyAlignment="1">
      <alignment horizontal="center" vertical="center"/>
    </xf>
    <xf numFmtId="165" fontId="9" fillId="0" borderId="4" xfId="0" applyNumberFormat="1" applyFont="1" applyBorder="1" applyAlignment="1">
      <alignment horizontal="center"/>
    </xf>
    <xf numFmtId="165" fontId="9" fillId="0" borderId="6" xfId="0" applyNumberFormat="1" applyFont="1" applyBorder="1" applyAlignment="1">
      <alignment horizontal="center"/>
    </xf>
    <xf numFmtId="165" fontId="9" fillId="0" borderId="5" xfId="0" applyNumberFormat="1" applyFont="1" applyBorder="1" applyAlignment="1">
      <alignment horizontal="center"/>
    </xf>
    <xf numFmtId="165" fontId="9" fillId="0" borderId="83" xfId="0" applyNumberFormat="1" applyFont="1" applyBorder="1" applyAlignment="1">
      <alignment horizontal="center"/>
    </xf>
    <xf numFmtId="165" fontId="9" fillId="0" borderId="46" xfId="0" applyNumberFormat="1" applyFont="1" applyBorder="1" applyAlignment="1">
      <alignment horizontal="center"/>
    </xf>
    <xf numFmtId="165" fontId="9" fillId="0" borderId="11" xfId="0" applyNumberFormat="1" applyFont="1" applyBorder="1" applyAlignment="1">
      <alignment horizontal="center"/>
    </xf>
    <xf numFmtId="165" fontId="46" fillId="0" borderId="10" xfId="0" applyNumberFormat="1" applyFont="1" applyBorder="1" applyAlignment="1">
      <alignment horizontal="center"/>
    </xf>
    <xf numFmtId="165" fontId="46" fillId="0" borderId="3" xfId="0" applyNumberFormat="1" applyFont="1" applyBorder="1" applyAlignment="1">
      <alignment horizontal="center"/>
    </xf>
    <xf numFmtId="0" fontId="9" fillId="0" borderId="3" xfId="0" applyFont="1" applyBorder="1" applyAlignment="1">
      <alignment horizontal="center"/>
    </xf>
    <xf numFmtId="1" fontId="9" fillId="0" borderId="3" xfId="0" applyNumberFormat="1" applyFont="1" applyBorder="1" applyAlignment="1">
      <alignment horizontal="center"/>
    </xf>
    <xf numFmtId="0" fontId="15" fillId="0" borderId="51" xfId="0" applyFont="1" applyBorder="1" applyAlignment="1">
      <alignment horizontal="center" vertical="center"/>
    </xf>
    <xf numFmtId="1" fontId="9" fillId="0" borderId="3" xfId="0" applyNumberFormat="1" applyFont="1" applyBorder="1" applyAlignment="1">
      <alignment horizontal="center" vertical="center"/>
    </xf>
    <xf numFmtId="165" fontId="15" fillId="0" borderId="29" xfId="0" applyNumberFormat="1" applyFont="1" applyBorder="1" applyAlignment="1">
      <alignment horizontal="center"/>
    </xf>
    <xf numFmtId="165" fontId="15" fillId="0" borderId="62" xfId="0" applyNumberFormat="1" applyFont="1" applyBorder="1" applyAlignment="1">
      <alignment horizontal="center"/>
    </xf>
    <xf numFmtId="165" fontId="15" fillId="0" borderId="0" xfId="0" applyNumberFormat="1" applyFont="1" applyAlignment="1">
      <alignment horizontal="center"/>
    </xf>
    <xf numFmtId="0" fontId="9" fillId="0" borderId="16" xfId="0" applyFont="1" applyBorder="1"/>
    <xf numFmtId="0" fontId="32" fillId="0" borderId="3" xfId="0" applyFont="1" applyBorder="1"/>
    <xf numFmtId="165" fontId="33" fillId="0" borderId="3" xfId="0" applyNumberFormat="1" applyFont="1" applyBorder="1"/>
    <xf numFmtId="10" fontId="32" fillId="0" borderId="3" xfId="0" applyNumberFormat="1" applyFont="1" applyBorder="1"/>
    <xf numFmtId="165" fontId="33" fillId="0" borderId="3" xfId="0" applyNumberFormat="1" applyFont="1" applyBorder="1" applyAlignment="1">
      <alignment vertical="center" wrapText="1"/>
    </xf>
    <xf numFmtId="0" fontId="46" fillId="0" borderId="0" xfId="0" applyFont="1" applyAlignment="1">
      <alignment horizontal="right"/>
    </xf>
    <xf numFmtId="165" fontId="54" fillId="0" borderId="0" xfId="0" applyNumberFormat="1" applyFont="1"/>
    <xf numFmtId="0" fontId="33" fillId="0" borderId="0" xfId="0" applyFont="1" applyAlignment="1">
      <alignment vertical="top" wrapText="1"/>
    </xf>
    <xf numFmtId="166" fontId="33" fillId="0" borderId="0" xfId="0" applyNumberFormat="1" applyFont="1" applyAlignment="1">
      <alignment horizontal="right"/>
    </xf>
    <xf numFmtId="0" fontId="15" fillId="0" borderId="0" xfId="0" applyFont="1" applyAlignment="1">
      <alignment horizontal="right"/>
    </xf>
    <xf numFmtId="0" fontId="32" fillId="0" borderId="10" xfId="0" applyFont="1" applyBorder="1"/>
    <xf numFmtId="0" fontId="15" fillId="0" borderId="0" xfId="0" applyFont="1" applyAlignment="1">
      <alignment horizontal="center" wrapText="1"/>
    </xf>
    <xf numFmtId="165" fontId="48" fillId="0" borderId="0" xfId="0" applyNumberFormat="1" applyFont="1" applyAlignment="1">
      <alignment horizontal="center"/>
    </xf>
    <xf numFmtId="9" fontId="32" fillId="3" borderId="82" xfId="0" applyNumberFormat="1" applyFont="1" applyFill="1" applyBorder="1" applyAlignment="1">
      <alignment horizontal="center" vertical="center"/>
    </xf>
    <xf numFmtId="0" fontId="31" fillId="3" borderId="1" xfId="0" applyFont="1" applyFill="1" applyBorder="1" applyAlignment="1">
      <alignment horizontal="center" vertical="center"/>
    </xf>
    <xf numFmtId="165" fontId="32" fillId="0" borderId="82" xfId="0" applyNumberFormat="1" applyFont="1" applyBorder="1" applyAlignment="1">
      <alignment horizontal="center" vertical="center"/>
    </xf>
    <xf numFmtId="9" fontId="32" fillId="2" borderId="82" xfId="0" applyNumberFormat="1" applyFont="1" applyFill="1" applyBorder="1" applyAlignment="1">
      <alignment horizontal="center" vertical="center"/>
    </xf>
    <xf numFmtId="3" fontId="32" fillId="0" borderId="82" xfId="0" applyNumberFormat="1" applyFont="1" applyBorder="1" applyAlignment="1" applyProtection="1">
      <alignment horizontal="center" vertical="center"/>
      <protection locked="0"/>
    </xf>
    <xf numFmtId="0" fontId="31" fillId="2" borderId="1" xfId="0" applyFont="1" applyFill="1" applyBorder="1" applyAlignment="1">
      <alignment horizontal="center" vertical="center"/>
    </xf>
    <xf numFmtId="0" fontId="31" fillId="3" borderId="11" xfId="0" applyFont="1" applyFill="1" applyBorder="1" applyAlignment="1">
      <alignment horizontal="center" vertical="center"/>
    </xf>
    <xf numFmtId="9" fontId="32" fillId="3" borderId="46" xfId="0" applyNumberFormat="1" applyFont="1" applyFill="1" applyBorder="1" applyAlignment="1">
      <alignment horizontal="center" vertical="center"/>
    </xf>
    <xf numFmtId="3" fontId="32" fillId="3" borderId="46" xfId="0" applyNumberFormat="1" applyFont="1" applyFill="1" applyBorder="1" applyAlignment="1" applyProtection="1">
      <alignment horizontal="center" vertical="center"/>
      <protection locked="0"/>
    </xf>
    <xf numFmtId="165" fontId="32" fillId="3" borderId="46" xfId="0" applyNumberFormat="1" applyFont="1" applyFill="1" applyBorder="1" applyAlignment="1">
      <alignment horizontal="center" vertical="center"/>
    </xf>
    <xf numFmtId="171" fontId="32" fillId="0" borderId="0" xfId="0" applyNumberFormat="1" applyFont="1" applyAlignment="1">
      <alignment horizontal="right"/>
    </xf>
    <xf numFmtId="170" fontId="32" fillId="0" borderId="46" xfId="0" applyNumberFormat="1" applyFont="1" applyBorder="1" applyAlignment="1" applyProtection="1">
      <alignment horizontal="center" vertical="center"/>
      <protection locked="0"/>
    </xf>
    <xf numFmtId="170" fontId="32" fillId="0" borderId="82" xfId="0" applyNumberFormat="1" applyFont="1" applyBorder="1" applyAlignment="1" applyProtection="1">
      <alignment horizontal="center" vertical="center"/>
      <protection locked="0"/>
    </xf>
    <xf numFmtId="170" fontId="32" fillId="3" borderId="46" xfId="0" applyNumberFormat="1" applyFont="1" applyFill="1" applyBorder="1" applyAlignment="1" applyProtection="1">
      <alignment horizontal="center" vertical="center"/>
      <protection locked="0"/>
    </xf>
    <xf numFmtId="0" fontId="40" fillId="0" borderId="0" xfId="0" applyFont="1" applyAlignment="1">
      <alignment wrapText="1"/>
    </xf>
    <xf numFmtId="49" fontId="40" fillId="0" borderId="0" xfId="0" applyNumberFormat="1" applyFont="1" applyAlignment="1">
      <alignment wrapText="1"/>
    </xf>
    <xf numFmtId="0" fontId="45" fillId="0" borderId="0" xfId="0" applyFont="1" applyAlignment="1">
      <alignment wrapText="1"/>
    </xf>
    <xf numFmtId="0" fontId="40" fillId="0" borderId="0" xfId="0" applyFont="1" applyAlignment="1">
      <alignment vertical="top" wrapText="1"/>
    </xf>
    <xf numFmtId="10" fontId="40" fillId="0" borderId="0" xfId="0" applyNumberFormat="1" applyFont="1" applyAlignment="1">
      <alignment vertical="center"/>
    </xf>
    <xf numFmtId="10" fontId="45" fillId="0" borderId="0" xfId="0" applyNumberFormat="1" applyFont="1" applyAlignment="1">
      <alignment vertical="center"/>
    </xf>
    <xf numFmtId="171" fontId="33" fillId="0" borderId="0" xfId="0" applyNumberFormat="1" applyFont="1" applyAlignment="1">
      <alignment horizontal="right"/>
    </xf>
    <xf numFmtId="0" fontId="9" fillId="0" borderId="92" xfId="0" applyFont="1" applyBorder="1" applyAlignment="1">
      <alignment horizontal="center" vertical="center"/>
    </xf>
    <xf numFmtId="1" fontId="33" fillId="0" borderId="0" xfId="0" applyNumberFormat="1" applyFont="1" applyAlignment="1">
      <alignment horizontal="right"/>
    </xf>
    <xf numFmtId="3" fontId="32" fillId="3" borderId="14" xfId="0" applyNumberFormat="1" applyFont="1" applyFill="1" applyBorder="1" applyAlignment="1">
      <alignment horizontal="center" vertical="center"/>
    </xf>
    <xf numFmtId="170" fontId="32" fillId="3" borderId="14" xfId="0" applyNumberFormat="1" applyFont="1" applyFill="1" applyBorder="1" applyAlignment="1">
      <alignment horizontal="center" vertical="center"/>
    </xf>
    <xf numFmtId="165" fontId="32" fillId="3" borderId="82" xfId="0" applyNumberFormat="1" applyFont="1" applyFill="1" applyBorder="1" applyAlignment="1">
      <alignment horizontal="center" vertical="center"/>
    </xf>
    <xf numFmtId="3" fontId="32" fillId="3" borderId="82" xfId="0" applyNumberFormat="1" applyFont="1" applyFill="1" applyBorder="1" applyAlignment="1">
      <alignment horizontal="center" vertical="center"/>
    </xf>
    <xf numFmtId="170" fontId="32" fillId="3" borderId="82" xfId="0" applyNumberFormat="1" applyFont="1" applyFill="1" applyBorder="1" applyAlignment="1">
      <alignment horizontal="center" vertical="center"/>
    </xf>
    <xf numFmtId="3" fontId="32" fillId="3" borderId="46" xfId="0" applyNumberFormat="1" applyFont="1" applyFill="1" applyBorder="1" applyAlignment="1">
      <alignment horizontal="center" vertical="center"/>
    </xf>
    <xf numFmtId="170" fontId="32" fillId="3" borderId="46" xfId="0" applyNumberFormat="1" applyFont="1" applyFill="1" applyBorder="1" applyAlignment="1">
      <alignment horizontal="center" vertical="center"/>
    </xf>
    <xf numFmtId="3" fontId="32" fillId="0" borderId="0" xfId="0" applyNumberFormat="1" applyFont="1" applyAlignment="1">
      <alignment horizontal="center" vertical="center"/>
    </xf>
    <xf numFmtId="165" fontId="32" fillId="0" borderId="0" xfId="0" applyNumberFormat="1" applyFont="1" applyAlignment="1">
      <alignment horizontal="center" vertical="center"/>
    </xf>
    <xf numFmtId="165" fontId="32" fillId="0" borderId="0" xfId="0" applyNumberFormat="1" applyFont="1" applyAlignment="1">
      <alignment vertical="center"/>
    </xf>
    <xf numFmtId="0" fontId="33" fillId="40" borderId="29" xfId="0" applyFont="1" applyFill="1" applyBorder="1"/>
    <xf numFmtId="0" fontId="33" fillId="0" borderId="62" xfId="0" applyFont="1" applyBorder="1"/>
    <xf numFmtId="0" fontId="31" fillId="0" borderId="29" xfId="0" applyFont="1" applyBorder="1" applyAlignment="1">
      <alignment vertical="center" wrapText="1"/>
    </xf>
    <xf numFmtId="0" fontId="31" fillId="0" borderId="87" xfId="0" applyFont="1" applyBorder="1" applyAlignment="1">
      <alignment vertical="center" wrapText="1"/>
    </xf>
    <xf numFmtId="0" fontId="31" fillId="0" borderId="26" xfId="0" applyFont="1" applyBorder="1" applyAlignment="1">
      <alignment vertical="center" wrapText="1"/>
    </xf>
    <xf numFmtId="0" fontId="35" fillId="0" borderId="29" xfId="0" applyFont="1" applyBorder="1" applyAlignment="1">
      <alignment vertical="center" wrapText="1"/>
    </xf>
    <xf numFmtId="1" fontId="33" fillId="0" borderId="0" xfId="0" applyNumberFormat="1" applyFont="1"/>
    <xf numFmtId="0" fontId="9" fillId="0" borderId="78" xfId="0" applyFont="1" applyBorder="1"/>
    <xf numFmtId="165" fontId="15" fillId="0" borderId="10" xfId="0" applyNumberFormat="1" applyFont="1" applyBorder="1" applyAlignment="1">
      <alignment horizontal="center"/>
    </xf>
    <xf numFmtId="165" fontId="15" fillId="0" borderId="3" xfId="0" applyNumberFormat="1" applyFont="1" applyBorder="1" applyAlignment="1">
      <alignment horizontal="center"/>
    </xf>
    <xf numFmtId="165" fontId="15" fillId="0" borderId="66" xfId="0" applyNumberFormat="1" applyFont="1" applyBorder="1" applyAlignment="1">
      <alignment horizontal="center"/>
    </xf>
    <xf numFmtId="0" fontId="15" fillId="0" borderId="30" xfId="0" applyFont="1" applyBorder="1"/>
    <xf numFmtId="0" fontId="56" fillId="42" borderId="0" xfId="0" applyFont="1" applyFill="1"/>
    <xf numFmtId="0" fontId="0" fillId="42" borderId="0" xfId="0" applyFill="1"/>
    <xf numFmtId="0" fontId="56" fillId="42" borderId="0" xfId="0" applyFont="1" applyFill="1" applyAlignment="1">
      <alignment horizontal="center"/>
    </xf>
    <xf numFmtId="0" fontId="57" fillId="42" borderId="0" xfId="0" applyFont="1" applyFill="1" applyAlignment="1">
      <alignment horizontal="center"/>
    </xf>
    <xf numFmtId="0" fontId="57" fillId="42" borderId="0" xfId="0" applyFont="1" applyFill="1" applyAlignment="1">
      <alignment horizontal="left"/>
    </xf>
    <xf numFmtId="0" fontId="57" fillId="42" borderId="0" xfId="0" applyFont="1" applyFill="1"/>
    <xf numFmtId="2" fontId="57" fillId="42" borderId="0" xfId="0" applyNumberFormat="1" applyFont="1" applyFill="1"/>
    <xf numFmtId="0" fontId="56" fillId="3" borderId="0" xfId="0" applyFont="1" applyFill="1"/>
    <xf numFmtId="0" fontId="0" fillId="3" borderId="0" xfId="0" applyFill="1"/>
    <xf numFmtId="10" fontId="57" fillId="42" borderId="0" xfId="0" applyNumberFormat="1" applyFont="1" applyFill="1"/>
    <xf numFmtId="0" fontId="31" fillId="0" borderId="62" xfId="0" applyFont="1" applyBorder="1"/>
    <xf numFmtId="0" fontId="35" fillId="0" borderId="66" xfId="0" applyFont="1" applyBorder="1"/>
    <xf numFmtId="0" fontId="35" fillId="0" borderId="0" xfId="0" applyFont="1" applyAlignment="1">
      <alignment horizontal="left"/>
    </xf>
    <xf numFmtId="166" fontId="35" fillId="0" borderId="0" xfId="0" applyNumberFormat="1" applyFont="1" applyAlignment="1">
      <alignment horizontal="center"/>
    </xf>
    <xf numFmtId="167" fontId="58" fillId="0" borderId="80" xfId="5" applyNumberFormat="1" applyFont="1" applyFill="1" applyBorder="1" applyAlignment="1">
      <alignment horizontal="right" vertical="center"/>
    </xf>
    <xf numFmtId="167" fontId="58" fillId="0" borderId="12" xfId="5" applyNumberFormat="1" applyFont="1" applyFill="1" applyBorder="1" applyAlignment="1">
      <alignment horizontal="right" vertical="center"/>
    </xf>
    <xf numFmtId="167" fontId="58" fillId="0" borderId="71" xfId="5" applyNumberFormat="1" applyFont="1" applyFill="1" applyBorder="1" applyAlignment="1">
      <alignment horizontal="right" vertical="center"/>
    </xf>
    <xf numFmtId="167" fontId="58" fillId="0" borderId="69" xfId="5" applyNumberFormat="1" applyFont="1" applyFill="1" applyBorder="1" applyAlignment="1">
      <alignment vertical="center"/>
    </xf>
    <xf numFmtId="167" fontId="58" fillId="0" borderId="75" xfId="5" applyNumberFormat="1" applyFont="1" applyFill="1" applyBorder="1" applyAlignment="1">
      <alignment vertical="center"/>
    </xf>
    <xf numFmtId="167" fontId="58" fillId="0" borderId="1" xfId="5" applyNumberFormat="1" applyFont="1" applyFill="1" applyBorder="1" applyAlignment="1">
      <alignment vertical="center"/>
    </xf>
    <xf numFmtId="167" fontId="58" fillId="0" borderId="2" xfId="5" applyNumberFormat="1" applyFont="1" applyFill="1" applyBorder="1" applyAlignment="1">
      <alignment vertical="center"/>
    </xf>
    <xf numFmtId="165" fontId="57" fillId="42" borderId="0" xfId="0" applyNumberFormat="1" applyFont="1" applyFill="1"/>
    <xf numFmtId="0" fontId="46" fillId="0" borderId="0" xfId="0" applyFont="1"/>
    <xf numFmtId="165" fontId="52" fillId="0" borderId="0" xfId="1" applyNumberFormat="1" applyFont="1" applyAlignment="1">
      <alignment horizontal="center" vertical="center"/>
    </xf>
    <xf numFmtId="0" fontId="34" fillId="0" borderId="0" xfId="0" applyFont="1" applyAlignment="1">
      <alignment horizontal="center"/>
    </xf>
    <xf numFmtId="0" fontId="61" fillId="0" borderId="0" xfId="0" applyFont="1"/>
    <xf numFmtId="0" fontId="34" fillId="0" borderId="0" xfId="0" applyFont="1" applyAlignment="1">
      <alignment horizontal="right"/>
    </xf>
    <xf numFmtId="0" fontId="32" fillId="0" borderId="29" xfId="0" applyFont="1" applyBorder="1" applyAlignment="1">
      <alignment horizontal="left" wrapText="1"/>
    </xf>
    <xf numFmtId="0" fontId="33" fillId="0" borderId="0" xfId="0" applyFont="1" applyAlignment="1">
      <alignment vertical="center" wrapText="1"/>
    </xf>
    <xf numFmtId="2" fontId="34" fillId="0" borderId="0" xfId="1" applyNumberFormat="1" applyFont="1" applyAlignment="1">
      <alignment horizontal="right"/>
    </xf>
    <xf numFmtId="10" fontId="57" fillId="43" borderId="0" xfId="0" applyNumberFormat="1" applyFont="1" applyFill="1" applyProtection="1">
      <protection locked="0"/>
    </xf>
    <xf numFmtId="0" fontId="33" fillId="0" borderId="0" xfId="1" applyFont="1"/>
    <xf numFmtId="165" fontId="62" fillId="0" borderId="0" xfId="1" applyNumberFormat="1" applyFont="1" applyAlignment="1">
      <alignment horizontal="center" vertical="center"/>
    </xf>
    <xf numFmtId="0" fontId="31" fillId="3" borderId="6" xfId="0" applyFont="1" applyFill="1" applyBorder="1" applyAlignment="1">
      <alignment vertical="center" wrapText="1"/>
    </xf>
    <xf numFmtId="0" fontId="32" fillId="3" borderId="6" xfId="0" applyFont="1" applyFill="1" applyBorder="1" applyAlignment="1">
      <alignment vertical="center" wrapText="1"/>
    </xf>
    <xf numFmtId="49" fontId="34" fillId="3" borderId="5" xfId="0" applyNumberFormat="1" applyFont="1" applyFill="1" applyBorder="1" applyAlignment="1">
      <alignment vertical="center" wrapText="1"/>
    </xf>
    <xf numFmtId="0" fontId="34" fillId="0" borderId="67" xfId="0" applyFont="1" applyBorder="1" applyAlignment="1">
      <alignment horizontal="center" vertical="center"/>
    </xf>
    <xf numFmtId="0" fontId="31" fillId="0" borderId="80" xfId="0" applyFont="1" applyBorder="1" applyAlignment="1">
      <alignment horizontal="center" vertical="center"/>
    </xf>
    <xf numFmtId="0" fontId="31" fillId="0" borderId="76" xfId="0" applyFont="1" applyBorder="1" applyAlignment="1">
      <alignment horizontal="center" vertical="center"/>
    </xf>
    <xf numFmtId="0" fontId="32" fillId="0" borderId="65" xfId="0" applyFont="1" applyBorder="1"/>
    <xf numFmtId="0" fontId="32" fillId="0" borderId="0" xfId="0" applyFont="1" applyAlignment="1">
      <alignment vertical="top"/>
    </xf>
    <xf numFmtId="165" fontId="35" fillId="0" borderId="0" xfId="0" applyNumberFormat="1" applyFont="1"/>
    <xf numFmtId="49" fontId="31" fillId="0" borderId="0" xfId="0" applyNumberFormat="1" applyFont="1" applyAlignment="1">
      <alignment horizontal="right"/>
    </xf>
    <xf numFmtId="49" fontId="38" fillId="0" borderId="0" xfId="1" applyNumberFormat="1" applyFont="1" applyAlignment="1">
      <alignment horizontal="right"/>
    </xf>
    <xf numFmtId="0" fontId="39" fillId="0" borderId="0" xfId="0" applyFont="1" applyAlignment="1">
      <alignment horizontal="right"/>
    </xf>
    <xf numFmtId="0" fontId="38" fillId="0" borderId="0" xfId="1" applyFont="1" applyAlignment="1">
      <alignment horizontal="right"/>
    </xf>
    <xf numFmtId="0" fontId="45" fillId="0" borderId="0" xfId="0" applyFont="1" applyAlignment="1">
      <alignment horizontal="right"/>
    </xf>
    <xf numFmtId="0" fontId="31" fillId="0" borderId="0" xfId="0" applyFont="1" applyAlignment="1">
      <alignment horizontal="right" vertical="center"/>
    </xf>
    <xf numFmtId="165" fontId="35" fillId="0" borderId="0" xfId="0" applyNumberFormat="1" applyFont="1" applyAlignment="1">
      <alignment horizontal="right"/>
    </xf>
    <xf numFmtId="165" fontId="32" fillId="0" borderId="0" xfId="1" applyNumberFormat="1" applyFont="1" applyAlignment="1">
      <alignment vertical="center"/>
    </xf>
    <xf numFmtId="49" fontId="31" fillId="0" borderId="74" xfId="0" applyNumberFormat="1" applyFont="1" applyBorder="1" applyAlignment="1">
      <alignment horizontal="right" vertical="center"/>
    </xf>
    <xf numFmtId="49" fontId="38" fillId="0" borderId="0" xfId="0" applyNumberFormat="1" applyFont="1" applyAlignment="1">
      <alignment horizontal="right" textRotation="90"/>
    </xf>
    <xf numFmtId="49" fontId="31" fillId="0" borderId="0" xfId="0" applyNumberFormat="1" applyFont="1" applyAlignment="1">
      <alignment horizontal="right" vertical="center"/>
    </xf>
    <xf numFmtId="172" fontId="33" fillId="0" borderId="0" xfId="0" applyNumberFormat="1" applyFont="1" applyAlignment="1">
      <alignment horizontal="right"/>
    </xf>
    <xf numFmtId="0" fontId="35" fillId="0" borderId="0" xfId="0" applyFont="1" applyAlignment="1">
      <alignment horizontal="left" vertical="center" wrapText="1"/>
    </xf>
    <xf numFmtId="165" fontId="47" fillId="0" borderId="0" xfId="0" applyNumberFormat="1" applyFont="1" applyAlignment="1">
      <alignment vertical="center" wrapText="1"/>
    </xf>
    <xf numFmtId="165" fontId="47" fillId="0" borderId="0" xfId="0" applyNumberFormat="1" applyFont="1" applyAlignment="1">
      <alignment vertical="center"/>
    </xf>
    <xf numFmtId="49" fontId="31" fillId="0" borderId="51" xfId="0" applyNumberFormat="1" applyFont="1" applyBorder="1" applyAlignment="1">
      <alignment horizontal="right"/>
    </xf>
    <xf numFmtId="49" fontId="31" fillId="0" borderId="43" xfId="0" applyNumberFormat="1" applyFont="1" applyBorder="1" applyAlignment="1">
      <alignment horizontal="right"/>
    </xf>
    <xf numFmtId="0" fontId="38" fillId="0" borderId="0" xfId="0" applyFont="1"/>
    <xf numFmtId="0" fontId="32" fillId="41" borderId="0" xfId="0" applyFont="1" applyFill="1"/>
    <xf numFmtId="0" fontId="31" fillId="41" borderId="0" xfId="0" applyFont="1" applyFill="1" applyAlignment="1">
      <alignment horizontal="center"/>
    </xf>
    <xf numFmtId="170" fontId="32" fillId="41" borderId="0" xfId="0" applyNumberFormat="1" applyFont="1" applyFill="1"/>
    <xf numFmtId="170" fontId="32" fillId="0" borderId="0" xfId="0" applyNumberFormat="1" applyFont="1"/>
    <xf numFmtId="165" fontId="0" fillId="0" borderId="82" xfId="5" applyNumberFormat="1" applyFont="1" applyFill="1" applyBorder="1" applyAlignment="1">
      <alignment vertical="center"/>
    </xf>
    <xf numFmtId="0" fontId="0" fillId="37" borderId="82" xfId="0" applyFill="1" applyBorder="1" applyAlignment="1">
      <alignment vertical="center"/>
    </xf>
    <xf numFmtId="169" fontId="6" fillId="36" borderId="82" xfId="0" applyNumberFormat="1" applyFont="1" applyFill="1" applyBorder="1" applyAlignment="1">
      <alignment horizontal="center" vertical="center"/>
    </xf>
    <xf numFmtId="169" fontId="6" fillId="37" borderId="82" xfId="0" applyNumberFormat="1" applyFont="1" applyFill="1" applyBorder="1" applyAlignment="1">
      <alignment horizontal="center" vertical="center"/>
    </xf>
    <xf numFmtId="165" fontId="0" fillId="37" borderId="72" xfId="0" applyNumberFormat="1" applyFill="1" applyBorder="1" applyAlignment="1">
      <alignment vertical="center"/>
    </xf>
    <xf numFmtId="165" fontId="0" fillId="37" borderId="74" xfId="0" applyNumberFormat="1" applyFill="1" applyBorder="1" applyAlignment="1">
      <alignment vertical="center"/>
    </xf>
    <xf numFmtId="165" fontId="0" fillId="37" borderId="78" xfId="0" applyNumberFormat="1" applyFill="1" applyBorder="1" applyAlignment="1">
      <alignment vertical="center"/>
    </xf>
    <xf numFmtId="0" fontId="9" fillId="0" borderId="44" xfId="0" applyFont="1" applyBorder="1"/>
    <xf numFmtId="9" fontId="9" fillId="0" borderId="75" xfId="0" applyNumberFormat="1" applyFont="1" applyBorder="1"/>
    <xf numFmtId="0" fontId="9" fillId="0" borderId="33" xfId="0" applyFont="1" applyBorder="1" applyAlignment="1">
      <alignment horizontal="right"/>
    </xf>
    <xf numFmtId="167" fontId="0" fillId="37" borderId="82" xfId="0" applyNumberFormat="1" applyFill="1" applyBorder="1" applyAlignment="1">
      <alignment vertical="center"/>
    </xf>
    <xf numFmtId="10" fontId="32" fillId="0" borderId="30" xfId="0" applyNumberFormat="1" applyFont="1" applyBorder="1"/>
    <xf numFmtId="0" fontId="32" fillId="0" borderId="30" xfId="0" applyFont="1" applyBorder="1" applyAlignment="1">
      <alignment vertical="center"/>
    </xf>
    <xf numFmtId="0" fontId="32" fillId="0" borderId="79" xfId="0" applyFont="1" applyBorder="1" applyAlignment="1">
      <alignment vertical="center"/>
    </xf>
    <xf numFmtId="0" fontId="32" fillId="0" borderId="74" xfId="0" applyFont="1" applyBorder="1" applyAlignment="1">
      <alignment horizontal="center" vertical="center"/>
    </xf>
    <xf numFmtId="9" fontId="32" fillId="0" borderId="74" xfId="0" applyNumberFormat="1" applyFont="1" applyBorder="1" applyAlignment="1">
      <alignment horizontal="center" vertical="center"/>
    </xf>
    <xf numFmtId="0" fontId="32" fillId="0" borderId="51" xfId="0" applyFont="1" applyBorder="1" applyAlignment="1">
      <alignment vertical="center"/>
    </xf>
    <xf numFmtId="0" fontId="32" fillId="0" borderId="82" xfId="0" applyFont="1" applyBorder="1" applyAlignment="1">
      <alignment horizontal="center" vertical="center"/>
    </xf>
    <xf numFmtId="0" fontId="45" fillId="0" borderId="0" xfId="0" applyFont="1" applyAlignment="1">
      <alignment horizontal="left" vertical="top" wrapText="1"/>
    </xf>
    <xf numFmtId="9" fontId="32" fillId="2" borderId="84" xfId="0" applyNumberFormat="1" applyFont="1" applyFill="1" applyBorder="1" applyAlignment="1">
      <alignment horizontal="center" vertical="center"/>
    </xf>
    <xf numFmtId="0" fontId="34" fillId="0" borderId="0" xfId="0" applyFont="1" applyAlignment="1">
      <alignment vertical="top" wrapText="1"/>
    </xf>
    <xf numFmtId="0" fontId="38" fillId="0" borderId="0" xfId="0" applyFont="1" applyAlignment="1">
      <alignment horizontal="right"/>
    </xf>
    <xf numFmtId="0" fontId="63" fillId="0" borderId="0" xfId="0" applyFont="1" applyAlignment="1">
      <alignment horizontal="right"/>
    </xf>
    <xf numFmtId="0" fontId="63" fillId="0" borderId="0" xfId="0" applyFont="1" applyAlignment="1">
      <alignment horizontal="left"/>
    </xf>
    <xf numFmtId="0" fontId="31" fillId="0" borderId="0" xfId="0" applyFont="1" applyAlignment="1">
      <alignment vertical="center" wrapText="1"/>
    </xf>
    <xf numFmtId="0" fontId="31" fillId="0" borderId="31" xfId="0" applyFont="1" applyBorder="1"/>
    <xf numFmtId="165" fontId="34" fillId="0" borderId="0" xfId="0" applyNumberFormat="1" applyFont="1"/>
    <xf numFmtId="0" fontId="31" fillId="0" borderId="47" xfId="0" applyFont="1" applyBorder="1" applyAlignment="1">
      <alignment horizontal="center" vertical="center"/>
    </xf>
    <xf numFmtId="9" fontId="31" fillId="0" borderId="0" xfId="0" applyNumberFormat="1" applyFont="1" applyAlignment="1">
      <alignment horizontal="center" vertical="center"/>
    </xf>
    <xf numFmtId="166" fontId="31" fillId="0" borderId="0" xfId="0" applyNumberFormat="1" applyFont="1" applyAlignment="1">
      <alignment horizontal="center" vertical="center"/>
    </xf>
    <xf numFmtId="0" fontId="64" fillId="0" borderId="0" xfId="0" applyFont="1"/>
    <xf numFmtId="0" fontId="43" fillId="0" borderId="0" xfId="0" applyFont="1"/>
    <xf numFmtId="0" fontId="43" fillId="0" borderId="0" xfId="13" applyFont="1"/>
    <xf numFmtId="165" fontId="9" fillId="0" borderId="1" xfId="0" applyNumberFormat="1" applyFont="1" applyBorder="1"/>
    <xf numFmtId="0" fontId="0" fillId="0" borderId="84" xfId="0" applyBorder="1"/>
    <xf numFmtId="0" fontId="0" fillId="0" borderId="2" xfId="0" applyBorder="1"/>
    <xf numFmtId="166" fontId="33" fillId="0" borderId="0" xfId="0" applyNumberFormat="1" applyFont="1" applyAlignment="1">
      <alignment horizontal="center"/>
    </xf>
    <xf numFmtId="0" fontId="65" fillId="0" borderId="0" xfId="0" applyFont="1"/>
    <xf numFmtId="1" fontId="43" fillId="0" borderId="82" xfId="0" applyNumberFormat="1" applyFont="1" applyBorder="1" applyAlignment="1">
      <alignment horizontal="center" vertical="center"/>
    </xf>
    <xf numFmtId="0" fontId="58" fillId="0" borderId="81" xfId="0" applyFont="1" applyBorder="1" applyAlignment="1">
      <alignment horizontal="center" vertical="center" wrapText="1"/>
    </xf>
    <xf numFmtId="0" fontId="58" fillId="0" borderId="1" xfId="0" applyFont="1" applyBorder="1" applyAlignment="1">
      <alignment horizontal="center" vertical="center" wrapText="1"/>
    </xf>
    <xf numFmtId="0" fontId="58" fillId="0" borderId="48" xfId="0" applyFont="1" applyBorder="1" applyAlignment="1">
      <alignment horizontal="center" vertical="center" wrapText="1"/>
    </xf>
    <xf numFmtId="167" fontId="66" fillId="0" borderId="0" xfId="5" applyNumberFormat="1" applyFont="1" applyFill="1" applyBorder="1" applyAlignment="1">
      <alignment horizontal="right" vertical="center"/>
    </xf>
    <xf numFmtId="0" fontId="64" fillId="0" borderId="46" xfId="0" applyFont="1" applyBorder="1" applyAlignment="1">
      <alignment vertical="center"/>
    </xf>
    <xf numFmtId="0" fontId="64" fillId="0" borderId="73" xfId="0" applyFont="1" applyBorder="1" applyAlignment="1">
      <alignment vertical="center"/>
    </xf>
    <xf numFmtId="0" fontId="64" fillId="0" borderId="14" xfId="0" applyFont="1" applyBorder="1" applyAlignment="1">
      <alignment horizontal="center" vertical="center"/>
    </xf>
    <xf numFmtId="0" fontId="64" fillId="0" borderId="6" xfId="0" applyFont="1" applyBorder="1" applyAlignment="1">
      <alignment horizontal="center" vertical="center"/>
    </xf>
    <xf numFmtId="165" fontId="41" fillId="0" borderId="30" xfId="0" applyNumberFormat="1" applyFont="1" applyBorder="1" applyAlignment="1">
      <alignment vertical="center"/>
    </xf>
    <xf numFmtId="0" fontId="43" fillId="0" borderId="0" xfId="0" applyFont="1" applyAlignment="1">
      <alignment horizontal="left" vertical="center"/>
    </xf>
    <xf numFmtId="1" fontId="43" fillId="0" borderId="0" xfId="0" applyNumberFormat="1" applyFont="1" applyAlignment="1">
      <alignment horizontal="center" vertical="center"/>
    </xf>
    <xf numFmtId="173" fontId="58" fillId="0" borderId="9" xfId="5" applyNumberFormat="1" applyFont="1" applyFill="1" applyBorder="1" applyAlignment="1">
      <alignment horizontal="right" vertical="center"/>
    </xf>
    <xf numFmtId="167" fontId="58" fillId="0" borderId="48" xfId="5" applyNumberFormat="1" applyFont="1" applyFill="1" applyBorder="1" applyAlignment="1">
      <alignment horizontal="right" vertical="center"/>
    </xf>
    <xf numFmtId="167" fontId="58" fillId="0" borderId="4" xfId="5" applyNumberFormat="1" applyFont="1" applyFill="1" applyBorder="1" applyAlignment="1">
      <alignment horizontal="right" vertical="center"/>
    </xf>
    <xf numFmtId="167" fontId="58" fillId="0" borderId="5" xfId="5" applyNumberFormat="1" applyFont="1" applyFill="1" applyBorder="1" applyAlignment="1">
      <alignment horizontal="right" vertical="center"/>
    </xf>
    <xf numFmtId="167" fontId="58" fillId="0" borderId="72" xfId="5" applyNumberFormat="1" applyFont="1" applyFill="1" applyBorder="1" applyAlignment="1">
      <alignment horizontal="right" vertical="center"/>
    </xf>
    <xf numFmtId="3" fontId="58" fillId="0" borderId="9" xfId="5" applyNumberFormat="1" applyFont="1" applyFill="1" applyBorder="1" applyAlignment="1">
      <alignment horizontal="right" vertical="center"/>
    </xf>
    <xf numFmtId="167" fontId="58" fillId="0" borderId="81" xfId="5" applyNumberFormat="1" applyFont="1" applyFill="1" applyBorder="1" applyAlignment="1">
      <alignment horizontal="right" vertical="center"/>
    </xf>
    <xf numFmtId="167" fontId="58" fillId="0" borderId="1" xfId="5" applyNumberFormat="1" applyFont="1" applyFill="1" applyBorder="1" applyAlignment="1">
      <alignment horizontal="right" vertical="center"/>
    </xf>
    <xf numFmtId="167" fontId="58" fillId="0" borderId="74" xfId="5" applyNumberFormat="1" applyFont="1" applyFill="1" applyBorder="1" applyAlignment="1">
      <alignment horizontal="right" vertical="center"/>
    </xf>
    <xf numFmtId="3" fontId="58" fillId="0" borderId="74" xfId="5" applyNumberFormat="1" applyFont="1" applyFill="1" applyBorder="1" applyAlignment="1">
      <alignment horizontal="right" vertical="center"/>
    </xf>
    <xf numFmtId="3" fontId="58" fillId="0" borderId="92" xfId="5" applyNumberFormat="1" applyFont="1" applyFill="1" applyBorder="1" applyAlignment="1">
      <alignment horizontal="right" vertical="center"/>
    </xf>
    <xf numFmtId="167" fontId="58" fillId="0" borderId="83" xfId="5" applyNumberFormat="1" applyFont="1" applyFill="1" applyBorder="1" applyAlignment="1">
      <alignment horizontal="right" vertical="center"/>
    </xf>
    <xf numFmtId="167" fontId="58" fillId="0" borderId="11" xfId="5" applyNumberFormat="1" applyFont="1" applyFill="1" applyBorder="1" applyAlignment="1">
      <alignment horizontal="right" vertical="center"/>
    </xf>
    <xf numFmtId="167" fontId="58" fillId="0" borderId="49" xfId="5" applyNumberFormat="1" applyFont="1" applyFill="1" applyBorder="1" applyAlignment="1">
      <alignment horizontal="right" vertical="center"/>
    </xf>
    <xf numFmtId="167" fontId="58" fillId="0" borderId="31" xfId="5" applyNumberFormat="1" applyFont="1" applyFill="1" applyBorder="1" applyAlignment="1">
      <alignment horizontal="right" vertical="center"/>
    </xf>
    <xf numFmtId="167" fontId="58" fillId="0" borderId="78" xfId="5" applyNumberFormat="1" applyFont="1" applyFill="1" applyBorder="1" applyAlignment="1">
      <alignment horizontal="right" vertical="center"/>
    </xf>
    <xf numFmtId="3" fontId="58" fillId="0" borderId="72" xfId="5" applyNumberFormat="1" applyFont="1" applyFill="1" applyBorder="1" applyAlignment="1">
      <alignment horizontal="right" vertical="center"/>
    </xf>
    <xf numFmtId="167" fontId="58" fillId="0" borderId="70" xfId="5" applyNumberFormat="1" applyFont="1" applyFill="1" applyBorder="1" applyAlignment="1">
      <alignment horizontal="right" vertical="center"/>
    </xf>
    <xf numFmtId="3" fontId="58" fillId="0" borderId="78" xfId="5" applyNumberFormat="1" applyFont="1" applyFill="1" applyBorder="1" applyAlignment="1">
      <alignment horizontal="right" vertical="center"/>
    </xf>
    <xf numFmtId="167" fontId="58" fillId="0" borderId="76" xfId="5" applyNumberFormat="1" applyFont="1" applyFill="1" applyBorder="1" applyAlignment="1">
      <alignment horizontal="right" vertical="center"/>
    </xf>
    <xf numFmtId="167" fontId="58" fillId="0" borderId="2" xfId="5" applyNumberFormat="1" applyFont="1" applyFill="1" applyBorder="1" applyAlignment="1">
      <alignment horizontal="right" vertical="center"/>
    </xf>
    <xf numFmtId="0" fontId="58" fillId="0" borderId="31" xfId="0" applyFont="1" applyBorder="1" applyAlignment="1">
      <alignment horizontal="center" vertical="center" wrapText="1"/>
    </xf>
    <xf numFmtId="0" fontId="58" fillId="0" borderId="0" xfId="0" applyFont="1" applyAlignment="1">
      <alignment horizontal="center" vertical="center" wrapText="1"/>
    </xf>
    <xf numFmtId="167" fontId="58" fillId="0" borderId="0" xfId="5" applyNumberFormat="1" applyFont="1" applyFill="1" applyBorder="1" applyAlignment="1">
      <alignment horizontal="right" vertical="center"/>
    </xf>
    <xf numFmtId="165" fontId="9" fillId="0" borderId="72" xfId="0" applyNumberFormat="1" applyFont="1" applyBorder="1" applyAlignment="1">
      <alignment horizontal="center"/>
    </xf>
    <xf numFmtId="165" fontId="9" fillId="0" borderId="74" xfId="0" applyNumberFormat="1" applyFont="1" applyBorder="1" applyAlignment="1">
      <alignment horizontal="center"/>
    </xf>
    <xf numFmtId="165" fontId="9" fillId="0" borderId="78" xfId="0" applyNumberFormat="1" applyFont="1" applyBorder="1" applyAlignment="1">
      <alignment horizontal="center"/>
    </xf>
    <xf numFmtId="0" fontId="68" fillId="0" borderId="0" xfId="0" applyFont="1" applyAlignment="1">
      <alignment wrapText="1"/>
    </xf>
    <xf numFmtId="0" fontId="68" fillId="0" borderId="0" xfId="0" applyFont="1" applyAlignment="1">
      <alignment vertical="center"/>
    </xf>
    <xf numFmtId="0" fontId="65" fillId="0" borderId="0" xfId="0" applyFont="1" applyAlignment="1">
      <alignment vertical="center"/>
    </xf>
    <xf numFmtId="0" fontId="58" fillId="0" borderId="48" xfId="0" applyFont="1" applyFill="1" applyBorder="1" applyAlignment="1">
      <alignment horizontal="center" vertical="center" wrapText="1"/>
    </xf>
    <xf numFmtId="0" fontId="43" fillId="0" borderId="0" xfId="0" applyFont="1" applyFill="1"/>
    <xf numFmtId="0" fontId="58" fillId="0" borderId="81" xfId="0" applyFont="1" applyFill="1" applyBorder="1" applyAlignment="1">
      <alignment horizontal="center" vertical="center" wrapText="1"/>
    </xf>
    <xf numFmtId="0" fontId="58" fillId="0" borderId="1" xfId="0" applyFont="1" applyFill="1" applyBorder="1" applyAlignment="1">
      <alignment horizontal="center" vertical="center" wrapText="1"/>
    </xf>
    <xf numFmtId="1" fontId="43" fillId="0" borderId="82" xfId="0" applyNumberFormat="1" applyFont="1" applyFill="1" applyBorder="1" applyAlignment="1">
      <alignment horizontal="center" vertical="center"/>
    </xf>
    <xf numFmtId="1" fontId="7" fillId="0" borderId="0" xfId="0" applyNumberFormat="1" applyFont="1" applyFill="1" applyAlignment="1">
      <alignment horizontal="center" vertical="center"/>
    </xf>
    <xf numFmtId="0" fontId="43" fillId="0" borderId="47" xfId="0" applyFont="1" applyFill="1" applyBorder="1" applyAlignment="1">
      <alignment vertical="center"/>
    </xf>
    <xf numFmtId="0" fontId="69" fillId="0" borderId="0" xfId="0" applyFont="1" applyFill="1" applyAlignment="1">
      <alignment vertical="center"/>
    </xf>
    <xf numFmtId="0" fontId="44" fillId="0" borderId="0" xfId="0" applyFont="1" applyFill="1" applyAlignment="1">
      <alignment vertical="center"/>
    </xf>
    <xf numFmtId="0" fontId="44" fillId="0" borderId="50" xfId="0" applyFont="1" applyFill="1" applyBorder="1" applyAlignment="1">
      <alignment vertical="center"/>
    </xf>
    <xf numFmtId="0" fontId="43" fillId="0" borderId="0" xfId="0" applyFont="1" applyFill="1" applyAlignment="1">
      <alignment vertical="center"/>
    </xf>
    <xf numFmtId="167" fontId="58" fillId="0" borderId="9" xfId="14" applyNumberFormat="1" applyFont="1" applyFill="1" applyBorder="1" applyAlignment="1">
      <alignment horizontal="right" vertical="center"/>
    </xf>
    <xf numFmtId="167" fontId="58" fillId="0" borderId="48" xfId="14" applyNumberFormat="1" applyFont="1" applyFill="1" applyBorder="1" applyAlignment="1">
      <alignment horizontal="right" vertical="center"/>
    </xf>
    <xf numFmtId="167" fontId="58" fillId="0" borderId="4" xfId="14" applyNumberFormat="1" applyFont="1" applyFill="1" applyBorder="1" applyAlignment="1">
      <alignment horizontal="right" vertical="center"/>
    </xf>
    <xf numFmtId="167" fontId="58" fillId="0" borderId="5" xfId="14" applyNumberFormat="1" applyFont="1" applyFill="1" applyBorder="1" applyAlignment="1">
      <alignment horizontal="right" vertical="center"/>
    </xf>
    <xf numFmtId="167" fontId="58" fillId="0" borderId="80" xfId="14" applyNumberFormat="1" applyFont="1" applyFill="1" applyBorder="1" applyAlignment="1">
      <alignment horizontal="right" vertical="center"/>
    </xf>
    <xf numFmtId="167" fontId="58" fillId="0" borderId="35" xfId="14" applyNumberFormat="1" applyFont="1" applyFill="1" applyBorder="1" applyAlignment="1">
      <alignment horizontal="right" vertical="center"/>
    </xf>
    <xf numFmtId="167" fontId="58" fillId="0" borderId="74" xfId="14" applyNumberFormat="1" applyFont="1" applyFill="1" applyBorder="1" applyAlignment="1">
      <alignment horizontal="right" vertical="center"/>
    </xf>
    <xf numFmtId="167" fontId="58" fillId="0" borderId="81" xfId="14" applyNumberFormat="1" applyFont="1" applyFill="1" applyBorder="1" applyAlignment="1">
      <alignment horizontal="right" vertical="center"/>
    </xf>
    <xf numFmtId="167" fontId="58" fillId="0" borderId="1" xfId="14" applyNumberFormat="1" applyFont="1" applyFill="1" applyBorder="1" applyAlignment="1">
      <alignment horizontal="right" vertical="center"/>
    </xf>
    <xf numFmtId="167" fontId="58" fillId="0" borderId="56" xfId="14" applyNumberFormat="1" applyFont="1" applyFill="1" applyBorder="1" applyAlignment="1">
      <alignment horizontal="right" vertical="center"/>
    </xf>
    <xf numFmtId="167" fontId="58" fillId="0" borderId="0" xfId="14" applyNumberFormat="1" applyFont="1" applyFill="1" applyBorder="1" applyAlignment="1">
      <alignment horizontal="right" vertical="center"/>
    </xf>
    <xf numFmtId="167" fontId="58" fillId="0" borderId="41" xfId="14" applyNumberFormat="1" applyFont="1" applyFill="1" applyBorder="1" applyAlignment="1">
      <alignment horizontal="right" vertical="center"/>
    </xf>
    <xf numFmtId="167" fontId="58" fillId="0" borderId="78" xfId="14" applyNumberFormat="1" applyFont="1" applyFill="1" applyBorder="1" applyAlignment="1">
      <alignment horizontal="right" vertical="center"/>
    </xf>
    <xf numFmtId="167" fontId="58" fillId="0" borderId="76" xfId="14" applyNumberFormat="1" applyFont="1" applyFill="1" applyBorder="1" applyAlignment="1">
      <alignment horizontal="right" vertical="center"/>
    </xf>
    <xf numFmtId="167" fontId="58" fillId="0" borderId="2" xfId="14" applyNumberFormat="1" applyFont="1" applyFill="1" applyBorder="1" applyAlignment="1">
      <alignment horizontal="right" vertical="center"/>
    </xf>
    <xf numFmtId="167" fontId="58" fillId="0" borderId="37" xfId="14" applyNumberFormat="1" applyFont="1" applyFill="1" applyBorder="1" applyAlignment="1">
      <alignment horizontal="right" vertical="center"/>
    </xf>
    <xf numFmtId="0" fontId="70" fillId="0" borderId="39" xfId="0" applyFont="1" applyFill="1" applyBorder="1"/>
    <xf numFmtId="0" fontId="69" fillId="0" borderId="37" xfId="0" applyFont="1" applyFill="1" applyBorder="1" applyAlignment="1">
      <alignment vertical="center"/>
    </xf>
    <xf numFmtId="0" fontId="70" fillId="0" borderId="37" xfId="0" applyFont="1" applyFill="1" applyBorder="1" applyAlignment="1">
      <alignment vertical="center"/>
    </xf>
    <xf numFmtId="0" fontId="71" fillId="0" borderId="37" xfId="0" applyFont="1" applyFill="1" applyBorder="1" applyAlignment="1">
      <alignment vertical="center"/>
    </xf>
    <xf numFmtId="0" fontId="70" fillId="0" borderId="86" xfId="0" applyFont="1" applyFill="1" applyBorder="1" applyAlignment="1">
      <alignment vertical="center"/>
    </xf>
    <xf numFmtId="0" fontId="70" fillId="0" borderId="0" xfId="0" applyFont="1" applyFill="1" applyAlignment="1">
      <alignment vertical="center"/>
    </xf>
    <xf numFmtId="0" fontId="7" fillId="0" borderId="0" xfId="0" applyFont="1" applyFill="1" applyAlignment="1">
      <alignment horizontal="left"/>
    </xf>
    <xf numFmtId="0" fontId="7" fillId="0" borderId="0" xfId="0" applyFont="1" applyFill="1"/>
    <xf numFmtId="0" fontId="70" fillId="0" borderId="0" xfId="0" applyFont="1" applyFill="1"/>
    <xf numFmtId="0" fontId="43" fillId="0" borderId="47" xfId="0" applyFont="1" applyFill="1" applyBorder="1"/>
    <xf numFmtId="0" fontId="64" fillId="0" borderId="0" xfId="0" applyFont="1" applyFill="1"/>
    <xf numFmtId="0" fontId="66" fillId="0" borderId="0" xfId="0" applyFont="1" applyFill="1" applyAlignment="1">
      <alignment vertical="center"/>
    </xf>
    <xf numFmtId="0" fontId="43" fillId="0" borderId="50" xfId="0" applyFont="1" applyFill="1" applyBorder="1" applyAlignment="1">
      <alignment vertical="center"/>
    </xf>
    <xf numFmtId="0" fontId="64" fillId="0" borderId="0" xfId="0" applyFont="1" applyFill="1" applyAlignment="1">
      <alignment vertical="center"/>
    </xf>
    <xf numFmtId="0" fontId="64" fillId="0" borderId="47" xfId="0" applyFont="1" applyFill="1" applyBorder="1" applyAlignment="1">
      <alignment vertical="center"/>
    </xf>
    <xf numFmtId="49" fontId="67" fillId="0" borderId="0" xfId="0" applyNumberFormat="1" applyFont="1" applyFill="1" applyAlignment="1">
      <alignment vertical="center"/>
    </xf>
    <xf numFmtId="49" fontId="67" fillId="0" borderId="50" xfId="0" applyNumberFormat="1" applyFont="1" applyFill="1" applyBorder="1" applyAlignment="1">
      <alignment vertical="center"/>
    </xf>
    <xf numFmtId="0" fontId="64" fillId="0" borderId="47" xfId="0" applyFont="1" applyFill="1" applyBorder="1"/>
    <xf numFmtId="1" fontId="43" fillId="0" borderId="0" xfId="0" applyNumberFormat="1" applyFont="1" applyFill="1" applyAlignment="1">
      <alignment horizontal="center" vertical="center"/>
    </xf>
    <xf numFmtId="167" fontId="66" fillId="0" borderId="0" xfId="14" applyNumberFormat="1" applyFont="1" applyFill="1" applyBorder="1" applyAlignment="1">
      <alignment horizontal="right" vertical="center"/>
    </xf>
    <xf numFmtId="167" fontId="66" fillId="0" borderId="50" xfId="14" applyNumberFormat="1" applyFont="1" applyFill="1" applyBorder="1" applyAlignment="1">
      <alignment horizontal="right" vertical="center"/>
    </xf>
    <xf numFmtId="0" fontId="44" fillId="0" borderId="0" xfId="0" applyFont="1" applyFill="1"/>
    <xf numFmtId="0" fontId="43" fillId="0" borderId="50" xfId="0" applyFont="1" applyFill="1" applyBorder="1"/>
    <xf numFmtId="0" fontId="43" fillId="0" borderId="0" xfId="13" applyFont="1" applyFill="1" applyAlignment="1">
      <alignment vertical="center"/>
    </xf>
    <xf numFmtId="0" fontId="7" fillId="0" borderId="0" xfId="8" applyFont="1" applyFill="1"/>
    <xf numFmtId="0" fontId="7" fillId="0" borderId="0" xfId="9" applyNumberFormat="1" applyFont="1" applyFill="1" applyBorder="1" applyAlignment="1">
      <alignment vertical="center"/>
    </xf>
    <xf numFmtId="167" fontId="43" fillId="0" borderId="0" xfId="0" applyNumberFormat="1" applyFont="1" applyFill="1" applyAlignment="1">
      <alignment vertical="center"/>
    </xf>
    <xf numFmtId="0" fontId="43" fillId="0" borderId="82" xfId="0" applyFont="1" applyFill="1" applyBorder="1" applyAlignment="1">
      <alignment vertical="center"/>
    </xf>
    <xf numFmtId="167" fontId="43" fillId="0" borderId="82" xfId="0" applyNumberFormat="1" applyFont="1" applyFill="1" applyBorder="1" applyAlignment="1">
      <alignment vertical="center"/>
    </xf>
    <xf numFmtId="0" fontId="43" fillId="0" borderId="82" xfId="0" applyFont="1" applyFill="1" applyBorder="1" applyAlignment="1">
      <alignment horizontal="center" vertical="center"/>
    </xf>
    <xf numFmtId="0" fontId="43" fillId="0" borderId="73" xfId="0" applyFont="1" applyFill="1" applyBorder="1" applyAlignment="1">
      <alignment horizontal="center" vertical="center"/>
    </xf>
    <xf numFmtId="0" fontId="43" fillId="0" borderId="0" xfId="0" applyFont="1" applyFill="1" applyAlignment="1">
      <alignment horizontal="center" vertical="center"/>
    </xf>
    <xf numFmtId="0" fontId="43" fillId="0" borderId="0" xfId="0" applyFont="1" applyFill="1" applyAlignment="1">
      <alignment horizontal="left" vertical="center"/>
    </xf>
    <xf numFmtId="168" fontId="43" fillId="0" borderId="0" xfId="14" applyNumberFormat="1" applyFont="1" applyFill="1" applyBorder="1" applyAlignment="1">
      <alignment horizontal="center" vertical="center"/>
    </xf>
    <xf numFmtId="0" fontId="44" fillId="0" borderId="50" xfId="0" applyFont="1" applyFill="1" applyBorder="1"/>
    <xf numFmtId="165" fontId="43" fillId="0" borderId="82" xfId="0" applyNumberFormat="1" applyFont="1" applyFill="1" applyBorder="1" applyAlignment="1">
      <alignment vertical="center"/>
    </xf>
    <xf numFmtId="165" fontId="43" fillId="0" borderId="0" xfId="0" applyNumberFormat="1" applyFont="1" applyFill="1" applyAlignment="1">
      <alignment vertical="center"/>
    </xf>
    <xf numFmtId="165" fontId="43" fillId="0" borderId="82" xfId="14" applyNumberFormat="1" applyFont="1" applyFill="1" applyBorder="1" applyAlignment="1">
      <alignment vertical="center"/>
    </xf>
    <xf numFmtId="165" fontId="43" fillId="0" borderId="0" xfId="14" applyNumberFormat="1" applyFont="1" applyFill="1" applyBorder="1" applyAlignment="1">
      <alignment vertical="center"/>
    </xf>
    <xf numFmtId="169" fontId="67" fillId="0" borderId="82" xfId="0" applyNumberFormat="1" applyFont="1" applyFill="1" applyBorder="1" applyAlignment="1">
      <alignment horizontal="center" vertical="center"/>
    </xf>
    <xf numFmtId="165" fontId="43" fillId="0" borderId="14" xfId="0" applyNumberFormat="1" applyFont="1" applyFill="1" applyBorder="1" applyAlignment="1">
      <alignment vertical="center"/>
    </xf>
    <xf numFmtId="167" fontId="43" fillId="0" borderId="37" xfId="0" applyNumberFormat="1" applyFont="1" applyFill="1" applyBorder="1" applyAlignment="1">
      <alignment vertical="center"/>
    </xf>
    <xf numFmtId="0" fontId="64" fillId="0" borderId="46" xfId="0" applyFont="1" applyFill="1" applyBorder="1" applyAlignment="1">
      <alignment vertical="center"/>
    </xf>
    <xf numFmtId="49" fontId="64" fillId="0" borderId="60" xfId="0" applyNumberFormat="1" applyFont="1" applyFill="1" applyBorder="1" applyAlignment="1">
      <alignment vertical="center"/>
    </xf>
    <xf numFmtId="0" fontId="64" fillId="0" borderId="73" xfId="0" applyFont="1" applyFill="1" applyBorder="1" applyAlignment="1">
      <alignment vertical="center"/>
    </xf>
    <xf numFmtId="165" fontId="43" fillId="0" borderId="72" xfId="0" applyNumberFormat="1" applyFont="1" applyFill="1" applyBorder="1" applyAlignment="1">
      <alignment vertical="center"/>
    </xf>
    <xf numFmtId="0" fontId="64" fillId="0" borderId="14" xfId="0" applyFont="1" applyFill="1" applyBorder="1" applyAlignment="1">
      <alignment horizontal="center" vertical="center"/>
    </xf>
    <xf numFmtId="165" fontId="43" fillId="0" borderId="74" xfId="0" applyNumberFormat="1" applyFont="1" applyFill="1" applyBorder="1" applyAlignment="1">
      <alignment vertical="center"/>
    </xf>
    <xf numFmtId="0" fontId="64" fillId="0" borderId="6" xfId="0" applyFont="1" applyFill="1" applyBorder="1" applyAlignment="1">
      <alignment horizontal="center" vertical="center"/>
    </xf>
    <xf numFmtId="165" fontId="43" fillId="0" borderId="78" xfId="0" applyNumberFormat="1" applyFont="1" applyFill="1" applyBorder="1" applyAlignment="1">
      <alignment vertical="center"/>
    </xf>
    <xf numFmtId="169" fontId="72" fillId="0" borderId="57" xfId="0" applyNumberFormat="1" applyFont="1" applyFill="1" applyBorder="1" applyAlignment="1">
      <alignment horizontal="center" vertical="center"/>
    </xf>
    <xf numFmtId="165" fontId="73" fillId="0" borderId="65" xfId="0" applyNumberFormat="1" applyFont="1" applyFill="1" applyBorder="1" applyAlignment="1">
      <alignment vertical="center"/>
    </xf>
    <xf numFmtId="169" fontId="58" fillId="0" borderId="57" xfId="0" applyNumberFormat="1" applyFont="1" applyFill="1" applyBorder="1" applyAlignment="1">
      <alignment horizontal="center" vertical="center"/>
    </xf>
    <xf numFmtId="169" fontId="72" fillId="0" borderId="0" xfId="0" applyNumberFormat="1" applyFont="1" applyFill="1" applyAlignment="1">
      <alignment horizontal="center" vertical="center"/>
    </xf>
    <xf numFmtId="0" fontId="43" fillId="0" borderId="34" xfId="0" applyFont="1" applyFill="1" applyBorder="1"/>
    <xf numFmtId="0" fontId="43" fillId="0" borderId="27" xfId="0" applyFont="1" applyFill="1" applyBorder="1" applyAlignment="1">
      <alignment vertical="center"/>
    </xf>
    <xf numFmtId="0" fontId="44" fillId="0" borderId="27" xfId="0" applyFont="1" applyFill="1" applyBorder="1"/>
    <xf numFmtId="0" fontId="44" fillId="0" borderId="85" xfId="0" applyFont="1" applyFill="1" applyBorder="1"/>
    <xf numFmtId="0" fontId="44" fillId="0" borderId="44" xfId="0" applyFont="1" applyFill="1" applyBorder="1"/>
    <xf numFmtId="9" fontId="44" fillId="0" borderId="75" xfId="0" applyNumberFormat="1" applyFont="1" applyFill="1" applyBorder="1"/>
    <xf numFmtId="0" fontId="44" fillId="0" borderId="33" xfId="0" applyFont="1" applyFill="1" applyBorder="1" applyAlignment="1">
      <alignment horizontal="right"/>
    </xf>
    <xf numFmtId="165" fontId="43" fillId="0" borderId="0" xfId="0" applyNumberFormat="1" applyFont="1" applyFill="1"/>
    <xf numFmtId="0" fontId="44" fillId="0" borderId="69" xfId="0" applyFont="1" applyFill="1" applyBorder="1" applyAlignment="1">
      <alignment horizontal="right"/>
    </xf>
    <xf numFmtId="0" fontId="44" fillId="0" borderId="74" xfId="0" applyFont="1" applyFill="1" applyBorder="1" applyAlignment="1">
      <alignment horizontal="right"/>
    </xf>
    <xf numFmtId="0" fontId="44" fillId="0" borderId="78" xfId="0" applyFont="1" applyFill="1" applyBorder="1" applyAlignment="1">
      <alignment horizontal="right"/>
    </xf>
    <xf numFmtId="0" fontId="53" fillId="0" borderId="79" xfId="0" applyFont="1" applyFill="1" applyBorder="1"/>
    <xf numFmtId="0" fontId="67" fillId="0" borderId="30" xfId="0" applyFont="1" applyFill="1" applyBorder="1"/>
    <xf numFmtId="9" fontId="43" fillId="0" borderId="0" xfId="0" applyNumberFormat="1" applyFont="1" applyFill="1"/>
    <xf numFmtId="0" fontId="53" fillId="0" borderId="43" xfId="0" applyFont="1" applyFill="1" applyBorder="1" applyAlignment="1">
      <alignment horizontal="center" vertical="center"/>
    </xf>
    <xf numFmtId="165" fontId="44" fillId="0" borderId="55" xfId="0" applyNumberFormat="1" applyFont="1" applyFill="1" applyBorder="1"/>
    <xf numFmtId="0" fontId="44" fillId="0" borderId="13" xfId="0" applyFont="1" applyFill="1" applyBorder="1"/>
    <xf numFmtId="0" fontId="53" fillId="0" borderId="16" xfId="0" applyFont="1" applyFill="1" applyBorder="1"/>
    <xf numFmtId="0" fontId="44" fillId="0" borderId="72" xfId="0" applyFont="1" applyFill="1" applyBorder="1" applyAlignment="1">
      <alignment horizontal="center" vertical="center"/>
    </xf>
    <xf numFmtId="165" fontId="43" fillId="0" borderId="71" xfId="0" applyNumberFormat="1" applyFont="1" applyFill="1" applyBorder="1"/>
    <xf numFmtId="165" fontId="43" fillId="0" borderId="67" xfId="0" applyNumberFormat="1" applyFont="1" applyFill="1" applyBorder="1"/>
    <xf numFmtId="165" fontId="67" fillId="0" borderId="12" xfId="0" applyNumberFormat="1" applyFont="1" applyFill="1" applyBorder="1"/>
    <xf numFmtId="0" fontId="44" fillId="0" borderId="74" xfId="0" applyFont="1" applyFill="1" applyBorder="1" applyAlignment="1">
      <alignment horizontal="center" vertical="center"/>
    </xf>
    <xf numFmtId="165" fontId="43" fillId="0" borderId="73" xfId="0" applyNumberFormat="1" applyFont="1" applyFill="1" applyBorder="1"/>
    <xf numFmtId="165" fontId="43" fillId="0" borderId="82" xfId="0" applyNumberFormat="1" applyFont="1" applyFill="1" applyBorder="1"/>
    <xf numFmtId="165" fontId="67" fillId="0" borderId="1" xfId="0" applyNumberFormat="1" applyFont="1" applyFill="1" applyBorder="1"/>
    <xf numFmtId="0" fontId="44" fillId="0" borderId="78" xfId="0" applyFont="1" applyFill="1" applyBorder="1" applyAlignment="1">
      <alignment horizontal="center" vertical="center"/>
    </xf>
    <xf numFmtId="165" fontId="43" fillId="0" borderId="77" xfId="0" applyNumberFormat="1" applyFont="1" applyFill="1" applyBorder="1"/>
    <xf numFmtId="165" fontId="43" fillId="0" borderId="84" xfId="0" applyNumberFormat="1" applyFont="1" applyFill="1" applyBorder="1"/>
    <xf numFmtId="165" fontId="67" fillId="0" borderId="2" xfId="0" applyNumberFormat="1" applyFont="1" applyFill="1" applyBorder="1"/>
    <xf numFmtId="165" fontId="67" fillId="0" borderId="0" xfId="0" applyNumberFormat="1" applyFont="1" applyFill="1"/>
    <xf numFmtId="0" fontId="67" fillId="0" borderId="0" xfId="0" applyFont="1" applyFill="1"/>
    <xf numFmtId="165" fontId="67" fillId="0" borderId="0" xfId="0" applyNumberFormat="1" applyFont="1" applyFill="1" applyAlignment="1">
      <alignment horizontal="center"/>
    </xf>
    <xf numFmtId="0" fontId="67" fillId="0" borderId="0" xfId="0" applyFont="1" applyFill="1" applyAlignment="1">
      <alignment horizontal="center"/>
    </xf>
    <xf numFmtId="0" fontId="43" fillId="0" borderId="0" xfId="0" applyFont="1" applyFill="1" applyBorder="1"/>
    <xf numFmtId="0" fontId="64" fillId="0" borderId="0" xfId="0" applyFont="1" applyFill="1" applyBorder="1" applyAlignment="1">
      <alignment vertical="center"/>
    </xf>
    <xf numFmtId="0" fontId="43" fillId="0" borderId="0" xfId="0" applyFont="1" applyFill="1" applyBorder="1" applyAlignment="1">
      <alignment horizontal="left" vertical="center"/>
    </xf>
    <xf numFmtId="167" fontId="58" fillId="0" borderId="73" xfId="5" applyNumberFormat="1" applyFont="1" applyFill="1" applyBorder="1" applyAlignment="1">
      <alignment horizontal="right" vertical="center"/>
    </xf>
    <xf numFmtId="167" fontId="58" fillId="0" borderId="69" xfId="5" applyNumberFormat="1" applyFont="1" applyFill="1" applyBorder="1" applyAlignment="1">
      <alignment horizontal="right" vertical="center"/>
    </xf>
    <xf numFmtId="167" fontId="58" fillId="0" borderId="9" xfId="5" applyNumberFormat="1" applyFont="1" applyFill="1" applyBorder="1" applyAlignment="1">
      <alignment horizontal="right" vertical="center"/>
    </xf>
    <xf numFmtId="167" fontId="58" fillId="0" borderId="92" xfId="5" applyNumberFormat="1" applyFont="1" applyFill="1" applyBorder="1" applyAlignment="1">
      <alignment horizontal="right" vertical="center"/>
    </xf>
    <xf numFmtId="167" fontId="58" fillId="0" borderId="41" xfId="5" applyNumberFormat="1" applyFont="1" applyFill="1" applyBorder="1" applyAlignment="1">
      <alignment horizontal="right" vertical="center"/>
    </xf>
    <xf numFmtId="167" fontId="44" fillId="0" borderId="0" xfId="0" applyNumberFormat="1" applyFont="1" applyFill="1"/>
    <xf numFmtId="49" fontId="43" fillId="0" borderId="0" xfId="0" applyNumberFormat="1" applyFont="1" applyFill="1" applyAlignment="1">
      <alignment vertical="center"/>
    </xf>
    <xf numFmtId="165" fontId="67" fillId="0" borderId="0" xfId="0" applyNumberFormat="1" applyFont="1" applyFill="1" applyAlignment="1">
      <alignment vertical="center"/>
    </xf>
    <xf numFmtId="49" fontId="43" fillId="0" borderId="0" xfId="0" applyNumberFormat="1" applyFont="1" applyFill="1"/>
    <xf numFmtId="0" fontId="43" fillId="0" borderId="46" xfId="0" applyFont="1" applyFill="1" applyBorder="1" applyAlignment="1">
      <alignment vertical="center"/>
    </xf>
    <xf numFmtId="167" fontId="43" fillId="0" borderId="46" xfId="0" applyNumberFormat="1" applyFont="1" applyFill="1" applyBorder="1" applyAlignment="1">
      <alignment vertical="center"/>
    </xf>
    <xf numFmtId="168" fontId="43" fillId="0" borderId="0" xfId="5" applyNumberFormat="1" applyFont="1" applyFill="1" applyAlignment="1">
      <alignment horizontal="center" vertical="center"/>
    </xf>
    <xf numFmtId="165" fontId="43" fillId="0" borderId="82" xfId="5" applyNumberFormat="1" applyFont="1" applyFill="1" applyBorder="1" applyAlignment="1">
      <alignment vertical="center"/>
    </xf>
    <xf numFmtId="165" fontId="43" fillId="0" borderId="0" xfId="5" applyNumberFormat="1" applyFont="1" applyFill="1" applyBorder="1" applyAlignment="1">
      <alignment vertical="center"/>
    </xf>
    <xf numFmtId="169" fontId="67" fillId="0" borderId="0" xfId="0" applyNumberFormat="1" applyFont="1" applyFill="1" applyAlignment="1">
      <alignment horizontal="center" vertical="center"/>
    </xf>
    <xf numFmtId="0" fontId="76" fillId="0" borderId="0" xfId="0" applyFont="1" applyFill="1"/>
    <xf numFmtId="165" fontId="73" fillId="0" borderId="30" xfId="0" applyNumberFormat="1" applyFont="1" applyFill="1" applyBorder="1" applyAlignment="1">
      <alignment vertical="center"/>
    </xf>
    <xf numFmtId="165" fontId="64" fillId="0" borderId="0" xfId="0" applyNumberFormat="1" applyFont="1" applyFill="1" applyAlignment="1">
      <alignment vertical="center"/>
    </xf>
    <xf numFmtId="0" fontId="77" fillId="0" borderId="30" xfId="0" applyFont="1" applyFill="1" applyBorder="1" applyAlignment="1">
      <alignment vertical="center" wrapText="1"/>
    </xf>
    <xf numFmtId="165" fontId="44" fillId="0" borderId="30" xfId="0" applyNumberFormat="1" applyFont="1" applyFill="1" applyBorder="1" applyAlignment="1">
      <alignment wrapText="1"/>
    </xf>
    <xf numFmtId="165" fontId="44" fillId="0" borderId="9" xfId="0" applyNumberFormat="1" applyFont="1" applyFill="1" applyBorder="1"/>
    <xf numFmtId="165" fontId="44" fillId="0" borderId="74" xfId="0" applyNumberFormat="1" applyFont="1" applyFill="1" applyBorder="1"/>
    <xf numFmtId="0" fontId="43" fillId="0" borderId="0" xfId="13" applyFont="1" applyFill="1"/>
    <xf numFmtId="49" fontId="43" fillId="0" borderId="0" xfId="15" applyNumberFormat="1" applyFont="1" applyFill="1"/>
    <xf numFmtId="49" fontId="43" fillId="0" borderId="0" xfId="13" applyNumberFormat="1" applyFont="1" applyFill="1"/>
    <xf numFmtId="0" fontId="43" fillId="0" borderId="0" xfId="13" applyFont="1" applyFill="1" applyAlignment="1">
      <alignment wrapText="1"/>
    </xf>
    <xf numFmtId="165" fontId="44" fillId="0" borderId="78" xfId="0" applyNumberFormat="1" applyFont="1" applyFill="1" applyBorder="1"/>
    <xf numFmtId="165" fontId="53" fillId="0" borderId="30" xfId="0" applyNumberFormat="1" applyFont="1" applyFill="1" applyBorder="1"/>
    <xf numFmtId="165" fontId="53" fillId="0" borderId="51" xfId="0" applyNumberFormat="1" applyFont="1" applyFill="1" applyBorder="1"/>
    <xf numFmtId="0" fontId="44" fillId="0" borderId="29" xfId="0" applyFont="1" applyFill="1" applyBorder="1"/>
    <xf numFmtId="165" fontId="44" fillId="0" borderId="0" xfId="0" applyNumberFormat="1" applyFont="1" applyFill="1"/>
    <xf numFmtId="0" fontId="53" fillId="0" borderId="30" xfId="0" applyFont="1" applyFill="1" applyBorder="1" applyAlignment="1">
      <alignment horizontal="center" vertical="center"/>
    </xf>
    <xf numFmtId="0" fontId="44" fillId="0" borderId="3" xfId="0" applyFont="1" applyFill="1" applyBorder="1"/>
    <xf numFmtId="165" fontId="44" fillId="0" borderId="80" xfId="0" applyNumberFormat="1" applyFont="1" applyFill="1" applyBorder="1"/>
    <xf numFmtId="165" fontId="44" fillId="0" borderId="67" xfId="0" applyNumberFormat="1" applyFont="1" applyFill="1" applyBorder="1"/>
    <xf numFmtId="165" fontId="44" fillId="0" borderId="12" xfId="0" applyNumberFormat="1" applyFont="1" applyFill="1" applyBorder="1"/>
    <xf numFmtId="165" fontId="53" fillId="0" borderId="68" xfId="0" applyNumberFormat="1" applyFont="1" applyFill="1" applyBorder="1"/>
    <xf numFmtId="165" fontId="44" fillId="0" borderId="81" xfId="0" applyNumberFormat="1" applyFont="1" applyFill="1" applyBorder="1"/>
    <xf numFmtId="165" fontId="44" fillId="0" borderId="82" xfId="0" applyNumberFormat="1" applyFont="1" applyFill="1" applyBorder="1"/>
    <xf numFmtId="165" fontId="44" fillId="0" borderId="1" xfId="0" applyNumberFormat="1" applyFont="1" applyFill="1" applyBorder="1"/>
    <xf numFmtId="165" fontId="53" fillId="0" borderId="56" xfId="0" applyNumberFormat="1" applyFont="1" applyFill="1" applyBorder="1"/>
    <xf numFmtId="165" fontId="53" fillId="0" borderId="42" xfId="0" applyNumberFormat="1" applyFont="1" applyFill="1" applyBorder="1"/>
    <xf numFmtId="165" fontId="44" fillId="0" borderId="76" xfId="0" applyNumberFormat="1" applyFont="1" applyFill="1" applyBorder="1"/>
    <xf numFmtId="165" fontId="44" fillId="0" borderId="84" xfId="0" applyNumberFormat="1" applyFont="1" applyFill="1" applyBorder="1"/>
    <xf numFmtId="165" fontId="44" fillId="0" borderId="2" xfId="0" applyNumberFormat="1" applyFont="1" applyFill="1" applyBorder="1"/>
    <xf numFmtId="165" fontId="53" fillId="0" borderId="64" xfId="0" applyNumberFormat="1" applyFont="1" applyFill="1" applyBorder="1"/>
    <xf numFmtId="165" fontId="54" fillId="0" borderId="30" xfId="0" applyNumberFormat="1" applyFont="1" applyFill="1" applyBorder="1"/>
    <xf numFmtId="49" fontId="43" fillId="0" borderId="0" xfId="15" applyNumberFormat="1" applyFont="1" applyFill="1" applyAlignment="1">
      <alignment wrapText="1"/>
    </xf>
    <xf numFmtId="1" fontId="43" fillId="0" borderId="73" xfId="0" applyNumberFormat="1" applyFont="1" applyFill="1" applyBorder="1" applyAlignment="1">
      <alignment horizontal="center" vertical="center"/>
    </xf>
    <xf numFmtId="167" fontId="43" fillId="0" borderId="0" xfId="0" applyNumberFormat="1" applyFont="1" applyFill="1"/>
    <xf numFmtId="165" fontId="78" fillId="0" borderId="0" xfId="0" applyNumberFormat="1" applyFont="1" applyFill="1"/>
    <xf numFmtId="165" fontId="53" fillId="0" borderId="0" xfId="0" applyNumberFormat="1" applyFont="1" applyFill="1"/>
    <xf numFmtId="0" fontId="67" fillId="0" borderId="30" xfId="0" applyFont="1" applyFill="1" applyBorder="1" applyAlignment="1">
      <alignment wrapText="1"/>
    </xf>
    <xf numFmtId="165" fontId="67" fillId="0" borderId="31" xfId="0" applyNumberFormat="1" applyFont="1" applyFill="1" applyBorder="1"/>
    <xf numFmtId="165" fontId="44" fillId="0" borderId="66" xfId="0" applyNumberFormat="1" applyFont="1" applyFill="1" applyBorder="1"/>
    <xf numFmtId="0" fontId="44" fillId="0" borderId="10" xfId="0" applyFont="1" applyFill="1" applyBorder="1"/>
    <xf numFmtId="0" fontId="53" fillId="0" borderId="3" xfId="0" applyFont="1" applyFill="1" applyBorder="1"/>
    <xf numFmtId="0" fontId="44" fillId="0" borderId="70"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36" xfId="0" applyFont="1" applyFill="1" applyBorder="1" applyAlignment="1">
      <alignment horizontal="center" vertical="center"/>
    </xf>
    <xf numFmtId="0" fontId="44" fillId="0" borderId="76" xfId="0" applyFont="1" applyFill="1" applyBorder="1" applyAlignment="1">
      <alignment horizontal="center" vertical="center"/>
    </xf>
    <xf numFmtId="165" fontId="74" fillId="0" borderId="0" xfId="0" applyNumberFormat="1" applyFont="1" applyFill="1"/>
    <xf numFmtId="0" fontId="44" fillId="0" borderId="33" xfId="0" applyFont="1" applyFill="1" applyBorder="1" applyAlignment="1">
      <alignment horizontal="center" vertical="center"/>
    </xf>
    <xf numFmtId="165" fontId="67" fillId="0" borderId="82" xfId="0" applyNumberFormat="1" applyFont="1" applyFill="1" applyBorder="1"/>
    <xf numFmtId="0" fontId="44" fillId="0" borderId="81" xfId="0" applyFont="1" applyFill="1" applyBorder="1" applyAlignment="1">
      <alignment horizontal="center" vertical="center"/>
    </xf>
    <xf numFmtId="0" fontId="44" fillId="0" borderId="75" xfId="0" applyFont="1" applyFill="1" applyBorder="1" applyAlignment="1">
      <alignment horizontal="center" vertical="center"/>
    </xf>
    <xf numFmtId="0" fontId="44" fillId="0" borderId="80" xfId="0" applyFont="1" applyFill="1" applyBorder="1" applyAlignment="1">
      <alignment horizontal="center" vertical="center"/>
    </xf>
    <xf numFmtId="165" fontId="43" fillId="0" borderId="80" xfId="0" applyNumberFormat="1" applyFont="1" applyFill="1" applyBorder="1"/>
    <xf numFmtId="165" fontId="43" fillId="0" borderId="12" xfId="0" applyNumberFormat="1" applyFont="1" applyFill="1" applyBorder="1"/>
    <xf numFmtId="165" fontId="67" fillId="0" borderId="68" xfId="0" applyNumberFormat="1" applyFont="1" applyFill="1" applyBorder="1"/>
    <xf numFmtId="165" fontId="43" fillId="0" borderId="81" xfId="0" applyNumberFormat="1" applyFont="1" applyFill="1" applyBorder="1"/>
    <xf numFmtId="165" fontId="43" fillId="0" borderId="1" xfId="0" applyNumberFormat="1" applyFont="1" applyFill="1" applyBorder="1"/>
    <xf numFmtId="165" fontId="67" fillId="0" borderId="56" xfId="0" applyNumberFormat="1" applyFont="1" applyFill="1" applyBorder="1"/>
    <xf numFmtId="165" fontId="43" fillId="0" borderId="76" xfId="0" applyNumberFormat="1" applyFont="1" applyFill="1" applyBorder="1"/>
    <xf numFmtId="165" fontId="43" fillId="0" borderId="2" xfId="0" applyNumberFormat="1" applyFont="1" applyFill="1" applyBorder="1"/>
    <xf numFmtId="165" fontId="67" fillId="0" borderId="64" xfId="0" applyNumberFormat="1" applyFont="1" applyFill="1" applyBorder="1"/>
    <xf numFmtId="0" fontId="53" fillId="0" borderId="80" xfId="0" applyFont="1" applyFill="1" applyBorder="1" applyAlignment="1">
      <alignment horizontal="center" vertical="center"/>
    </xf>
    <xf numFmtId="0" fontId="44" fillId="0" borderId="67" xfId="0" applyFont="1" applyFill="1" applyBorder="1"/>
    <xf numFmtId="0" fontId="53" fillId="0" borderId="12" xfId="0" applyFont="1" applyFill="1" applyBorder="1"/>
    <xf numFmtId="0" fontId="53" fillId="0" borderId="31" xfId="0" applyFont="1" applyFill="1" applyBorder="1" applyAlignment="1">
      <alignment wrapText="1"/>
    </xf>
    <xf numFmtId="0" fontId="53" fillId="0" borderId="0" xfId="0" applyFont="1" applyFill="1" applyAlignment="1">
      <alignment wrapText="1"/>
    </xf>
    <xf numFmtId="0" fontId="44" fillId="0" borderId="31" xfId="0" applyFont="1" applyFill="1" applyBorder="1" applyAlignment="1">
      <alignment horizontal="right"/>
    </xf>
    <xf numFmtId="0" fontId="44" fillId="0" borderId="16" xfId="0" applyFont="1" applyFill="1" applyBorder="1"/>
    <xf numFmtId="165" fontId="44" fillId="0" borderId="71" xfId="0" applyNumberFormat="1" applyFont="1" applyFill="1" applyBorder="1"/>
    <xf numFmtId="165" fontId="53" fillId="0" borderId="12" xfId="0" applyNumberFormat="1" applyFont="1" applyFill="1" applyBorder="1"/>
    <xf numFmtId="165" fontId="44" fillId="0" borderId="73" xfId="0" applyNumberFormat="1" applyFont="1" applyFill="1" applyBorder="1"/>
    <xf numFmtId="165" fontId="53" fillId="0" borderId="1" xfId="0" applyNumberFormat="1" applyFont="1" applyFill="1" applyBorder="1"/>
    <xf numFmtId="165" fontId="44" fillId="0" borderId="77" xfId="0" applyNumberFormat="1" applyFont="1" applyFill="1" applyBorder="1"/>
    <xf numFmtId="165" fontId="53" fillId="0" borderId="2" xfId="0" applyNumberFormat="1" applyFont="1" applyFill="1" applyBorder="1"/>
    <xf numFmtId="165" fontId="54" fillId="0" borderId="51" xfId="0" applyNumberFormat="1" applyFont="1" applyFill="1" applyBorder="1"/>
    <xf numFmtId="0" fontId="66" fillId="0" borderId="82" xfId="0" applyFont="1" applyFill="1" applyBorder="1" applyAlignment="1">
      <alignment horizontal="center" vertical="center"/>
    </xf>
    <xf numFmtId="0" fontId="66" fillId="0" borderId="73" xfId="0" applyFont="1" applyFill="1" applyBorder="1" applyAlignment="1">
      <alignment horizontal="center" vertical="center"/>
    </xf>
    <xf numFmtId="0" fontId="79" fillId="0" borderId="0" xfId="0" applyFont="1"/>
    <xf numFmtId="165" fontId="81" fillId="0" borderId="0" xfId="0" applyNumberFormat="1" applyFont="1"/>
    <xf numFmtId="0" fontId="82" fillId="0" borderId="0" xfId="0" applyFont="1"/>
    <xf numFmtId="1" fontId="34" fillId="0" borderId="0" xfId="0" applyNumberFormat="1" applyFont="1"/>
    <xf numFmtId="165" fontId="33" fillId="0" borderId="0" xfId="0" applyNumberFormat="1" applyFont="1" applyAlignment="1">
      <alignment horizontal="center"/>
    </xf>
    <xf numFmtId="3" fontId="33" fillId="0" borderId="0" xfId="0" applyNumberFormat="1" applyFont="1"/>
    <xf numFmtId="49" fontId="33" fillId="0" borderId="0" xfId="0" applyNumberFormat="1" applyFont="1" applyAlignment="1">
      <alignment horizontal="right"/>
    </xf>
    <xf numFmtId="165" fontId="33" fillId="0" borderId="0" xfId="0" applyNumberFormat="1" applyFont="1" applyAlignment="1">
      <alignment wrapText="1"/>
    </xf>
    <xf numFmtId="0" fontId="0" fillId="0" borderId="0" xfId="0" applyBorder="1" applyAlignment="1">
      <alignment horizontal="right" vertical="top"/>
    </xf>
    <xf numFmtId="0" fontId="6" fillId="0" borderId="0" xfId="0" applyFont="1" applyBorder="1" applyAlignment="1">
      <alignment horizontal="right" vertical="top"/>
    </xf>
    <xf numFmtId="10" fontId="0" fillId="0" borderId="0" xfId="0" applyNumberFormat="1" applyBorder="1" applyAlignment="1">
      <alignment horizontal="right" vertical="top" wrapText="1"/>
    </xf>
    <xf numFmtId="44" fontId="0" fillId="0" borderId="0" xfId="0" applyNumberFormat="1" applyBorder="1" applyAlignment="1">
      <alignment horizontal="right" vertical="top" wrapText="1"/>
    </xf>
    <xf numFmtId="0" fontId="0" fillId="0" borderId="0" xfId="0" applyAlignment="1">
      <alignment horizontal="left" vertical="top"/>
    </xf>
    <xf numFmtId="0" fontId="0" fillId="0" borderId="0" xfId="0"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12" fillId="0" borderId="0" xfId="0" applyFont="1" applyBorder="1" applyAlignment="1">
      <alignment horizontal="left" vertical="top"/>
    </xf>
    <xf numFmtId="165" fontId="0" fillId="0" borderId="0" xfId="0" applyNumberFormat="1" applyBorder="1" applyAlignment="1">
      <alignment horizontal="right" vertical="top"/>
    </xf>
    <xf numFmtId="10" fontId="0" fillId="0" borderId="0" xfId="0" applyNumberFormat="1" applyBorder="1" applyAlignment="1">
      <alignment horizontal="right" vertical="top"/>
    </xf>
    <xf numFmtId="0" fontId="0" fillId="0" borderId="0" xfId="0" applyFont="1" applyBorder="1" applyAlignment="1">
      <alignment horizontal="left" vertical="top" wrapText="1"/>
    </xf>
    <xf numFmtId="0" fontId="0" fillId="0" borderId="0" xfId="0" applyFont="1" applyBorder="1" applyAlignment="1">
      <alignment horizontal="left" vertical="top"/>
    </xf>
    <xf numFmtId="10" fontId="0" fillId="0" borderId="0" xfId="0" applyNumberFormat="1" applyFont="1" applyBorder="1" applyAlignment="1">
      <alignment horizontal="right" vertical="top"/>
    </xf>
    <xf numFmtId="10" fontId="0" fillId="0" borderId="0" xfId="0" applyNumberFormat="1" applyFont="1" applyBorder="1" applyAlignment="1">
      <alignment horizontal="right" vertical="top" wrapText="1"/>
    </xf>
    <xf numFmtId="44" fontId="0" fillId="0" borderId="0" xfId="0" applyNumberFormat="1" applyFont="1" applyBorder="1" applyAlignment="1">
      <alignment horizontal="right" vertical="top" wrapText="1"/>
    </xf>
    <xf numFmtId="0" fontId="12" fillId="0" borderId="0" xfId="0" applyFont="1" applyAlignment="1">
      <alignment horizontal="left" vertical="top"/>
    </xf>
    <xf numFmtId="0" fontId="12" fillId="0" borderId="0" xfId="0" applyFont="1" applyAlignment="1">
      <alignment horizontal="left" vertical="top" wrapText="1"/>
    </xf>
    <xf numFmtId="10" fontId="12" fillId="0" borderId="0" xfId="0" applyNumberFormat="1" applyFont="1" applyAlignment="1">
      <alignment horizontal="left" vertical="top"/>
    </xf>
    <xf numFmtId="165" fontId="12" fillId="0" borderId="0" xfId="0" applyNumberFormat="1" applyFont="1" applyAlignment="1">
      <alignment horizontal="left" vertical="top"/>
    </xf>
    <xf numFmtId="0" fontId="58" fillId="0" borderId="81" xfId="0" applyFont="1" applyFill="1" applyBorder="1" applyAlignment="1">
      <alignment horizontal="center" vertical="center" wrapText="1"/>
    </xf>
    <xf numFmtId="0" fontId="58" fillId="0" borderId="1" xfId="0" applyFont="1" applyFill="1" applyBorder="1" applyAlignment="1">
      <alignment horizontal="center" vertical="center" wrapText="1"/>
    </xf>
    <xf numFmtId="49" fontId="34" fillId="0" borderId="0" xfId="1" applyNumberFormat="1" applyFont="1" applyBorder="1" applyAlignment="1">
      <alignment horizontal="left" vertical="center" wrapText="1"/>
    </xf>
    <xf numFmtId="49" fontId="38" fillId="0" borderId="0" xfId="1" applyNumberFormat="1" applyFont="1" applyBorder="1" applyAlignment="1">
      <alignment horizontal="left" vertical="center" wrapText="1"/>
    </xf>
    <xf numFmtId="10" fontId="34" fillId="0" borderId="0" xfId="1" applyNumberFormat="1" applyFont="1" applyBorder="1" applyAlignment="1" applyProtection="1">
      <alignment horizontal="center" vertical="center"/>
      <protection locked="0"/>
    </xf>
    <xf numFmtId="49" fontId="32" fillId="0" borderId="0" xfId="0" applyNumberFormat="1" applyFont="1" applyAlignment="1">
      <alignment wrapText="1"/>
    </xf>
    <xf numFmtId="0" fontId="33" fillId="0" borderId="26" xfId="0" applyFont="1" applyBorder="1" applyAlignment="1">
      <alignment wrapText="1"/>
    </xf>
    <xf numFmtId="0" fontId="34" fillId="0" borderId="26" xfId="0" applyFont="1" applyBorder="1" applyAlignment="1">
      <alignment wrapText="1"/>
    </xf>
    <xf numFmtId="0" fontId="32" fillId="0" borderId="31" xfId="0" applyFont="1" applyBorder="1" applyAlignment="1">
      <alignment horizontal="right"/>
    </xf>
    <xf numFmtId="0" fontId="32" fillId="0" borderId="0" xfId="0" applyFont="1" applyAlignment="1">
      <alignment horizontal="right"/>
    </xf>
    <xf numFmtId="0" fontId="32" fillId="0" borderId="41" xfId="0" applyFont="1" applyBorder="1" applyAlignment="1">
      <alignment horizontal="right"/>
    </xf>
    <xf numFmtId="165" fontId="32" fillId="0" borderId="0" xfId="0" applyNumberFormat="1" applyFont="1" applyAlignment="1">
      <alignment horizontal="center"/>
    </xf>
    <xf numFmtId="165" fontId="32" fillId="0" borderId="41" xfId="0" applyNumberFormat="1" applyFont="1" applyBorder="1" applyAlignment="1">
      <alignment horizontal="center"/>
    </xf>
    <xf numFmtId="165" fontId="32" fillId="0" borderId="26" xfId="0" applyNumberFormat="1" applyFont="1" applyBorder="1" applyAlignment="1">
      <alignment horizontal="center"/>
    </xf>
    <xf numFmtId="165" fontId="32" fillId="0" borderId="44" xfId="0" applyNumberFormat="1" applyFont="1" applyBorder="1" applyAlignment="1">
      <alignment horizontal="center"/>
    </xf>
    <xf numFmtId="0" fontId="32" fillId="0" borderId="31" xfId="0" applyFont="1" applyBorder="1" applyAlignment="1">
      <alignment horizontal="right" vertical="top" wrapText="1"/>
    </xf>
    <xf numFmtId="0" fontId="32" fillId="0" borderId="0" xfId="0" applyFont="1" applyAlignment="1">
      <alignment horizontal="right" vertical="top" wrapText="1"/>
    </xf>
    <xf numFmtId="0" fontId="32" fillId="0" borderId="41" xfId="0" applyFont="1" applyBorder="1" applyAlignment="1">
      <alignment horizontal="right" vertical="top" wrapText="1"/>
    </xf>
    <xf numFmtId="0" fontId="32" fillId="0" borderId="87" xfId="0" applyFont="1" applyBorder="1" applyAlignment="1">
      <alignment horizontal="right" vertical="top" wrapText="1"/>
    </xf>
    <xf numFmtId="0" fontId="32" fillId="0" borderId="26" xfId="0" applyFont="1" applyBorder="1" applyAlignment="1">
      <alignment horizontal="right" vertical="top" wrapText="1"/>
    </xf>
    <xf numFmtId="0" fontId="32" fillId="0" borderId="44" xfId="0" applyFont="1" applyBorder="1" applyAlignment="1">
      <alignment horizontal="right" vertical="top" wrapText="1"/>
    </xf>
    <xf numFmtId="0" fontId="31" fillId="0" borderId="31" xfId="0" applyFont="1" applyBorder="1" applyAlignment="1">
      <alignment horizontal="right" wrapText="1"/>
    </xf>
    <xf numFmtId="0" fontId="31" fillId="0" borderId="0" xfId="0" applyFont="1" applyAlignment="1">
      <alignment horizontal="right" wrapText="1"/>
    </xf>
    <xf numFmtId="0" fontId="31" fillId="0" borderId="41" xfId="0" applyFont="1" applyBorder="1" applyAlignment="1">
      <alignment horizontal="right" wrapText="1"/>
    </xf>
    <xf numFmtId="0" fontId="32" fillId="4" borderId="82" xfId="0" applyFont="1" applyFill="1" applyBorder="1" applyAlignment="1">
      <alignment horizontal="center" vertical="center"/>
    </xf>
    <xf numFmtId="0" fontId="32" fillId="4" borderId="84" xfId="0" applyFont="1" applyFill="1" applyBorder="1" applyAlignment="1">
      <alignment horizontal="center" vertical="center"/>
    </xf>
    <xf numFmtId="9" fontId="32" fillId="2" borderId="1" xfId="0" applyNumberFormat="1" applyFont="1" applyFill="1" applyBorder="1" applyAlignment="1">
      <alignment horizontal="center" vertical="center"/>
    </xf>
    <xf numFmtId="9" fontId="32" fillId="2" borderId="2" xfId="0" applyNumberFormat="1" applyFont="1" applyFill="1" applyBorder="1" applyAlignment="1">
      <alignment horizontal="center" vertical="center"/>
    </xf>
    <xf numFmtId="0" fontId="31" fillId="0" borderId="28" xfId="0" applyFont="1" applyBorder="1" applyAlignment="1">
      <alignment horizontal="right" wrapText="1"/>
    </xf>
    <xf numFmtId="0" fontId="31" fillId="0" borderId="29" xfId="0" applyFont="1" applyBorder="1" applyAlignment="1">
      <alignment horizontal="right" wrapText="1"/>
    </xf>
    <xf numFmtId="0" fontId="31" fillId="0" borderId="40" xfId="0" applyFont="1" applyBorder="1" applyAlignment="1">
      <alignment horizontal="right" wrapText="1"/>
    </xf>
    <xf numFmtId="0" fontId="31" fillId="2" borderId="74" xfId="0" applyFont="1" applyFill="1" applyBorder="1" applyAlignment="1">
      <alignment horizontal="center" vertical="center"/>
    </xf>
    <xf numFmtId="0" fontId="43" fillId="0" borderId="82" xfId="0" applyFont="1" applyFill="1" applyBorder="1" applyAlignment="1">
      <alignment horizontal="center" vertical="center"/>
    </xf>
    <xf numFmtId="0" fontId="58" fillId="0" borderId="81"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43" fillId="0" borderId="73" xfId="0" applyFont="1" applyFill="1" applyBorder="1" applyAlignment="1">
      <alignment horizontal="center" vertical="center"/>
    </xf>
    <xf numFmtId="165" fontId="43" fillId="0" borderId="82" xfId="0" applyNumberFormat="1" applyFont="1" applyFill="1" applyBorder="1" applyAlignment="1">
      <alignment vertical="center"/>
    </xf>
    <xf numFmtId="169" fontId="67" fillId="0" borderId="82" xfId="0" applyNumberFormat="1" applyFont="1" applyFill="1" applyBorder="1" applyAlignment="1">
      <alignment horizontal="center" vertical="center"/>
    </xf>
    <xf numFmtId="0" fontId="31" fillId="0" borderId="41" xfId="0" applyFont="1" applyBorder="1" applyAlignment="1">
      <alignment horizontal="right" vertical="center"/>
    </xf>
    <xf numFmtId="0" fontId="32" fillId="0" borderId="74" xfId="0" applyFont="1" applyBorder="1" applyAlignment="1">
      <alignment horizontal="center" vertical="center"/>
    </xf>
    <xf numFmtId="10" fontId="32" fillId="0" borderId="81" xfId="0" applyNumberFormat="1" applyFont="1" applyBorder="1" applyAlignment="1">
      <alignment horizontal="center" vertical="center" wrapText="1"/>
    </xf>
    <xf numFmtId="170" fontId="34" fillId="0" borderId="0" xfId="0" applyNumberFormat="1" applyFont="1" applyFill="1" applyAlignment="1"/>
    <xf numFmtId="0" fontId="32" fillId="0" borderId="0" xfId="0" applyFont="1" applyFill="1" applyAlignment="1" applyProtection="1">
      <protection locked="0"/>
    </xf>
    <xf numFmtId="0" fontId="32" fillId="0" borderId="0" xfId="0" applyFont="1" applyAlignment="1" applyProtection="1">
      <protection locked="0"/>
    </xf>
    <xf numFmtId="0" fontId="34" fillId="0" borderId="0" xfId="0" applyFont="1" applyFill="1"/>
    <xf numFmtId="0" fontId="33" fillId="0" borderId="0" xfId="0" applyFont="1" applyFill="1"/>
    <xf numFmtId="10" fontId="32" fillId="0" borderId="81" xfId="0" applyNumberFormat="1" applyFont="1" applyBorder="1" applyAlignment="1">
      <alignment horizontal="center" vertical="center" wrapText="1"/>
    </xf>
    <xf numFmtId="0" fontId="32" fillId="45" borderId="0" xfId="0" applyFont="1" applyFill="1"/>
    <xf numFmtId="0" fontId="55" fillId="41" borderId="0" xfId="0" applyFont="1" applyFill="1"/>
    <xf numFmtId="0" fontId="55" fillId="0" borderId="0" xfId="0" applyFont="1"/>
    <xf numFmtId="0" fontId="55" fillId="0" borderId="0" xfId="0" applyFont="1" applyFill="1" applyAlignment="1" applyProtection="1">
      <protection locked="0"/>
    </xf>
    <xf numFmtId="0" fontId="55" fillId="0" borderId="0" xfId="0" applyFont="1" applyAlignment="1" applyProtection="1">
      <protection locked="0"/>
    </xf>
    <xf numFmtId="0" fontId="45" fillId="45" borderId="0" xfId="0" applyFont="1" applyFill="1"/>
    <xf numFmtId="0" fontId="40" fillId="45" borderId="0" xfId="0" applyFont="1" applyFill="1"/>
    <xf numFmtId="0" fontId="32" fillId="0" borderId="0" xfId="0" applyFont="1" applyAlignment="1">
      <alignment vertical="top" wrapText="1"/>
    </xf>
    <xf numFmtId="10" fontId="33" fillId="0" borderId="0" xfId="0" applyNumberFormat="1" applyFont="1" applyFill="1" applyAlignment="1">
      <alignment vertical="center"/>
    </xf>
    <xf numFmtId="10" fontId="33" fillId="0" borderId="0" xfId="0" applyNumberFormat="1" applyFont="1" applyFill="1" applyAlignment="1">
      <alignment horizontal="center" vertical="center"/>
    </xf>
    <xf numFmtId="165" fontId="34" fillId="0" borderId="0" xfId="0" applyNumberFormat="1" applyFont="1" applyAlignment="1">
      <alignment horizontal="right"/>
    </xf>
    <xf numFmtId="0" fontId="38" fillId="0" borderId="0" xfId="0" applyFont="1" applyAlignment="1">
      <alignment vertical="center" wrapText="1"/>
    </xf>
    <xf numFmtId="165" fontId="34" fillId="0" borderId="0" xfId="0" applyNumberFormat="1" applyFont="1" applyAlignment="1">
      <alignment horizontal="left"/>
    </xf>
    <xf numFmtId="0" fontId="38" fillId="0" borderId="0" xfId="0" applyFont="1" applyBorder="1" applyAlignment="1">
      <alignment horizontal="center" vertical="center" wrapText="1"/>
    </xf>
    <xf numFmtId="0" fontId="31" fillId="0" borderId="0" xfId="0" applyFont="1" applyBorder="1" applyAlignment="1">
      <alignment vertical="center" wrapText="1"/>
    </xf>
    <xf numFmtId="0" fontId="32" fillId="0" borderId="0" xfId="0" applyFont="1" applyBorder="1" applyAlignment="1">
      <alignment vertical="center" wrapText="1"/>
    </xf>
    <xf numFmtId="3" fontId="34" fillId="0" borderId="0" xfId="0" applyNumberFormat="1" applyFont="1" applyAlignment="1">
      <alignment horizontal="right" vertical="center" wrapText="1" indent="1"/>
    </xf>
    <xf numFmtId="0" fontId="45" fillId="0" borderId="0" xfId="0" applyFont="1" applyFill="1"/>
    <xf numFmtId="0" fontId="40" fillId="0" borderId="0" xfId="0" applyFont="1" applyAlignment="1">
      <alignment vertical="top"/>
    </xf>
    <xf numFmtId="49" fontId="45" fillId="0" borderId="0" xfId="0" applyNumberFormat="1" applyFont="1" applyAlignment="1">
      <alignment horizontal="right"/>
    </xf>
    <xf numFmtId="49" fontId="32" fillId="2" borderId="31" xfId="0" applyNumberFormat="1" applyFont="1" applyFill="1" applyBorder="1" applyAlignment="1">
      <alignment vertical="top" wrapText="1"/>
    </xf>
    <xf numFmtId="49" fontId="32" fillId="2" borderId="50" xfId="0" applyNumberFormat="1" applyFont="1" applyFill="1" applyBorder="1" applyAlignment="1">
      <alignment vertical="top" wrapText="1"/>
    </xf>
    <xf numFmtId="0" fontId="57" fillId="42" borderId="0" xfId="0" applyFont="1" applyFill="1" applyAlignment="1">
      <alignment horizontal="left" vertical="top"/>
    </xf>
    <xf numFmtId="14" fontId="33" fillId="0" borderId="0" xfId="0" applyNumberFormat="1" applyFont="1" applyAlignment="1">
      <alignment horizontal="center"/>
    </xf>
    <xf numFmtId="14" fontId="34" fillId="41" borderId="34" xfId="0" applyNumberFormat="1" applyFont="1" applyFill="1" applyBorder="1" applyAlignment="1">
      <alignment horizontal="center"/>
    </xf>
    <xf numFmtId="14" fontId="34" fillId="41" borderId="85" xfId="0" applyNumberFormat="1" applyFont="1" applyFill="1" applyBorder="1" applyAlignment="1">
      <alignment horizontal="center"/>
    </xf>
    <xf numFmtId="0" fontId="31" fillId="0" borderId="28"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67" xfId="0" applyFont="1" applyBorder="1" applyAlignment="1">
      <alignment horizontal="center" vertical="top" wrapText="1"/>
    </xf>
    <xf numFmtId="0" fontId="31" fillId="0" borderId="12" xfId="0" applyFont="1" applyBorder="1" applyAlignment="1">
      <alignment horizontal="center" vertical="top" wrapText="1"/>
    </xf>
    <xf numFmtId="0" fontId="31" fillId="0" borderId="84" xfId="0" applyFont="1" applyBorder="1" applyAlignment="1">
      <alignment horizontal="center" vertical="top" wrapText="1"/>
    </xf>
    <xf numFmtId="0" fontId="31" fillId="0" borderId="2" xfId="0" applyFont="1" applyBorder="1" applyAlignment="1">
      <alignment horizontal="center" vertical="top" wrapText="1"/>
    </xf>
    <xf numFmtId="2" fontId="34" fillId="39" borderId="0" xfId="1" applyNumberFormat="1" applyFont="1" applyFill="1" applyAlignment="1" applyProtection="1">
      <protection locked="0"/>
    </xf>
    <xf numFmtId="0" fontId="32" fillId="0" borderId="0" xfId="0" applyFont="1" applyAlignment="1">
      <alignment horizontal="left" vertical="top" wrapText="1"/>
    </xf>
    <xf numFmtId="0" fontId="34" fillId="0" borderId="0" xfId="0" applyFont="1" applyAlignment="1">
      <alignment horizontal="left" vertical="top" wrapText="1"/>
    </xf>
    <xf numFmtId="0" fontId="34" fillId="0" borderId="0" xfId="0" applyFont="1" applyAlignment="1">
      <alignment horizontal="left"/>
    </xf>
    <xf numFmtId="170" fontId="34" fillId="0" borderId="0" xfId="0" applyNumberFormat="1" applyFont="1" applyAlignment="1">
      <alignment horizontal="center"/>
    </xf>
    <xf numFmtId="0" fontId="31" fillId="0" borderId="31" xfId="0" applyFont="1" applyBorder="1" applyAlignment="1">
      <alignment horizontal="right" wrapText="1"/>
    </xf>
    <xf numFmtId="0" fontId="31" fillId="0" borderId="0" xfId="0" applyFont="1" applyAlignment="1">
      <alignment horizontal="right" wrapText="1"/>
    </xf>
    <xf numFmtId="0" fontId="31" fillId="0" borderId="41" xfId="0" applyFont="1" applyBorder="1" applyAlignment="1">
      <alignment horizontal="right" wrapText="1"/>
    </xf>
    <xf numFmtId="0" fontId="31" fillId="3" borderId="28" xfId="0" applyFont="1" applyFill="1" applyBorder="1" applyAlignment="1">
      <alignment horizontal="center" vertical="center" wrapText="1"/>
    </xf>
    <xf numFmtId="0" fontId="31" fillId="3" borderId="29" xfId="0" applyFont="1" applyFill="1" applyBorder="1" applyAlignment="1">
      <alignment horizontal="center" vertical="center" wrapText="1"/>
    </xf>
    <xf numFmtId="0" fontId="31" fillId="3" borderId="40" xfId="0" applyFont="1" applyFill="1" applyBorder="1" applyAlignment="1">
      <alignment horizontal="center" vertical="center" wrapText="1"/>
    </xf>
    <xf numFmtId="0" fontId="31" fillId="3" borderId="87"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44" xfId="0" applyFont="1" applyFill="1" applyBorder="1" applyAlignment="1">
      <alignment horizontal="center" vertical="center" wrapText="1"/>
    </xf>
    <xf numFmtId="0" fontId="32" fillId="0" borderId="31" xfId="0" applyFont="1" applyBorder="1" applyAlignment="1">
      <alignment horizontal="right"/>
    </xf>
    <xf numFmtId="0" fontId="32" fillId="0" borderId="0" xfId="0" applyFont="1" applyAlignment="1">
      <alignment horizontal="right"/>
    </xf>
    <xf numFmtId="0" fontId="32" fillId="0" borderId="41" xfId="0" applyFont="1" applyBorder="1" applyAlignment="1">
      <alignment horizontal="right"/>
    </xf>
    <xf numFmtId="0" fontId="31" fillId="0" borderId="79" xfId="0" applyFont="1" applyBorder="1" applyAlignment="1">
      <alignment horizontal="right" wrapText="1"/>
    </xf>
    <xf numFmtId="0" fontId="31" fillId="0" borderId="62" xfId="0" applyFont="1" applyBorder="1" applyAlignment="1">
      <alignment horizontal="right" wrapText="1"/>
    </xf>
    <xf numFmtId="0" fontId="31" fillId="0" borderId="65" xfId="0" applyFont="1" applyBorder="1" applyAlignment="1">
      <alignment horizontal="right" wrapText="1"/>
    </xf>
    <xf numFmtId="0" fontId="31" fillId="0" borderId="84" xfId="0" applyFont="1" applyBorder="1" applyAlignment="1">
      <alignment horizontal="center" vertical="center" wrapText="1"/>
    </xf>
    <xf numFmtId="0" fontId="31" fillId="0" borderId="84" xfId="0" applyFont="1" applyBorder="1" applyAlignment="1">
      <alignment horizontal="center" vertical="center"/>
    </xf>
    <xf numFmtId="0" fontId="31" fillId="0" borderId="67" xfId="0" applyFont="1" applyBorder="1" applyAlignment="1">
      <alignment horizontal="center" wrapText="1"/>
    </xf>
    <xf numFmtId="165" fontId="31" fillId="0" borderId="62" xfId="0" applyNumberFormat="1" applyFont="1" applyBorder="1" applyAlignment="1">
      <alignment horizontal="center"/>
    </xf>
    <xf numFmtId="165" fontId="31" fillId="0" borderId="65" xfId="0" applyNumberFormat="1" applyFont="1" applyBorder="1" applyAlignment="1">
      <alignment horizontal="center"/>
    </xf>
    <xf numFmtId="165" fontId="39" fillId="3" borderId="29" xfId="0" applyNumberFormat="1" applyFont="1" applyFill="1" applyBorder="1" applyAlignment="1">
      <alignment horizontal="center" vertical="center"/>
    </xf>
    <xf numFmtId="165" fontId="39" fillId="3" borderId="40" xfId="0" applyNumberFormat="1" applyFont="1" applyFill="1" applyBorder="1" applyAlignment="1">
      <alignment horizontal="center" vertical="center"/>
    </xf>
    <xf numFmtId="165" fontId="39" fillId="3" borderId="26" xfId="0" applyNumberFormat="1" applyFont="1" applyFill="1" applyBorder="1" applyAlignment="1">
      <alignment horizontal="center" vertical="center"/>
    </xf>
    <xf numFmtId="165" fontId="39" fillId="3" borderId="44" xfId="0" applyNumberFormat="1" applyFont="1" applyFill="1" applyBorder="1" applyAlignment="1">
      <alignment horizontal="center" vertical="center"/>
    </xf>
    <xf numFmtId="0" fontId="32" fillId="0" borderId="28" xfId="0" applyFont="1" applyBorder="1" applyAlignment="1">
      <alignment horizontal="right"/>
    </xf>
    <xf numFmtId="0" fontId="32" fillId="0" borderId="29" xfId="0" applyFont="1" applyBorder="1" applyAlignment="1">
      <alignment horizontal="right"/>
    </xf>
    <xf numFmtId="0" fontId="32" fillId="0" borderId="40" xfId="0" applyFont="1" applyBorder="1" applyAlignment="1">
      <alignment horizontal="right"/>
    </xf>
    <xf numFmtId="165" fontId="32" fillId="0" borderId="29" xfId="0" applyNumberFormat="1" applyFont="1" applyBorder="1" applyAlignment="1">
      <alignment horizontal="center"/>
    </xf>
    <xf numFmtId="165" fontId="32" fillId="0" borderId="40" xfId="0" applyNumberFormat="1" applyFont="1" applyBorder="1" applyAlignment="1">
      <alignment horizontal="center"/>
    </xf>
    <xf numFmtId="0" fontId="32" fillId="0" borderId="31" xfId="0" applyFont="1" applyBorder="1" applyAlignment="1">
      <alignment horizontal="right" wrapText="1"/>
    </xf>
    <xf numFmtId="0" fontId="32" fillId="0" borderId="0" xfId="0" applyFont="1" applyAlignment="1">
      <alignment horizontal="right" wrapText="1"/>
    </xf>
    <xf numFmtId="0" fontId="32" fillId="0" borderId="41" xfId="0" applyFont="1" applyBorder="1" applyAlignment="1">
      <alignment horizontal="right" wrapText="1"/>
    </xf>
    <xf numFmtId="0" fontId="32" fillId="0" borderId="87" xfId="0" applyFont="1" applyBorder="1" applyAlignment="1">
      <alignment horizontal="right" wrapText="1"/>
    </xf>
    <xf numFmtId="0" fontId="32" fillId="0" borderId="26" xfId="0" applyFont="1" applyBorder="1" applyAlignment="1">
      <alignment horizontal="right" wrapText="1"/>
    </xf>
    <xf numFmtId="0" fontId="32" fillId="0" borderId="44" xfId="0" applyFont="1" applyBorder="1" applyAlignment="1">
      <alignment horizontal="right" wrapText="1"/>
    </xf>
    <xf numFmtId="170" fontId="34" fillId="0" borderId="0" xfId="0" applyNumberFormat="1" applyFont="1" applyAlignment="1">
      <alignment horizontal="left"/>
    </xf>
    <xf numFmtId="170" fontId="32" fillId="41" borderId="0" xfId="0" applyNumberFormat="1" applyFont="1" applyFill="1" applyAlignment="1">
      <alignment horizontal="left"/>
    </xf>
    <xf numFmtId="165" fontId="32" fillId="0" borderId="0" xfId="0" applyNumberFormat="1" applyFont="1" applyAlignment="1">
      <alignment horizontal="center"/>
    </xf>
    <xf numFmtId="165" fontId="32" fillId="0" borderId="41" xfId="0" applyNumberFormat="1" applyFont="1" applyBorder="1" applyAlignment="1">
      <alignment horizontal="center"/>
    </xf>
    <xf numFmtId="165" fontId="32" fillId="0" borderId="26" xfId="0" applyNumberFormat="1" applyFont="1" applyBorder="1" applyAlignment="1">
      <alignment horizontal="center"/>
    </xf>
    <xf numFmtId="165" fontId="32" fillId="0" borderId="44" xfId="0" applyNumberFormat="1" applyFont="1" applyBorder="1" applyAlignment="1">
      <alignment horizontal="center"/>
    </xf>
    <xf numFmtId="165" fontId="33" fillId="0" borderId="0" xfId="0" applyNumberFormat="1" applyFont="1" applyAlignment="1">
      <alignment horizontal="center"/>
    </xf>
    <xf numFmtId="14" fontId="32" fillId="0" borderId="0" xfId="0" applyNumberFormat="1" applyFont="1" applyAlignment="1">
      <alignment horizontal="center"/>
    </xf>
    <xf numFmtId="14" fontId="32" fillId="41" borderId="34" xfId="0" applyNumberFormat="1" applyFont="1" applyFill="1" applyBorder="1" applyAlignment="1">
      <alignment horizontal="center"/>
    </xf>
    <xf numFmtId="14" fontId="32" fillId="41" borderId="85" xfId="0" applyNumberFormat="1" applyFont="1" applyFill="1" applyBorder="1" applyAlignment="1">
      <alignment horizontal="center"/>
    </xf>
    <xf numFmtId="165" fontId="34" fillId="0" borderId="67" xfId="0" applyNumberFormat="1" applyFont="1" applyBorder="1" applyAlignment="1">
      <alignment horizontal="center"/>
    </xf>
    <xf numFmtId="0" fontId="63" fillId="0" borderId="0" xfId="0" applyFont="1" applyAlignment="1">
      <alignment horizontal="center"/>
    </xf>
    <xf numFmtId="0" fontId="45" fillId="0" borderId="0" xfId="0" applyFont="1" applyAlignment="1">
      <alignment horizontal="left" vertical="top" wrapText="1"/>
    </xf>
    <xf numFmtId="0" fontId="34" fillId="0" borderId="0" xfId="0" applyFont="1" applyAlignment="1">
      <alignment horizontal="right"/>
    </xf>
    <xf numFmtId="0" fontId="34" fillId="39" borderId="0" xfId="0" applyFont="1" applyFill="1" applyAlignment="1" applyProtection="1">
      <alignment horizontal="left" vertical="top" wrapText="1"/>
      <protection locked="0"/>
    </xf>
    <xf numFmtId="0" fontId="34" fillId="44" borderId="0" xfId="0" applyFont="1" applyFill="1" applyAlignment="1">
      <alignment horizontal="right"/>
    </xf>
    <xf numFmtId="0" fontId="34" fillId="0" borderId="0" xfId="0" applyFont="1" applyAlignment="1">
      <alignment horizontal="right" vertical="top" wrapText="1"/>
    </xf>
    <xf numFmtId="0" fontId="38" fillId="0" borderId="0" xfId="0" applyFont="1" applyAlignment="1">
      <alignment horizontal="left" vertical="top" wrapText="1"/>
    </xf>
    <xf numFmtId="0" fontId="34" fillId="0" borderId="0" xfId="0" applyFont="1" applyAlignment="1">
      <alignment horizontal="center" vertical="top" wrapText="1"/>
    </xf>
    <xf numFmtId="0" fontId="39" fillId="2" borderId="0" xfId="0" applyFont="1" applyFill="1" applyAlignment="1">
      <alignment horizontal="left"/>
    </xf>
    <xf numFmtId="165" fontId="32" fillId="0" borderId="82" xfId="0" applyNumberFormat="1" applyFont="1" applyBorder="1" applyAlignment="1" applyProtection="1">
      <alignment horizontal="center" vertical="center"/>
      <protection locked="0"/>
    </xf>
    <xf numFmtId="165" fontId="32" fillId="0" borderId="1" xfId="0" applyNumberFormat="1" applyFont="1" applyBorder="1" applyAlignment="1" applyProtection="1">
      <alignment horizontal="center" vertical="center"/>
      <protection locked="0"/>
    </xf>
    <xf numFmtId="165" fontId="32" fillId="0" borderId="46" xfId="0" applyNumberFormat="1" applyFont="1" applyBorder="1" applyAlignment="1" applyProtection="1">
      <alignment horizontal="center" vertical="center"/>
      <protection locked="0"/>
    </xf>
    <xf numFmtId="165" fontId="32" fillId="0" borderId="11" xfId="0" applyNumberFormat="1" applyFont="1" applyBorder="1" applyAlignment="1" applyProtection="1">
      <alignment horizontal="center" vertical="center"/>
      <protection locked="0"/>
    </xf>
    <xf numFmtId="165" fontId="32" fillId="0" borderId="84" xfId="0" applyNumberFormat="1" applyFont="1" applyBorder="1" applyAlignment="1" applyProtection="1">
      <alignment horizontal="center" vertical="center"/>
      <protection locked="0"/>
    </xf>
    <xf numFmtId="165" fontId="32" fillId="0" borderId="2" xfId="0" applyNumberFormat="1" applyFont="1" applyBorder="1" applyAlignment="1" applyProtection="1">
      <alignment horizontal="center" vertical="center"/>
      <protection locked="0"/>
    </xf>
    <xf numFmtId="0" fontId="32" fillId="4" borderId="82" xfId="0" applyFont="1" applyFill="1" applyBorder="1" applyAlignment="1">
      <alignment horizontal="center" vertical="center"/>
    </xf>
    <xf numFmtId="0" fontId="32" fillId="4" borderId="46" xfId="0" applyFont="1" applyFill="1" applyBorder="1" applyAlignment="1">
      <alignment horizontal="center" vertical="center"/>
    </xf>
    <xf numFmtId="0" fontId="32" fillId="4" borderId="84" xfId="0" applyFont="1" applyFill="1" applyBorder="1" applyAlignment="1">
      <alignment horizontal="center" vertical="center"/>
    </xf>
    <xf numFmtId="9" fontId="32" fillId="2" borderId="11" xfId="0" applyNumberFormat="1" applyFont="1" applyFill="1" applyBorder="1" applyAlignment="1">
      <alignment horizontal="center" vertical="center"/>
    </xf>
    <xf numFmtId="9" fontId="32" fillId="2" borderId="15" xfId="0" applyNumberFormat="1" applyFont="1" applyFill="1" applyBorder="1" applyAlignment="1">
      <alignment horizontal="center" vertical="center"/>
    </xf>
    <xf numFmtId="9" fontId="32" fillId="2" borderId="5" xfId="0" applyNumberFormat="1" applyFont="1" applyFill="1" applyBorder="1" applyAlignment="1">
      <alignment horizontal="center" vertical="center"/>
    </xf>
    <xf numFmtId="49" fontId="32" fillId="2" borderId="81" xfId="0" applyNumberFormat="1" applyFont="1" applyFill="1" applyBorder="1" applyAlignment="1">
      <alignment horizontal="left" vertical="top" wrapText="1"/>
    </xf>
    <xf numFmtId="49" fontId="32" fillId="2" borderId="82" xfId="0" applyNumberFormat="1" applyFont="1" applyFill="1" applyBorder="1" applyAlignment="1">
      <alignment horizontal="left" vertical="top" wrapText="1"/>
    </xf>
    <xf numFmtId="9" fontId="32" fillId="2" borderId="60" xfId="0" applyNumberFormat="1" applyFont="1" applyFill="1" applyBorder="1" applyAlignment="1">
      <alignment horizontal="center" vertical="center"/>
    </xf>
    <xf numFmtId="49" fontId="32" fillId="2" borderId="80" xfId="0" applyNumberFormat="1" applyFont="1" applyFill="1" applyBorder="1" applyAlignment="1">
      <alignment horizontal="left" vertical="top" wrapText="1"/>
    </xf>
    <xf numFmtId="49" fontId="32" fillId="2" borderId="67" xfId="0" applyNumberFormat="1" applyFont="1" applyFill="1" applyBorder="1" applyAlignment="1">
      <alignment horizontal="left" vertical="top" wrapText="1"/>
    </xf>
    <xf numFmtId="49" fontId="32" fillId="0" borderId="28" xfId="0" applyNumberFormat="1" applyFont="1" applyBorder="1" applyAlignment="1">
      <alignment horizontal="center" vertical="center"/>
    </xf>
    <xf numFmtId="49" fontId="32" fillId="0" borderId="29" xfId="0" applyNumberFormat="1" applyFont="1" applyBorder="1" applyAlignment="1">
      <alignment horizontal="center" vertical="center"/>
    </xf>
    <xf numFmtId="49" fontId="32" fillId="0" borderId="40" xfId="0" applyNumberFormat="1" applyFont="1" applyBorder="1" applyAlignment="1">
      <alignment horizontal="center" vertical="center"/>
    </xf>
    <xf numFmtId="49" fontId="32" fillId="0" borderId="87" xfId="0" applyNumberFormat="1" applyFont="1" applyBorder="1" applyAlignment="1">
      <alignment horizontal="center" vertical="center"/>
    </xf>
    <xf numFmtId="49" fontId="32" fillId="0" borderId="26" xfId="0" applyNumberFormat="1" applyFont="1" applyBorder="1" applyAlignment="1">
      <alignment horizontal="center" vertical="center"/>
    </xf>
    <xf numFmtId="49" fontId="32" fillId="0" borderId="44" xfId="0" applyNumberFormat="1" applyFont="1" applyBorder="1" applyAlignment="1">
      <alignment horizontal="center" vertical="center"/>
    </xf>
    <xf numFmtId="10" fontId="32" fillId="0" borderId="29" xfId="0" applyNumberFormat="1" applyFont="1" applyBorder="1" applyAlignment="1">
      <alignment horizontal="center" vertical="center"/>
    </xf>
    <xf numFmtId="10" fontId="32" fillId="0" borderId="40" xfId="0" applyNumberFormat="1" applyFont="1" applyBorder="1" applyAlignment="1">
      <alignment horizontal="center" vertical="center"/>
    </xf>
    <xf numFmtId="10" fontId="32" fillId="0" borderId="0" xfId="0" applyNumberFormat="1" applyFont="1" applyAlignment="1">
      <alignment horizontal="center" vertical="center"/>
    </xf>
    <xf numFmtId="10" fontId="32" fillId="0" borderId="41" xfId="0" applyNumberFormat="1" applyFont="1" applyBorder="1" applyAlignment="1">
      <alignment horizontal="center" vertical="center"/>
    </xf>
    <xf numFmtId="10" fontId="32" fillId="0" borderId="26" xfId="0" applyNumberFormat="1" applyFont="1" applyBorder="1" applyAlignment="1">
      <alignment horizontal="center" vertical="center"/>
    </xf>
    <xf numFmtId="10" fontId="32" fillId="0" borderId="44" xfId="0" applyNumberFormat="1" applyFont="1" applyBorder="1" applyAlignment="1">
      <alignment horizontal="center" vertical="center"/>
    </xf>
    <xf numFmtId="10" fontId="32" fillId="0" borderId="55" xfId="0" applyNumberFormat="1" applyFont="1" applyFill="1" applyBorder="1" applyAlignment="1">
      <alignment horizontal="center" vertical="center" wrapText="1"/>
    </xf>
    <xf numFmtId="10" fontId="32" fillId="0" borderId="50" xfId="0" applyNumberFormat="1" applyFont="1" applyFill="1" applyBorder="1" applyAlignment="1">
      <alignment horizontal="center" vertical="center" wrapText="1"/>
    </xf>
    <xf numFmtId="0" fontId="32" fillId="4" borderId="14" xfId="0" applyFont="1" applyFill="1" applyBorder="1" applyAlignment="1">
      <alignment horizontal="center" vertical="center"/>
    </xf>
    <xf numFmtId="0" fontId="32" fillId="4" borderId="7" xfId="0" applyFont="1" applyFill="1" applyBorder="1" applyAlignment="1">
      <alignment horizontal="center" vertical="center"/>
    </xf>
    <xf numFmtId="165" fontId="32" fillId="0" borderId="39" xfId="0" applyNumberFormat="1" applyFont="1" applyBorder="1" applyAlignment="1" applyProtection="1">
      <alignment horizontal="center" vertical="center"/>
      <protection locked="0"/>
    </xf>
    <xf numFmtId="165" fontId="32" fillId="0" borderId="42" xfId="0" applyNumberFormat="1" applyFont="1" applyBorder="1" applyAlignment="1" applyProtection="1">
      <alignment horizontal="center" vertical="center"/>
      <protection locked="0"/>
    </xf>
    <xf numFmtId="165" fontId="32" fillId="0" borderId="47" xfId="0" applyNumberFormat="1" applyFont="1" applyBorder="1" applyAlignment="1" applyProtection="1">
      <alignment horizontal="center" vertical="center"/>
      <protection locked="0"/>
    </xf>
    <xf numFmtId="165" fontId="32" fillId="0" borderId="41" xfId="0" applyNumberFormat="1" applyFont="1" applyBorder="1" applyAlignment="1" applyProtection="1">
      <alignment horizontal="center" vertical="center"/>
      <protection locked="0"/>
    </xf>
    <xf numFmtId="165" fontId="32" fillId="0" borderId="53" xfId="0" applyNumberFormat="1" applyFont="1" applyBorder="1" applyAlignment="1" applyProtection="1">
      <alignment horizontal="center" vertical="center"/>
      <protection locked="0"/>
    </xf>
    <xf numFmtId="165" fontId="32" fillId="0" borderId="44" xfId="0" applyNumberFormat="1" applyFont="1" applyBorder="1" applyAlignment="1" applyProtection="1">
      <alignment horizontal="center" vertical="center"/>
      <protection locked="0"/>
    </xf>
    <xf numFmtId="9" fontId="32" fillId="0" borderId="92" xfId="0" applyNumberFormat="1" applyFont="1" applyBorder="1" applyAlignment="1">
      <alignment horizontal="center" vertical="center"/>
    </xf>
    <xf numFmtId="9" fontId="32" fillId="0" borderId="9" xfId="0" applyNumberFormat="1" applyFont="1" applyBorder="1" applyAlignment="1">
      <alignment horizontal="center" vertical="center"/>
    </xf>
    <xf numFmtId="9" fontId="32" fillId="2" borderId="1" xfId="0" applyNumberFormat="1" applyFont="1" applyFill="1" applyBorder="1" applyAlignment="1">
      <alignment horizontal="center" vertical="center"/>
    </xf>
    <xf numFmtId="9" fontId="32" fillId="2" borderId="39" xfId="0" applyNumberFormat="1" applyFont="1" applyFill="1" applyBorder="1" applyAlignment="1">
      <alignment horizontal="center" vertical="center"/>
    </xf>
    <xf numFmtId="9" fontId="32" fillId="2" borderId="61" xfId="0" applyNumberFormat="1" applyFont="1" applyFill="1" applyBorder="1" applyAlignment="1">
      <alignment horizontal="center" vertical="center"/>
    </xf>
    <xf numFmtId="10" fontId="32" fillId="0" borderId="54" xfId="0" applyNumberFormat="1" applyFont="1" applyBorder="1" applyAlignment="1">
      <alignment horizontal="center" vertical="center" wrapText="1"/>
    </xf>
    <xf numFmtId="10" fontId="32" fillId="0" borderId="49" xfId="0" applyNumberFormat="1" applyFont="1" applyBorder="1" applyAlignment="1">
      <alignment horizontal="center" vertical="center" wrapText="1"/>
    </xf>
    <xf numFmtId="10" fontId="32" fillId="0" borderId="52" xfId="0" applyNumberFormat="1" applyFont="1" applyBorder="1" applyAlignment="1">
      <alignment horizontal="center" vertical="center" wrapText="1"/>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0" xfId="0" applyFont="1" applyAlignment="1">
      <alignment horizontal="center" vertical="center" wrapText="1"/>
    </xf>
    <xf numFmtId="0" fontId="32" fillId="0" borderId="87" xfId="0" applyFont="1" applyBorder="1" applyAlignment="1">
      <alignment horizontal="center" vertical="center" wrapText="1"/>
    </xf>
    <xf numFmtId="0" fontId="32" fillId="0" borderId="26" xfId="0" applyFont="1" applyBorder="1" applyAlignment="1">
      <alignment horizontal="center" vertical="center" wrapText="1"/>
    </xf>
    <xf numFmtId="165" fontId="32" fillId="0" borderId="67" xfId="0" applyNumberFormat="1" applyFont="1" applyBorder="1" applyAlignment="1" applyProtection="1">
      <alignment horizontal="center" vertical="center"/>
      <protection locked="0"/>
    </xf>
    <xf numFmtId="165" fontId="32" fillId="0" borderId="12" xfId="0" applyNumberFormat="1" applyFont="1" applyBorder="1" applyAlignment="1" applyProtection="1">
      <alignment horizontal="center" vertical="center"/>
      <protection locked="0"/>
    </xf>
    <xf numFmtId="165" fontId="32" fillId="0" borderId="13" xfId="0" applyNumberFormat="1" applyFont="1" applyBorder="1" applyAlignment="1">
      <alignment horizontal="center" vertical="center"/>
    </xf>
    <xf numFmtId="165" fontId="32" fillId="0" borderId="16" xfId="0" applyNumberFormat="1" applyFont="1" applyBorder="1" applyAlignment="1">
      <alignment horizontal="center" vertical="center"/>
    </xf>
    <xf numFmtId="165" fontId="32" fillId="0" borderId="14" xfId="0" applyNumberFormat="1" applyFont="1" applyBorder="1" applyAlignment="1">
      <alignment horizontal="center" vertical="center"/>
    </xf>
    <xf numFmtId="165" fontId="32" fillId="0" borderId="15" xfId="0" applyNumberFormat="1" applyFont="1" applyBorder="1" applyAlignment="1">
      <alignment horizontal="center" vertical="center"/>
    </xf>
    <xf numFmtId="165" fontId="32" fillId="0" borderId="7" xfId="0" applyNumberFormat="1" applyFont="1" applyBorder="1" applyAlignment="1">
      <alignment horizontal="center" vertical="center"/>
    </xf>
    <xf numFmtId="165" fontId="32" fillId="0" borderId="8" xfId="0" applyNumberFormat="1" applyFont="1" applyBorder="1" applyAlignment="1">
      <alignment horizontal="center" vertical="center"/>
    </xf>
    <xf numFmtId="9" fontId="32" fillId="2" borderId="63" xfId="0" applyNumberFormat="1" applyFont="1" applyFill="1" applyBorder="1" applyAlignment="1">
      <alignment horizontal="center" vertical="center"/>
    </xf>
    <xf numFmtId="9" fontId="32" fillId="2" borderId="45" xfId="0" applyNumberFormat="1" applyFont="1" applyFill="1" applyBorder="1" applyAlignment="1">
      <alignment horizontal="center" vertical="center"/>
    </xf>
    <xf numFmtId="165" fontId="31" fillId="0" borderId="28" xfId="0" applyNumberFormat="1" applyFont="1" applyBorder="1" applyAlignment="1">
      <alignment horizontal="center" vertical="center" wrapText="1"/>
    </xf>
    <xf numFmtId="165" fontId="31" fillId="0" borderId="29" xfId="0" applyNumberFormat="1" applyFont="1" applyBorder="1" applyAlignment="1">
      <alignment horizontal="center" vertical="center" wrapText="1"/>
    </xf>
    <xf numFmtId="165" fontId="31" fillId="0" borderId="40" xfId="0" applyNumberFormat="1" applyFont="1" applyBorder="1" applyAlignment="1">
      <alignment horizontal="center" vertical="center" wrapText="1"/>
    </xf>
    <xf numFmtId="165" fontId="31" fillId="0" borderId="31" xfId="0" applyNumberFormat="1" applyFont="1" applyBorder="1" applyAlignment="1">
      <alignment horizontal="center" vertical="center" wrapText="1"/>
    </xf>
    <xf numFmtId="165" fontId="31" fillId="0" borderId="0" xfId="0" applyNumberFormat="1" applyFont="1" applyAlignment="1">
      <alignment horizontal="center" vertical="center" wrapText="1"/>
    </xf>
    <xf numFmtId="165" fontId="31" fillId="0" borderId="41" xfId="0" applyNumberFormat="1" applyFont="1" applyBorder="1" applyAlignment="1">
      <alignment horizontal="center" vertical="center" wrapText="1"/>
    </xf>
    <xf numFmtId="165" fontId="31" fillId="0" borderId="87" xfId="0" applyNumberFormat="1" applyFont="1" applyBorder="1" applyAlignment="1">
      <alignment horizontal="center" vertical="center" wrapText="1"/>
    </xf>
    <xf numFmtId="165" fontId="31" fillId="0" borderId="26" xfId="0" applyNumberFormat="1" applyFont="1" applyBorder="1" applyAlignment="1">
      <alignment horizontal="center" vertical="center" wrapText="1"/>
    </xf>
    <xf numFmtId="165" fontId="31" fillId="0" borderId="44" xfId="0" applyNumberFormat="1" applyFont="1" applyBorder="1" applyAlignment="1">
      <alignment horizontal="center" vertical="center" wrapText="1"/>
    </xf>
    <xf numFmtId="165" fontId="32" fillId="0" borderId="13" xfId="0" applyNumberFormat="1" applyFont="1" applyBorder="1" applyAlignment="1">
      <alignment horizontal="center" vertical="center" wrapText="1"/>
    </xf>
    <xf numFmtId="165" fontId="32" fillId="0" borderId="16" xfId="0" applyNumberFormat="1" applyFont="1" applyBorder="1" applyAlignment="1">
      <alignment horizontal="center" vertical="center" wrapText="1"/>
    </xf>
    <xf numFmtId="165" fontId="32" fillId="0" borderId="14" xfId="0" applyNumberFormat="1" applyFont="1" applyBorder="1" applyAlignment="1">
      <alignment horizontal="center" vertical="center" wrapText="1"/>
    </xf>
    <xf numFmtId="165" fontId="32" fillId="0" borderId="15" xfId="0" applyNumberFormat="1" applyFont="1" applyBorder="1" applyAlignment="1">
      <alignment horizontal="center" vertical="center" wrapText="1"/>
    </xf>
    <xf numFmtId="165" fontId="32" fillId="0" borderId="7" xfId="0" applyNumberFormat="1" applyFont="1" applyBorder="1" applyAlignment="1">
      <alignment horizontal="center" vertical="center" wrapText="1"/>
    </xf>
    <xf numFmtId="165" fontId="32" fillId="0" borderId="8" xfId="0" applyNumberFormat="1" applyFont="1" applyBorder="1" applyAlignment="1">
      <alignment horizontal="center" vertical="center" wrapText="1"/>
    </xf>
    <xf numFmtId="165" fontId="32" fillId="0" borderId="79" xfId="0" applyNumberFormat="1" applyFont="1" applyBorder="1" applyAlignment="1">
      <alignment horizontal="center" vertical="center"/>
    </xf>
    <xf numFmtId="165" fontId="32" fillId="0" borderId="62" xfId="0" applyNumberFormat="1" applyFont="1" applyBorder="1" applyAlignment="1">
      <alignment horizontal="center" vertical="center"/>
    </xf>
    <xf numFmtId="165" fontId="32" fillId="0" borderId="65" xfId="0" applyNumberFormat="1" applyFont="1" applyBorder="1" applyAlignment="1">
      <alignment horizontal="center" vertical="center"/>
    </xf>
    <xf numFmtId="49" fontId="31" fillId="0" borderId="41" xfId="0" applyNumberFormat="1" applyFont="1" applyBorder="1" applyAlignment="1">
      <alignment horizontal="right" vertical="center"/>
    </xf>
    <xf numFmtId="0" fontId="31" fillId="0" borderId="29" xfId="0" applyFont="1" applyBorder="1" applyAlignment="1">
      <alignment horizontal="center" vertical="center" wrapText="1"/>
    </xf>
    <xf numFmtId="0" fontId="31" fillId="0" borderId="26" xfId="0" applyFont="1" applyBorder="1" applyAlignment="1">
      <alignment horizontal="center" vertical="center" wrapText="1"/>
    </xf>
    <xf numFmtId="10" fontId="32" fillId="0" borderId="86" xfId="0" applyNumberFormat="1" applyFont="1" applyBorder="1" applyAlignment="1">
      <alignment horizontal="center" vertical="center" wrapText="1"/>
    </xf>
    <xf numFmtId="10" fontId="32" fillId="0" borderId="50" xfId="0" applyNumberFormat="1" applyFont="1" applyBorder="1" applyAlignment="1">
      <alignment horizontal="center" vertical="center" wrapText="1"/>
    </xf>
    <xf numFmtId="165" fontId="32" fillId="0" borderId="39" xfId="0" applyNumberFormat="1" applyFont="1" applyBorder="1" applyAlignment="1">
      <alignment horizontal="center" vertical="center" wrapText="1"/>
    </xf>
    <xf numFmtId="165" fontId="32" fillId="0" borderId="42" xfId="0" applyNumberFormat="1" applyFont="1" applyBorder="1" applyAlignment="1">
      <alignment horizontal="center" vertical="center" wrapText="1"/>
    </xf>
    <xf numFmtId="165" fontId="32" fillId="0" borderId="47" xfId="0" applyNumberFormat="1" applyFont="1" applyBorder="1" applyAlignment="1">
      <alignment horizontal="center" vertical="center" wrapText="1"/>
    </xf>
    <xf numFmtId="165" fontId="32" fillId="0" borderId="41" xfId="0" applyNumberFormat="1" applyFont="1" applyBorder="1" applyAlignment="1">
      <alignment horizontal="center" vertical="center" wrapText="1"/>
    </xf>
    <xf numFmtId="165" fontId="32" fillId="0" borderId="45" xfId="0" applyNumberFormat="1" applyFont="1" applyBorder="1" applyAlignment="1">
      <alignment horizontal="center" vertical="center"/>
    </xf>
    <xf numFmtId="165" fontId="32" fillId="0" borderId="56" xfId="0" applyNumberFormat="1" applyFont="1" applyBorder="1" applyAlignment="1">
      <alignment horizontal="center" vertical="center"/>
    </xf>
    <xf numFmtId="49" fontId="32" fillId="2" borderId="36" xfId="0" applyNumberFormat="1" applyFont="1" applyFill="1" applyBorder="1" applyAlignment="1">
      <alignment horizontal="center" vertical="top" wrapText="1"/>
    </xf>
    <xf numFmtId="49" fontId="32" fillId="2" borderId="37" xfId="0" applyNumberFormat="1" applyFont="1" applyFill="1" applyBorder="1" applyAlignment="1">
      <alignment horizontal="center" vertical="top" wrapText="1"/>
    </xf>
    <xf numFmtId="49" fontId="32" fillId="2" borderId="86" xfId="0" applyNumberFormat="1" applyFont="1" applyFill="1" applyBorder="1" applyAlignment="1">
      <alignment horizontal="center" vertical="top" wrapText="1"/>
    </xf>
    <xf numFmtId="49" fontId="32" fillId="2" borderId="31" xfId="0" applyNumberFormat="1" applyFont="1" applyFill="1" applyBorder="1" applyAlignment="1">
      <alignment horizontal="center" vertical="top" wrapText="1"/>
    </xf>
    <xf numFmtId="49" fontId="32" fillId="2" borderId="50" xfId="0" applyNumberFormat="1" applyFont="1" applyFill="1" applyBorder="1" applyAlignment="1">
      <alignment horizontal="center" vertical="top" wrapText="1"/>
    </xf>
    <xf numFmtId="49" fontId="32" fillId="2" borderId="87" xfId="0" applyNumberFormat="1" applyFont="1" applyFill="1" applyBorder="1" applyAlignment="1">
      <alignment horizontal="center" vertical="top" wrapText="1"/>
    </xf>
    <xf numFmtId="49" fontId="32" fillId="2" borderId="26" xfId="0" applyNumberFormat="1" applyFont="1" applyFill="1" applyBorder="1" applyAlignment="1">
      <alignment horizontal="center" vertical="top" wrapText="1"/>
    </xf>
    <xf numFmtId="49" fontId="32" fillId="2" borderId="88" xfId="0" applyNumberFormat="1" applyFont="1" applyFill="1" applyBorder="1" applyAlignment="1">
      <alignment horizontal="center" vertical="top" wrapText="1"/>
    </xf>
    <xf numFmtId="0" fontId="32" fillId="0" borderId="31" xfId="0" applyFont="1" applyBorder="1" applyAlignment="1">
      <alignment horizontal="left" vertical="top" wrapText="1"/>
    </xf>
    <xf numFmtId="0" fontId="32" fillId="0" borderId="50" xfId="0" applyFont="1" applyBorder="1" applyAlignment="1">
      <alignment horizontal="left" vertical="top" wrapText="1"/>
    </xf>
    <xf numFmtId="0" fontId="32" fillId="0" borderId="33" xfId="0" applyFont="1" applyBorder="1" applyAlignment="1">
      <alignment horizontal="left" vertical="top" wrapText="1"/>
    </xf>
    <xf numFmtId="0" fontId="32" fillId="0" borderId="27" xfId="0" applyFont="1" applyBorder="1" applyAlignment="1">
      <alignment horizontal="left" vertical="top" wrapText="1"/>
    </xf>
    <xf numFmtId="0" fontId="32" fillId="0" borderId="85" xfId="0" applyFont="1" applyBorder="1" applyAlignment="1">
      <alignment horizontal="left" vertical="top" wrapText="1"/>
    </xf>
    <xf numFmtId="0" fontId="32" fillId="0" borderId="36" xfId="0" applyFont="1" applyBorder="1" applyAlignment="1">
      <alignment horizontal="left" vertical="top" wrapText="1"/>
    </xf>
    <xf numFmtId="0" fontId="32" fillId="0" borderId="37" xfId="0" applyFont="1" applyBorder="1" applyAlignment="1">
      <alignment horizontal="left" vertical="top" wrapText="1"/>
    </xf>
    <xf numFmtId="0" fontId="32" fillId="0" borderId="86" xfId="0" applyFont="1" applyBorder="1" applyAlignment="1">
      <alignment horizontal="left" vertical="top" wrapText="1"/>
    </xf>
    <xf numFmtId="9" fontId="32" fillId="2" borderId="47" xfId="0" applyNumberFormat="1" applyFont="1" applyFill="1" applyBorder="1" applyAlignment="1">
      <alignment horizontal="center" vertical="center"/>
    </xf>
    <xf numFmtId="9" fontId="32" fillId="2" borderId="34" xfId="0" applyNumberFormat="1" applyFont="1" applyFill="1" applyBorder="1" applyAlignment="1">
      <alignment horizontal="center" vertical="center"/>
    </xf>
    <xf numFmtId="0" fontId="31" fillId="0" borderId="79" xfId="0" applyFont="1" applyBorder="1" applyAlignment="1">
      <alignment horizontal="left"/>
    </xf>
    <xf numFmtId="0" fontId="31" fillId="0" borderId="62" xfId="0" applyFont="1" applyBorder="1" applyAlignment="1">
      <alignment horizontal="left"/>
    </xf>
    <xf numFmtId="0" fontId="31" fillId="0" borderId="66" xfId="0" applyFont="1" applyBorder="1" applyAlignment="1">
      <alignment horizontal="left"/>
    </xf>
    <xf numFmtId="3" fontId="35" fillId="40" borderId="16" xfId="0" applyNumberFormat="1" applyFont="1" applyFill="1" applyBorder="1" applyAlignment="1">
      <alignment horizontal="center" vertical="center" wrapText="1"/>
    </xf>
    <xf numFmtId="3" fontId="35" fillId="40" borderId="15" xfId="0" applyNumberFormat="1" applyFont="1" applyFill="1" applyBorder="1" applyAlignment="1">
      <alignment horizontal="center" vertical="center" wrapText="1"/>
    </xf>
    <xf numFmtId="3" fontId="35" fillId="40" borderId="8" xfId="0" applyNumberFormat="1" applyFont="1" applyFill="1" applyBorder="1" applyAlignment="1">
      <alignment horizontal="center" vertical="center" wrapText="1"/>
    </xf>
    <xf numFmtId="9" fontId="32" fillId="2" borderId="59" xfId="0" applyNumberFormat="1" applyFont="1" applyFill="1" applyBorder="1" applyAlignment="1">
      <alignment horizontal="center" vertical="center"/>
    </xf>
    <xf numFmtId="0" fontId="32" fillId="0" borderId="69" xfId="0" applyFont="1" applyBorder="1" applyAlignment="1">
      <alignment vertical="top" wrapText="1"/>
    </xf>
    <xf numFmtId="0" fontId="32" fillId="0" borderId="45" xfId="0" applyFont="1" applyBorder="1" applyAlignment="1">
      <alignment vertical="top" wrapText="1"/>
    </xf>
    <xf numFmtId="0" fontId="32" fillId="0" borderId="73" xfId="0" applyFont="1" applyBorder="1" applyAlignment="1">
      <alignment vertical="top" wrapText="1"/>
    </xf>
    <xf numFmtId="0" fontId="32" fillId="0" borderId="36" xfId="0" applyFont="1" applyBorder="1" applyAlignment="1">
      <alignment vertical="top" wrapText="1"/>
    </xf>
    <xf numFmtId="0" fontId="32" fillId="0" borderId="37" xfId="0" applyFont="1" applyBorder="1" applyAlignment="1">
      <alignment vertical="top" wrapText="1"/>
    </xf>
    <xf numFmtId="0" fontId="32" fillId="0" borderId="86" xfId="0" applyFont="1" applyBorder="1" applyAlignment="1">
      <alignment vertical="top" wrapText="1"/>
    </xf>
    <xf numFmtId="0" fontId="32" fillId="0" borderId="33" xfId="0" applyFont="1" applyBorder="1" applyAlignment="1">
      <alignment vertical="top" wrapText="1"/>
    </xf>
    <xf numFmtId="0" fontId="32" fillId="0" borderId="27" xfId="0" applyFont="1" applyBorder="1" applyAlignment="1">
      <alignment vertical="top" wrapText="1"/>
    </xf>
    <xf numFmtId="0" fontId="32" fillId="0" borderId="85" xfId="0" applyFont="1" applyBorder="1" applyAlignment="1">
      <alignment vertical="top" wrapText="1"/>
    </xf>
    <xf numFmtId="0" fontId="32" fillId="0" borderId="81" xfId="0" applyFont="1" applyBorder="1" applyAlignment="1">
      <alignment horizontal="left" vertical="center" wrapText="1"/>
    </xf>
    <xf numFmtId="0" fontId="32" fillId="0" borderId="82" xfId="0" applyFont="1" applyBorder="1" applyAlignment="1">
      <alignment horizontal="left" vertical="center" wrapText="1"/>
    </xf>
    <xf numFmtId="0" fontId="32" fillId="0" borderId="76" xfId="0" applyFont="1" applyBorder="1" applyAlignment="1">
      <alignment horizontal="left" vertical="center" wrapText="1"/>
    </xf>
    <xf numFmtId="0" fontId="32" fillId="0" borderId="84" xfId="0" applyFont="1" applyBorder="1" applyAlignment="1">
      <alignment horizontal="left" vertical="center" wrapText="1"/>
    </xf>
    <xf numFmtId="9" fontId="32" fillId="2" borderId="2" xfId="0" applyNumberFormat="1" applyFont="1" applyFill="1" applyBorder="1" applyAlignment="1">
      <alignment horizontal="center" vertical="center"/>
    </xf>
    <xf numFmtId="0" fontId="32" fillId="0" borderId="69" xfId="0" applyFont="1" applyBorder="1" applyAlignment="1">
      <alignment horizontal="left" vertical="center" wrapText="1"/>
    </xf>
    <xf numFmtId="0" fontId="32" fillId="0" borderId="45" xfId="0" applyFont="1" applyBorder="1" applyAlignment="1">
      <alignment horizontal="left" vertical="center" wrapText="1"/>
    </xf>
    <xf numFmtId="0" fontId="32" fillId="0" borderId="73" xfId="0" applyFont="1" applyBorder="1" applyAlignment="1">
      <alignment horizontal="left" vertical="center" wrapText="1"/>
    </xf>
    <xf numFmtId="0" fontId="32" fillId="0" borderId="28" xfId="0" applyFont="1" applyBorder="1" applyAlignment="1">
      <alignment vertical="top" wrapText="1"/>
    </xf>
    <xf numFmtId="0" fontId="32" fillId="0" borderId="29" xfId="0" applyFont="1" applyBorder="1" applyAlignment="1">
      <alignment vertical="top" wrapText="1"/>
    </xf>
    <xf numFmtId="0" fontId="32" fillId="0" borderId="55" xfId="0" applyFont="1" applyBorder="1" applyAlignment="1">
      <alignment vertical="top" wrapText="1"/>
    </xf>
    <xf numFmtId="0" fontId="32" fillId="0" borderId="31" xfId="0" applyFont="1" applyBorder="1" applyAlignment="1">
      <alignment vertical="top" wrapText="1"/>
    </xf>
    <xf numFmtId="0" fontId="32" fillId="0" borderId="0" xfId="0" applyFont="1" applyAlignment="1">
      <alignment vertical="top" wrapText="1"/>
    </xf>
    <xf numFmtId="0" fontId="32" fillId="0" borderId="50" xfId="0" applyFont="1" applyBorder="1" applyAlignment="1">
      <alignment vertical="top" wrapText="1"/>
    </xf>
    <xf numFmtId="3" fontId="35" fillId="0" borderId="16" xfId="0" applyNumberFormat="1" applyFont="1" applyBorder="1" applyAlignment="1">
      <alignment horizontal="center" vertical="center" wrapText="1"/>
    </xf>
    <xf numFmtId="3" fontId="35" fillId="0" borderId="15" xfId="0" applyNumberFormat="1" applyFont="1" applyBorder="1" applyAlignment="1">
      <alignment horizontal="center" vertical="center" wrapText="1"/>
    </xf>
    <xf numFmtId="3" fontId="35" fillId="0" borderId="8" xfId="0" applyNumberFormat="1" applyFont="1" applyBorder="1" applyAlignment="1">
      <alignment horizontal="center" vertical="center" wrapText="1"/>
    </xf>
    <xf numFmtId="0" fontId="32" fillId="0" borderId="57" xfId="0" applyFont="1" applyBorder="1" applyAlignment="1">
      <alignment horizontal="left"/>
    </xf>
    <xf numFmtId="0" fontId="32" fillId="0" borderId="10" xfId="0" applyFont="1" applyBorder="1" applyAlignment="1">
      <alignment horizontal="left"/>
    </xf>
    <xf numFmtId="0" fontId="32" fillId="0" borderId="58" xfId="0" applyFont="1" applyBorder="1" applyAlignment="1">
      <alignment horizontal="left"/>
    </xf>
    <xf numFmtId="165" fontId="31" fillId="0" borderId="26" xfId="0" applyNumberFormat="1" applyFont="1" applyBorder="1" applyAlignment="1">
      <alignment horizontal="right"/>
    </xf>
    <xf numFmtId="165" fontId="31" fillId="0" borderId="44" xfId="0" applyNumberFormat="1" applyFont="1" applyBorder="1" applyAlignment="1">
      <alignment horizontal="right"/>
    </xf>
    <xf numFmtId="165" fontId="34" fillId="0" borderId="0" xfId="0" applyNumberFormat="1" applyFont="1" applyAlignment="1">
      <alignment horizontal="right"/>
    </xf>
    <xf numFmtId="165" fontId="34" fillId="0" borderId="41" xfId="0" applyNumberFormat="1" applyFont="1" applyBorder="1" applyAlignment="1">
      <alignment horizontal="right"/>
    </xf>
    <xf numFmtId="9" fontId="34" fillId="0" borderId="54" xfId="1" applyNumberFormat="1" applyFont="1" applyBorder="1" applyAlignment="1">
      <alignment horizontal="center"/>
    </xf>
    <xf numFmtId="9" fontId="34" fillId="0" borderId="13" xfId="1" applyNumberFormat="1" applyFont="1" applyBorder="1" applyAlignment="1">
      <alignment horizontal="center"/>
    </xf>
    <xf numFmtId="9" fontId="34" fillId="0" borderId="16" xfId="1" applyNumberFormat="1" applyFont="1" applyBorder="1" applyAlignment="1">
      <alignment horizontal="center"/>
    </xf>
    <xf numFmtId="0" fontId="31" fillId="0" borderId="28" xfId="0" applyFont="1" applyBorder="1" applyAlignment="1">
      <alignment horizontal="left" vertical="center"/>
    </xf>
    <xf numFmtId="0" fontId="31" fillId="0" borderId="29" xfId="0" applyFont="1" applyBorder="1" applyAlignment="1">
      <alignment horizontal="left" vertical="center"/>
    </xf>
    <xf numFmtId="0" fontId="31" fillId="0" borderId="31" xfId="0" applyFont="1" applyBorder="1" applyAlignment="1">
      <alignment horizontal="left" vertical="center"/>
    </xf>
    <xf numFmtId="0" fontId="31" fillId="0" borderId="0" xfId="0" applyFont="1" applyAlignment="1">
      <alignment horizontal="left" vertical="center"/>
    </xf>
    <xf numFmtId="0" fontId="31" fillId="0" borderId="87" xfId="0" applyFont="1" applyBorder="1" applyAlignment="1">
      <alignment horizontal="left" vertical="center"/>
    </xf>
    <xf numFmtId="0" fontId="31" fillId="0" borderId="26" xfId="0" applyFont="1" applyBorder="1" applyAlignment="1">
      <alignment horizontal="left" vertical="center"/>
    </xf>
    <xf numFmtId="0" fontId="31" fillId="0" borderId="13"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7" xfId="0" applyFont="1" applyBorder="1" applyAlignment="1">
      <alignment horizontal="center" vertical="center" wrapText="1"/>
    </xf>
    <xf numFmtId="10" fontId="50" fillId="0" borderId="54" xfId="0" applyNumberFormat="1" applyFont="1" applyBorder="1" applyAlignment="1">
      <alignment horizontal="center" vertical="center" wrapText="1"/>
    </xf>
    <xf numFmtId="10" fontId="50" fillId="0" borderId="49" xfId="0" applyNumberFormat="1" applyFont="1" applyBorder="1" applyAlignment="1">
      <alignment horizontal="center" vertical="center" wrapText="1"/>
    </xf>
    <xf numFmtId="10" fontId="50" fillId="0" borderId="52" xfId="0" applyNumberFormat="1" applyFont="1" applyBorder="1" applyAlignment="1">
      <alignment horizontal="center" vertical="center" wrapText="1"/>
    </xf>
    <xf numFmtId="9" fontId="32" fillId="2" borderId="12" xfId="0" applyNumberFormat="1" applyFont="1" applyFill="1" applyBorder="1" applyAlignment="1">
      <alignment horizontal="center" vertical="center"/>
    </xf>
    <xf numFmtId="165" fontId="32" fillId="0" borderId="29" xfId="0" applyNumberFormat="1" applyFont="1" applyBorder="1" applyAlignment="1">
      <alignment horizontal="left" vertical="top" wrapText="1"/>
    </xf>
    <xf numFmtId="165" fontId="32" fillId="0" borderId="0" xfId="0" applyNumberFormat="1" applyFont="1" applyAlignment="1">
      <alignment horizontal="left" vertical="top" wrapText="1"/>
    </xf>
    <xf numFmtId="10" fontId="34" fillId="40" borderId="28" xfId="1" applyNumberFormat="1" applyFont="1" applyFill="1" applyBorder="1" applyAlignment="1" applyProtection="1">
      <alignment horizontal="center" vertical="center"/>
      <protection locked="0"/>
    </xf>
    <xf numFmtId="10" fontId="34" fillId="40" borderId="29" xfId="1" applyNumberFormat="1" applyFont="1" applyFill="1" applyBorder="1" applyAlignment="1" applyProtection="1">
      <alignment horizontal="center" vertical="center"/>
      <protection locked="0"/>
    </xf>
    <xf numFmtId="10" fontId="34" fillId="40" borderId="40" xfId="1" applyNumberFormat="1" applyFont="1" applyFill="1" applyBorder="1" applyAlignment="1" applyProtection="1">
      <alignment horizontal="center" vertical="center"/>
      <protection locked="0"/>
    </xf>
    <xf numFmtId="10" fontId="34" fillId="40" borderId="31" xfId="1" applyNumberFormat="1" applyFont="1" applyFill="1" applyBorder="1" applyAlignment="1" applyProtection="1">
      <alignment horizontal="center" vertical="center"/>
      <protection locked="0"/>
    </xf>
    <xf numFmtId="10" fontId="34" fillId="40" borderId="0" xfId="1" applyNumberFormat="1" applyFont="1" applyFill="1" applyAlignment="1" applyProtection="1">
      <alignment horizontal="center" vertical="center"/>
      <protection locked="0"/>
    </xf>
    <xf numFmtId="10" fontId="34" fillId="40" borderId="41" xfId="1" applyNumberFormat="1" applyFont="1" applyFill="1" applyBorder="1" applyAlignment="1" applyProtection="1">
      <alignment horizontal="center" vertical="center"/>
      <protection locked="0"/>
    </xf>
    <xf numFmtId="10" fontId="34" fillId="40" borderId="87" xfId="1" applyNumberFormat="1" applyFont="1" applyFill="1" applyBorder="1" applyAlignment="1" applyProtection="1">
      <alignment horizontal="center" vertical="center"/>
      <protection locked="0"/>
    </xf>
    <xf numFmtId="10" fontId="34" fillId="40" borderId="26" xfId="1" applyNumberFormat="1" applyFont="1" applyFill="1" applyBorder="1" applyAlignment="1" applyProtection="1">
      <alignment horizontal="center" vertical="center"/>
      <protection locked="0"/>
    </xf>
    <xf numFmtId="10" fontId="34" fillId="40" borderId="44" xfId="1" applyNumberFormat="1" applyFont="1" applyFill="1" applyBorder="1" applyAlignment="1" applyProtection="1">
      <alignment horizontal="center" vertical="center"/>
      <protection locked="0"/>
    </xf>
    <xf numFmtId="0" fontId="34" fillId="0" borderId="28" xfId="1" applyFont="1" applyBorder="1" applyAlignment="1">
      <alignment horizontal="center" vertical="center" wrapText="1"/>
    </xf>
    <xf numFmtId="0" fontId="34" fillId="0" borderId="29" xfId="1" applyFont="1" applyBorder="1" applyAlignment="1">
      <alignment horizontal="center" vertical="center" wrapText="1"/>
    </xf>
    <xf numFmtId="0" fontId="34" fillId="0" borderId="40" xfId="1" applyFont="1" applyBorder="1" applyAlignment="1">
      <alignment horizontal="center" vertical="center" wrapText="1"/>
    </xf>
    <xf numFmtId="0" fontId="34" fillId="0" borderId="31" xfId="1" applyFont="1" applyBorder="1" applyAlignment="1">
      <alignment horizontal="center" vertical="center" wrapText="1"/>
    </xf>
    <xf numFmtId="0" fontId="34" fillId="0" borderId="0" xfId="1" applyFont="1" applyAlignment="1">
      <alignment horizontal="center" vertical="center" wrapText="1"/>
    </xf>
    <xf numFmtId="0" fontId="34" fillId="0" borderId="41" xfId="1" applyFont="1" applyBorder="1" applyAlignment="1">
      <alignment horizontal="center" vertical="center" wrapText="1"/>
    </xf>
    <xf numFmtId="0" fontId="34" fillId="0" borderId="87"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44" xfId="1" applyFont="1" applyBorder="1" applyAlignment="1">
      <alignment horizontal="center" vertical="center" wrapText="1"/>
    </xf>
    <xf numFmtId="0" fontId="32" fillId="0" borderId="31" xfId="0" applyFont="1" applyBorder="1" applyAlignment="1">
      <alignment horizontal="left" wrapText="1"/>
    </xf>
    <xf numFmtId="0" fontId="32" fillId="0" borderId="0" xfId="0" applyFont="1" applyAlignment="1">
      <alignment horizontal="left" wrapText="1"/>
    </xf>
    <xf numFmtId="0" fontId="32" fillId="0" borderId="41" xfId="0" applyFont="1" applyBorder="1" applyAlignment="1">
      <alignment horizontal="left" wrapText="1"/>
    </xf>
    <xf numFmtId="165" fontId="31" fillId="0" borderId="16" xfId="0" applyNumberFormat="1" applyFont="1" applyBorder="1" applyAlignment="1">
      <alignment horizontal="center" vertical="center" wrapText="1"/>
    </xf>
    <xf numFmtId="165" fontId="31" fillId="0" borderId="15" xfId="0" applyNumberFormat="1" applyFont="1" applyBorder="1" applyAlignment="1">
      <alignment horizontal="center" vertical="center" wrapText="1"/>
    </xf>
    <xf numFmtId="165" fontId="31" fillId="0" borderId="8" xfId="0" applyNumberFormat="1" applyFont="1" applyBorder="1" applyAlignment="1">
      <alignment horizontal="center" vertical="center" wrapText="1"/>
    </xf>
    <xf numFmtId="0" fontId="31" fillId="4" borderId="70" xfId="0" applyFont="1" applyFill="1" applyBorder="1" applyAlignment="1">
      <alignment horizontal="center"/>
    </xf>
    <xf numFmtId="0" fontId="31" fillId="4" borderId="63" xfId="0" applyFont="1" applyFill="1" applyBorder="1" applyAlignment="1">
      <alignment horizontal="center"/>
    </xf>
    <xf numFmtId="0" fontId="31" fillId="4" borderId="68" xfId="0" applyFont="1" applyFill="1" applyBorder="1" applyAlignment="1">
      <alignment horizontal="center"/>
    </xf>
    <xf numFmtId="0" fontId="31" fillId="4" borderId="75" xfId="0" applyFont="1" applyFill="1" applyBorder="1" applyAlignment="1">
      <alignment horizontal="center"/>
    </xf>
    <xf numFmtId="0" fontId="31" fillId="4" borderId="38" xfId="0" applyFont="1" applyFill="1" applyBorder="1" applyAlignment="1">
      <alignment horizontal="center"/>
    </xf>
    <xf numFmtId="0" fontId="31" fillId="4" borderId="64" xfId="0" applyFont="1" applyFill="1" applyBorder="1" applyAlignment="1">
      <alignment horizontal="center"/>
    </xf>
    <xf numFmtId="49" fontId="32" fillId="4" borderId="81" xfId="0" applyNumberFormat="1" applyFont="1" applyFill="1" applyBorder="1" applyAlignment="1">
      <alignment horizontal="left" vertical="top" wrapText="1"/>
    </xf>
    <xf numFmtId="49" fontId="32" fillId="4" borderId="82" xfId="0" applyNumberFormat="1" applyFont="1" applyFill="1" applyBorder="1" applyAlignment="1">
      <alignment horizontal="left" vertical="top" wrapText="1"/>
    </xf>
    <xf numFmtId="49" fontId="32" fillId="2" borderId="81" xfId="0" applyNumberFormat="1" applyFont="1" applyFill="1" applyBorder="1" applyAlignment="1">
      <alignment horizontal="left" vertical="center" wrapText="1"/>
    </xf>
    <xf numFmtId="49" fontId="32" fillId="2" borderId="82" xfId="0" applyNumberFormat="1" applyFont="1" applyFill="1" applyBorder="1" applyAlignment="1">
      <alignment horizontal="left" vertical="center" wrapText="1"/>
    </xf>
    <xf numFmtId="49" fontId="32" fillId="2" borderId="36" xfId="0" applyNumberFormat="1" applyFont="1" applyFill="1" applyBorder="1" applyAlignment="1">
      <alignment vertical="top" wrapText="1"/>
    </xf>
    <xf numFmtId="49" fontId="32" fillId="2" borderId="37" xfId="0" applyNumberFormat="1" applyFont="1" applyFill="1" applyBorder="1" applyAlignment="1">
      <alignment vertical="top" wrapText="1"/>
    </xf>
    <xf numFmtId="49" fontId="32" fillId="2" borderId="86" xfId="0" applyNumberFormat="1" applyFont="1" applyFill="1" applyBorder="1" applyAlignment="1">
      <alignment vertical="top" wrapText="1"/>
    </xf>
    <xf numFmtId="49" fontId="32" fillId="2" borderId="33" xfId="0" applyNumberFormat="1" applyFont="1" applyFill="1" applyBorder="1" applyAlignment="1">
      <alignment vertical="top" wrapText="1"/>
    </xf>
    <xf numFmtId="49" fontId="32" fillId="2" borderId="27" xfId="0" applyNumberFormat="1" applyFont="1" applyFill="1" applyBorder="1" applyAlignment="1">
      <alignment vertical="top" wrapText="1"/>
    </xf>
    <xf numFmtId="49" fontId="32" fillId="2" borderId="85" xfId="0" applyNumberFormat="1" applyFont="1" applyFill="1" applyBorder="1" applyAlignment="1">
      <alignment vertical="top" wrapText="1"/>
    </xf>
    <xf numFmtId="165" fontId="33" fillId="0" borderId="79" xfId="0" applyNumberFormat="1" applyFont="1" applyBorder="1" applyAlignment="1">
      <alignment horizontal="center"/>
    </xf>
    <xf numFmtId="165" fontId="33" fillId="0" borderId="62" xfId="0" applyNumberFormat="1" applyFont="1" applyBorder="1" applyAlignment="1">
      <alignment horizontal="center"/>
    </xf>
    <xf numFmtId="49" fontId="32" fillId="2" borderId="76" xfId="0" applyNumberFormat="1" applyFont="1" applyFill="1" applyBorder="1" applyAlignment="1">
      <alignment horizontal="left" vertical="top" wrapText="1"/>
    </xf>
    <xf numFmtId="49" fontId="32" fillId="2" borderId="84" xfId="0" applyNumberFormat="1" applyFont="1" applyFill="1" applyBorder="1" applyAlignment="1">
      <alignment horizontal="left" vertical="top" wrapText="1"/>
    </xf>
    <xf numFmtId="0" fontId="32" fillId="0" borderId="75" xfId="0" applyFont="1" applyBorder="1" applyAlignment="1">
      <alignment horizontal="left" vertical="center" wrapText="1"/>
    </xf>
    <xf numFmtId="0" fontId="32" fillId="0" borderId="38" xfId="0" applyFont="1" applyBorder="1" applyAlignment="1">
      <alignment horizontal="left" vertical="center" wrapText="1"/>
    </xf>
    <xf numFmtId="0" fontId="32" fillId="0" borderId="77" xfId="0" applyFont="1" applyBorder="1" applyAlignment="1">
      <alignment horizontal="left" vertical="center" wrapText="1"/>
    </xf>
    <xf numFmtId="0" fontId="32" fillId="0" borderId="69" xfId="0" applyFont="1" applyBorder="1" applyAlignment="1">
      <alignment horizontal="left" vertical="center"/>
    </xf>
    <xf numFmtId="0" fontId="32" fillId="0" borderId="45" xfId="0" applyFont="1" applyBorder="1" applyAlignment="1">
      <alignment horizontal="left" vertical="center"/>
    </xf>
    <xf numFmtId="0" fontId="32" fillId="0" borderId="73" xfId="0" applyFont="1" applyBorder="1" applyAlignment="1">
      <alignment horizontal="left" vertical="center"/>
    </xf>
    <xf numFmtId="9" fontId="32" fillId="2" borderId="42" xfId="0" applyNumberFormat="1" applyFont="1" applyFill="1" applyBorder="1" applyAlignment="1">
      <alignment horizontal="center" vertical="center"/>
    </xf>
    <xf numFmtId="9" fontId="32" fillId="2" borderId="41" xfId="0" applyNumberFormat="1" applyFont="1" applyFill="1" applyBorder="1" applyAlignment="1">
      <alignment horizontal="center" vertical="center"/>
    </xf>
    <xf numFmtId="9" fontId="32" fillId="2" borderId="44" xfId="0" applyNumberFormat="1" applyFont="1" applyFill="1" applyBorder="1" applyAlignment="1">
      <alignment horizontal="center" vertical="center"/>
    </xf>
    <xf numFmtId="9" fontId="32" fillId="2" borderId="35" xfId="0" applyNumberFormat="1" applyFont="1" applyFill="1" applyBorder="1" applyAlignment="1">
      <alignment horizontal="center" vertical="center"/>
    </xf>
    <xf numFmtId="9" fontId="32" fillId="2" borderId="16" xfId="0" applyNumberFormat="1" applyFont="1" applyFill="1" applyBorder="1" applyAlignment="1">
      <alignment horizontal="center" vertical="center"/>
    </xf>
    <xf numFmtId="49" fontId="31" fillId="4" borderId="28" xfId="0" applyNumberFormat="1" applyFont="1" applyFill="1" applyBorder="1" applyAlignment="1">
      <alignment horizontal="center" vertical="center" wrapText="1"/>
    </xf>
    <xf numFmtId="49" fontId="31" fillId="4" borderId="29" xfId="0" applyNumberFormat="1" applyFont="1" applyFill="1" applyBorder="1" applyAlignment="1">
      <alignment horizontal="center" vertical="center" wrapText="1"/>
    </xf>
    <xf numFmtId="49" fontId="31" fillId="4" borderId="40" xfId="0" applyNumberFormat="1" applyFont="1" applyFill="1" applyBorder="1" applyAlignment="1">
      <alignment horizontal="center" vertical="center" wrapText="1"/>
    </xf>
    <xf numFmtId="0" fontId="31" fillId="0" borderId="79" xfId="0" applyFont="1" applyBorder="1" applyAlignment="1">
      <alignment horizontal="center" vertical="center" wrapText="1"/>
    </xf>
    <xf numFmtId="0" fontId="31" fillId="0" borderId="62" xfId="0" applyFont="1" applyBorder="1" applyAlignment="1">
      <alignment horizontal="center" vertical="center" wrapText="1"/>
    </xf>
    <xf numFmtId="0" fontId="31" fillId="0" borderId="65" xfId="0" applyFont="1" applyBorder="1" applyAlignment="1">
      <alignment horizontal="center" vertical="center" wrapText="1"/>
    </xf>
    <xf numFmtId="165" fontId="32" fillId="0" borderId="80" xfId="0" applyNumberFormat="1" applyFont="1" applyBorder="1" applyAlignment="1">
      <alignment horizontal="center"/>
    </xf>
    <xf numFmtId="165" fontId="32" fillId="0" borderId="67" xfId="0" applyNumberFormat="1" applyFont="1" applyBorder="1" applyAlignment="1">
      <alignment horizontal="center"/>
    </xf>
    <xf numFmtId="165" fontId="32" fillId="2" borderId="59" xfId="0" applyNumberFormat="1" applyFont="1" applyFill="1" applyBorder="1" applyAlignment="1">
      <alignment horizontal="center"/>
    </xf>
    <xf numFmtId="165" fontId="32" fillId="2" borderId="68" xfId="0" applyNumberFormat="1" applyFont="1" applyFill="1" applyBorder="1" applyAlignment="1">
      <alignment horizontal="center"/>
    </xf>
    <xf numFmtId="165" fontId="32" fillId="0" borderId="75" xfId="0" applyNumberFormat="1" applyFont="1" applyBorder="1" applyAlignment="1">
      <alignment horizontal="center"/>
    </xf>
    <xf numFmtId="165" fontId="32" fillId="0" borderId="77" xfId="0" applyNumberFormat="1" applyFont="1" applyBorder="1" applyAlignment="1">
      <alignment horizontal="center"/>
    </xf>
    <xf numFmtId="165" fontId="32" fillId="2" borderId="84" xfId="0" applyNumberFormat="1" applyFont="1" applyFill="1" applyBorder="1" applyAlignment="1">
      <alignment horizontal="center"/>
    </xf>
    <xf numFmtId="165" fontId="32" fillId="2" borderId="2" xfId="0" applyNumberFormat="1" applyFont="1" applyFill="1" applyBorder="1" applyAlignment="1">
      <alignment horizontal="center"/>
    </xf>
    <xf numFmtId="0" fontId="31" fillId="0" borderId="79" xfId="0" applyFont="1" applyBorder="1" applyAlignment="1">
      <alignment horizontal="center"/>
    </xf>
    <xf numFmtId="0" fontId="31" fillId="0" borderId="66" xfId="0" applyFont="1" applyBorder="1" applyAlignment="1">
      <alignment horizontal="center"/>
    </xf>
    <xf numFmtId="0" fontId="31" fillId="0" borderId="58" xfId="0" applyFont="1" applyBorder="1" applyAlignment="1">
      <alignment horizontal="center"/>
    </xf>
    <xf numFmtId="0" fontId="31" fillId="0" borderId="65" xfId="0" applyFont="1" applyBorder="1" applyAlignment="1">
      <alignment horizontal="center"/>
    </xf>
    <xf numFmtId="0" fontId="32" fillId="0" borderId="79" xfId="0" applyFont="1" applyBorder="1" applyAlignment="1">
      <alignment horizontal="center" vertical="center" wrapText="1"/>
    </xf>
    <xf numFmtId="0" fontId="32" fillId="0" borderId="62" xfId="0" applyFont="1" applyBorder="1" applyAlignment="1">
      <alignment horizontal="center" vertical="center" wrapText="1"/>
    </xf>
    <xf numFmtId="0" fontId="32" fillId="0" borderId="79" xfId="0" applyFont="1" applyBorder="1" applyAlignment="1">
      <alignment horizontal="right" vertical="center" wrapText="1"/>
    </xf>
    <xf numFmtId="0" fontId="32" fillId="0" borderId="62" xfId="0" applyFont="1" applyBorder="1" applyAlignment="1">
      <alignment horizontal="right" vertical="center" wrapText="1"/>
    </xf>
    <xf numFmtId="14" fontId="32" fillId="2" borderId="58" xfId="0" applyNumberFormat="1" applyFont="1" applyFill="1" applyBorder="1" applyAlignment="1">
      <alignment horizontal="center" vertical="center" wrapText="1"/>
    </xf>
    <xf numFmtId="14" fontId="32" fillId="2" borderId="65" xfId="0" applyNumberFormat="1" applyFont="1" applyFill="1" applyBorder="1" applyAlignment="1">
      <alignment horizontal="center" vertical="center" wrapText="1"/>
    </xf>
    <xf numFmtId="165" fontId="32" fillId="2" borderId="61" xfId="0" applyNumberFormat="1" applyFont="1" applyFill="1" applyBorder="1" applyAlignment="1">
      <alignment horizontal="center"/>
    </xf>
    <xf numFmtId="165" fontId="32" fillId="2" borderId="64" xfId="0" applyNumberFormat="1" applyFont="1" applyFill="1" applyBorder="1" applyAlignment="1">
      <alignment horizontal="center"/>
    </xf>
    <xf numFmtId="0" fontId="31" fillId="0" borderId="80" xfId="0" applyFont="1" applyBorder="1" applyAlignment="1">
      <alignment horizontal="left"/>
    </xf>
    <xf numFmtId="0" fontId="31" fillId="0" borderId="67" xfId="0" applyFont="1" applyBorder="1" applyAlignment="1">
      <alignment horizontal="left"/>
    </xf>
    <xf numFmtId="0" fontId="31" fillId="0" borderId="59" xfId="0" applyFont="1" applyBorder="1" applyAlignment="1">
      <alignment horizontal="left"/>
    </xf>
    <xf numFmtId="0" fontId="31" fillId="0" borderId="76" xfId="0" applyFont="1" applyBorder="1" applyAlignment="1">
      <alignment horizontal="left"/>
    </xf>
    <xf numFmtId="0" fontId="31" fillId="0" borderId="84" xfId="0" applyFont="1" applyBorder="1" applyAlignment="1">
      <alignment horizontal="left"/>
    </xf>
    <xf numFmtId="0" fontId="31" fillId="0" borderId="61" xfId="0" applyFont="1" applyBorder="1" applyAlignment="1">
      <alignment horizontal="left"/>
    </xf>
    <xf numFmtId="49" fontId="34" fillId="0" borderId="79" xfId="1" applyNumberFormat="1" applyFont="1" applyBorder="1" applyAlignment="1">
      <alignment horizontal="center"/>
    </xf>
    <xf numFmtId="49" fontId="38" fillId="0" borderId="62" xfId="1" applyNumberFormat="1" applyFont="1" applyBorder="1" applyAlignment="1">
      <alignment horizontal="center"/>
    </xf>
    <xf numFmtId="0" fontId="32" fillId="0" borderId="76" xfId="0" applyFont="1" applyBorder="1" applyAlignment="1">
      <alignment horizontal="left" wrapText="1"/>
    </xf>
    <xf numFmtId="0" fontId="32" fillId="0" borderId="84" xfId="0" applyFont="1" applyBorder="1" applyAlignment="1">
      <alignment horizontal="left" wrapText="1"/>
    </xf>
    <xf numFmtId="0" fontId="32" fillId="0" borderId="61" xfId="0" applyFont="1" applyBorder="1" applyAlignment="1">
      <alignment horizontal="left" wrapText="1"/>
    </xf>
    <xf numFmtId="0" fontId="32" fillId="0" borderId="4" xfId="0" applyFont="1" applyBorder="1" applyAlignment="1">
      <alignment horizontal="left"/>
    </xf>
    <xf numFmtId="0" fontId="32" fillId="0" borderId="6" xfId="0" applyFont="1" applyBorder="1" applyAlignment="1">
      <alignment horizontal="left"/>
    </xf>
    <xf numFmtId="0" fontId="32" fillId="0" borderId="34" xfId="0" applyFont="1" applyBorder="1" applyAlignment="1">
      <alignment horizontal="left"/>
    </xf>
    <xf numFmtId="165" fontId="32" fillId="0" borderId="70" xfId="0" applyNumberFormat="1" applyFont="1" applyBorder="1" applyAlignment="1">
      <alignment horizontal="center"/>
    </xf>
    <xf numFmtId="165" fontId="32" fillId="0" borderId="71" xfId="0" applyNumberFormat="1" applyFont="1" applyBorder="1" applyAlignment="1">
      <alignment horizontal="center"/>
    </xf>
    <xf numFmtId="165" fontId="32" fillId="0" borderId="38" xfId="0" applyNumberFormat="1" applyFont="1" applyBorder="1" applyAlignment="1">
      <alignment horizontal="center"/>
    </xf>
    <xf numFmtId="165" fontId="32" fillId="0" borderId="79" xfId="0" applyNumberFormat="1" applyFont="1" applyBorder="1" applyAlignment="1">
      <alignment horizontal="center" vertical="center" wrapText="1"/>
    </xf>
    <xf numFmtId="165" fontId="32" fillId="0" borderId="62" xfId="0" applyNumberFormat="1" applyFont="1" applyBorder="1" applyAlignment="1">
      <alignment horizontal="center" vertical="center" wrapText="1"/>
    </xf>
    <xf numFmtId="165" fontId="32" fillId="0" borderId="65" xfId="0" applyNumberFormat="1" applyFont="1" applyBorder="1" applyAlignment="1">
      <alignment horizontal="center" vertical="center" wrapText="1"/>
    </xf>
    <xf numFmtId="0" fontId="31" fillId="0" borderId="43" xfId="0" applyFont="1" applyBorder="1" applyAlignment="1">
      <alignment horizontal="center" wrapText="1"/>
    </xf>
    <xf numFmtId="0" fontId="31" fillId="0" borderId="51" xfId="0" applyFont="1" applyBorder="1" applyAlignment="1">
      <alignment horizontal="center" wrapText="1"/>
    </xf>
    <xf numFmtId="0" fontId="31" fillId="0" borderId="28" xfId="0" applyFont="1" applyBorder="1" applyAlignment="1">
      <alignment horizontal="right" wrapText="1"/>
    </xf>
    <xf numFmtId="0" fontId="31" fillId="0" borderId="29" xfId="0" applyFont="1" applyBorder="1" applyAlignment="1">
      <alignment horizontal="right" wrapText="1"/>
    </xf>
    <xf numFmtId="0" fontId="31" fillId="0" borderId="40" xfId="0" applyFont="1" applyBorder="1" applyAlignment="1">
      <alignment horizontal="right" wrapText="1"/>
    </xf>
    <xf numFmtId="0" fontId="31" fillId="0" borderId="87" xfId="0" applyFont="1" applyBorder="1" applyAlignment="1">
      <alignment horizontal="right" wrapText="1"/>
    </xf>
    <xf numFmtId="0" fontId="31" fillId="0" borderId="26" xfId="0" applyFont="1" applyBorder="1" applyAlignment="1">
      <alignment horizontal="right" wrapText="1"/>
    </xf>
    <xf numFmtId="0" fontId="31" fillId="0" borderId="44" xfId="0" applyFont="1" applyBorder="1" applyAlignment="1">
      <alignment horizontal="right" wrapText="1"/>
    </xf>
    <xf numFmtId="165" fontId="34" fillId="0" borderId="26" xfId="0" applyNumberFormat="1" applyFont="1" applyBorder="1" applyAlignment="1">
      <alignment horizontal="right"/>
    </xf>
    <xf numFmtId="165" fontId="34" fillId="0" borderId="44" xfId="0" applyNumberFormat="1" applyFont="1" applyBorder="1" applyAlignment="1">
      <alignment horizontal="right"/>
    </xf>
    <xf numFmtId="0" fontId="32" fillId="0" borderId="28" xfId="0" applyFont="1" applyBorder="1" applyAlignment="1">
      <alignment horizontal="right" wrapText="1"/>
    </xf>
    <xf numFmtId="0" fontId="32" fillId="0" borderId="29" xfId="0" applyFont="1" applyBorder="1" applyAlignment="1">
      <alignment horizontal="right" wrapText="1"/>
    </xf>
    <xf numFmtId="0" fontId="32" fillId="0" borderId="40" xfId="0" applyFont="1" applyBorder="1" applyAlignment="1">
      <alignment horizontal="right" wrapText="1"/>
    </xf>
    <xf numFmtId="0" fontId="32" fillId="0" borderId="43" xfId="0" applyFont="1" applyBorder="1" applyAlignment="1">
      <alignment horizontal="center" wrapText="1"/>
    </xf>
    <xf numFmtId="0" fontId="32" fillId="0" borderId="48" xfId="0" applyFont="1" applyBorder="1" applyAlignment="1">
      <alignment horizontal="center" wrapText="1"/>
    </xf>
    <xf numFmtId="0" fontId="32" fillId="0" borderId="51" xfId="0" applyFont="1" applyBorder="1" applyAlignment="1">
      <alignment horizontal="center" wrapText="1"/>
    </xf>
    <xf numFmtId="0" fontId="32" fillId="0" borderId="43" xfId="0" applyFont="1" applyBorder="1" applyAlignment="1">
      <alignment horizontal="center" vertical="center"/>
    </xf>
    <xf numFmtId="0" fontId="32" fillId="0" borderId="48" xfId="0" applyFont="1" applyBorder="1" applyAlignment="1">
      <alignment horizontal="center" vertical="center"/>
    </xf>
    <xf numFmtId="0" fontId="32" fillId="0" borderId="51" xfId="0" applyFont="1" applyBorder="1" applyAlignment="1">
      <alignment horizontal="center" vertical="center"/>
    </xf>
    <xf numFmtId="10" fontId="32" fillId="0" borderId="43" xfId="0" applyNumberFormat="1" applyFont="1" applyBorder="1" applyAlignment="1">
      <alignment horizontal="center" vertical="center" wrapText="1"/>
    </xf>
    <xf numFmtId="10" fontId="32" fillId="0" borderId="48" xfId="0" applyNumberFormat="1" applyFont="1" applyBorder="1" applyAlignment="1">
      <alignment horizontal="center" vertical="center" wrapText="1"/>
    </xf>
    <xf numFmtId="10" fontId="32" fillId="0" borderId="51" xfId="0" applyNumberFormat="1" applyFont="1" applyBorder="1" applyAlignment="1">
      <alignment horizontal="center" vertical="center" wrapText="1"/>
    </xf>
    <xf numFmtId="0" fontId="32" fillId="0" borderId="32" xfId="0" applyFont="1" applyBorder="1" applyAlignment="1">
      <alignment horizontal="center" wrapText="1"/>
    </xf>
    <xf numFmtId="0" fontId="32" fillId="0" borderId="40" xfId="0" applyFont="1" applyBorder="1" applyAlignment="1">
      <alignment horizontal="center" wrapText="1"/>
    </xf>
    <xf numFmtId="0" fontId="32" fillId="0" borderId="47" xfId="0" applyFont="1" applyBorder="1" applyAlignment="1">
      <alignment horizontal="center" wrapText="1"/>
    </xf>
    <xf numFmtId="0" fontId="32" fillId="0" borderId="41" xfId="0" applyFont="1" applyBorder="1" applyAlignment="1">
      <alignment horizontal="center" wrapText="1"/>
    </xf>
    <xf numFmtId="0" fontId="32" fillId="0" borderId="53" xfId="0" applyFont="1" applyBorder="1" applyAlignment="1">
      <alignment horizontal="center" wrapText="1"/>
    </xf>
    <xf numFmtId="0" fontId="32" fillId="0" borderId="44" xfId="0" applyFont="1" applyBorder="1" applyAlignment="1">
      <alignment horizontal="center" wrapText="1"/>
    </xf>
    <xf numFmtId="165" fontId="32" fillId="0" borderId="34" xfId="0" applyNumberFormat="1" applyFont="1" applyBorder="1" applyAlignment="1" applyProtection="1">
      <alignment horizontal="center" vertical="center"/>
      <protection locked="0"/>
    </xf>
    <xf numFmtId="165" fontId="32" fillId="0" borderId="35" xfId="0" applyNumberFormat="1" applyFont="1" applyBorder="1" applyAlignment="1" applyProtection="1">
      <alignment horizontal="center" vertical="center"/>
      <protection locked="0"/>
    </xf>
    <xf numFmtId="165" fontId="33" fillId="0" borderId="58" xfId="0" applyNumberFormat="1" applyFont="1" applyBorder="1" applyAlignment="1">
      <alignment horizontal="center"/>
    </xf>
    <xf numFmtId="165" fontId="33" fillId="0" borderId="65" xfId="0" applyNumberFormat="1" applyFont="1" applyBorder="1" applyAlignment="1">
      <alignment horizontal="center"/>
    </xf>
    <xf numFmtId="165" fontId="32" fillId="0" borderId="13" xfId="0" applyNumberFormat="1" applyFont="1" applyFill="1" applyBorder="1" applyAlignment="1">
      <alignment horizontal="center" vertical="center" wrapText="1"/>
    </xf>
    <xf numFmtId="165" fontId="32" fillId="0" borderId="16" xfId="0" applyNumberFormat="1" applyFont="1" applyFill="1" applyBorder="1" applyAlignment="1">
      <alignment horizontal="center" vertical="center" wrapText="1"/>
    </xf>
    <xf numFmtId="165" fontId="32" fillId="0" borderId="14" xfId="0" applyNumberFormat="1" applyFont="1" applyFill="1" applyBorder="1" applyAlignment="1">
      <alignment horizontal="center" vertical="center" wrapText="1"/>
    </xf>
    <xf numFmtId="165" fontId="32" fillId="0" borderId="15" xfId="0" applyNumberFormat="1" applyFont="1" applyFill="1" applyBorder="1" applyAlignment="1">
      <alignment horizontal="center" vertical="center" wrapText="1"/>
    </xf>
    <xf numFmtId="165" fontId="32" fillId="0" borderId="45" xfId="0" applyNumberFormat="1" applyFont="1" applyFill="1" applyBorder="1" applyAlignment="1">
      <alignment horizontal="center" vertical="center"/>
    </xf>
    <xf numFmtId="165" fontId="32" fillId="0" borderId="56" xfId="0" applyNumberFormat="1" applyFont="1" applyFill="1" applyBorder="1" applyAlignment="1">
      <alignment horizontal="center" vertical="center"/>
    </xf>
    <xf numFmtId="165" fontId="32" fillId="0" borderId="37" xfId="0" applyNumberFormat="1" applyFont="1" applyBorder="1" applyAlignment="1">
      <alignment horizontal="center" vertical="center" wrapText="1"/>
    </xf>
    <xf numFmtId="10" fontId="32" fillId="0" borderId="86" xfId="0" applyNumberFormat="1" applyFont="1" applyFill="1" applyBorder="1" applyAlignment="1">
      <alignment horizontal="center" vertical="center" wrapText="1"/>
    </xf>
    <xf numFmtId="165" fontId="32" fillId="0" borderId="39" xfId="0" applyNumberFormat="1" applyFont="1" applyFill="1" applyBorder="1" applyAlignment="1">
      <alignment horizontal="center" vertical="center" wrapText="1"/>
    </xf>
    <xf numFmtId="165" fontId="32" fillId="0" borderId="42" xfId="0" applyNumberFormat="1" applyFont="1" applyFill="1" applyBorder="1" applyAlignment="1">
      <alignment horizontal="center" vertical="center" wrapText="1"/>
    </xf>
    <xf numFmtId="165" fontId="32" fillId="0" borderId="47" xfId="0" applyNumberFormat="1" applyFont="1" applyFill="1" applyBorder="1" applyAlignment="1">
      <alignment horizontal="center" vertical="center" wrapText="1"/>
    </xf>
    <xf numFmtId="165" fontId="32" fillId="0" borderId="41" xfId="0" applyNumberFormat="1" applyFont="1" applyFill="1" applyBorder="1" applyAlignment="1">
      <alignment horizontal="center" vertical="center" wrapText="1"/>
    </xf>
    <xf numFmtId="49" fontId="32" fillId="2" borderId="28" xfId="0" applyNumberFormat="1" applyFont="1" applyFill="1" applyBorder="1" applyAlignment="1">
      <alignment horizontal="left" vertical="top" wrapText="1"/>
    </xf>
    <xf numFmtId="49" fontId="32" fillId="2" borderId="29" xfId="0" applyNumberFormat="1" applyFont="1" applyFill="1" applyBorder="1" applyAlignment="1">
      <alignment horizontal="left" vertical="top" wrapText="1"/>
    </xf>
    <xf numFmtId="49" fontId="32" fillId="2" borderId="55" xfId="0" applyNumberFormat="1" applyFont="1" applyFill="1" applyBorder="1" applyAlignment="1">
      <alignment horizontal="left" vertical="top" wrapText="1"/>
    </xf>
    <xf numFmtId="49" fontId="32" fillId="2" borderId="31" xfId="0" applyNumberFormat="1" applyFont="1" applyFill="1" applyBorder="1" applyAlignment="1">
      <alignment horizontal="left" vertical="top" wrapText="1"/>
    </xf>
    <xf numFmtId="49" fontId="32" fillId="2" borderId="0" xfId="0" applyNumberFormat="1" applyFont="1" applyFill="1" applyAlignment="1">
      <alignment horizontal="left" vertical="top" wrapText="1"/>
    </xf>
    <xf numFmtId="49" fontId="32" fillId="2" borderId="50" xfId="0" applyNumberFormat="1" applyFont="1" applyFill="1" applyBorder="1" applyAlignment="1">
      <alignment horizontal="left" vertical="top" wrapText="1"/>
    </xf>
    <xf numFmtId="49" fontId="32" fillId="2" borderId="33" xfId="0" applyNumberFormat="1" applyFont="1" applyFill="1" applyBorder="1" applyAlignment="1">
      <alignment horizontal="left" vertical="top" wrapText="1"/>
    </xf>
    <xf numFmtId="49" fontId="32" fillId="2" borderId="27" xfId="0" applyNumberFormat="1" applyFont="1" applyFill="1" applyBorder="1" applyAlignment="1">
      <alignment horizontal="left" vertical="top" wrapText="1"/>
    </xf>
    <xf numFmtId="49" fontId="32" fillId="2" borderId="85" xfId="0" applyNumberFormat="1" applyFont="1" applyFill="1" applyBorder="1" applyAlignment="1">
      <alignment horizontal="left" vertical="top" wrapText="1"/>
    </xf>
    <xf numFmtId="0" fontId="32" fillId="4" borderId="13" xfId="0" applyFont="1" applyFill="1" applyBorder="1" applyAlignment="1">
      <alignment horizontal="center" vertical="center"/>
    </xf>
    <xf numFmtId="0" fontId="32" fillId="4" borderId="6" xfId="0" applyFont="1" applyFill="1" applyBorder="1" applyAlignment="1">
      <alignment horizontal="center" vertical="center"/>
    </xf>
    <xf numFmtId="165" fontId="32" fillId="0" borderId="32" xfId="0" applyNumberFormat="1" applyFont="1" applyBorder="1" applyAlignment="1" applyProtection="1">
      <alignment horizontal="center" vertical="center"/>
      <protection locked="0"/>
    </xf>
    <xf numFmtId="165" fontId="32" fillId="0" borderId="40" xfId="0" applyNumberFormat="1" applyFont="1" applyBorder="1" applyAlignment="1" applyProtection="1">
      <alignment horizontal="center" vertical="center"/>
      <protection locked="0"/>
    </xf>
    <xf numFmtId="0" fontId="32" fillId="0" borderId="87" xfId="0" applyFont="1" applyBorder="1" applyAlignment="1">
      <alignment horizontal="right" vertical="top" wrapText="1"/>
    </xf>
    <xf numFmtId="0" fontId="32" fillId="0" borderId="26" xfId="0" applyFont="1" applyBorder="1" applyAlignment="1">
      <alignment horizontal="right" vertical="top" wrapText="1"/>
    </xf>
    <xf numFmtId="0" fontId="32" fillId="0" borderId="44" xfId="0" applyFont="1" applyBorder="1" applyAlignment="1">
      <alignment horizontal="right" vertical="top" wrapText="1"/>
    </xf>
    <xf numFmtId="9" fontId="32" fillId="0" borderId="74" xfId="0" applyNumberFormat="1" applyFont="1" applyBorder="1" applyAlignment="1">
      <alignment horizontal="center" vertical="center"/>
    </xf>
    <xf numFmtId="10" fontId="32" fillId="0" borderId="10" xfId="0" applyNumberFormat="1" applyFont="1" applyBorder="1" applyAlignment="1">
      <alignment horizontal="center"/>
    </xf>
    <xf numFmtId="10" fontId="32" fillId="0" borderId="3" xfId="0" applyNumberFormat="1" applyFont="1" applyBorder="1" applyAlignment="1">
      <alignment horizontal="center"/>
    </xf>
    <xf numFmtId="9" fontId="32" fillId="2" borderId="8" xfId="0" applyNumberFormat="1" applyFont="1" applyFill="1" applyBorder="1" applyAlignment="1">
      <alignment horizontal="center" vertical="center"/>
    </xf>
    <xf numFmtId="0" fontId="32" fillId="0" borderId="70" xfId="0" applyFont="1" applyBorder="1" applyAlignment="1">
      <alignment horizontal="left" vertical="top" wrapText="1"/>
    </xf>
    <xf numFmtId="0" fontId="32" fillId="0" borderId="63" xfId="0" applyFont="1" applyBorder="1" applyAlignment="1">
      <alignment horizontal="left" vertical="top" wrapText="1"/>
    </xf>
    <xf numFmtId="0" fontId="32" fillId="0" borderId="71" xfId="0" applyFont="1" applyBorder="1" applyAlignment="1">
      <alignment horizontal="left" vertical="top" wrapText="1"/>
    </xf>
    <xf numFmtId="0" fontId="32" fillId="0" borderId="69" xfId="0" applyFont="1" applyBorder="1" applyAlignment="1">
      <alignment horizontal="left" vertical="top" wrapText="1"/>
    </xf>
    <xf numFmtId="0" fontId="32" fillId="0" borderId="45" xfId="0" applyFont="1" applyBorder="1" applyAlignment="1">
      <alignment horizontal="left" vertical="top" wrapText="1"/>
    </xf>
    <xf numFmtId="0" fontId="32" fillId="0" borderId="73" xfId="0" applyFont="1" applyBorder="1" applyAlignment="1">
      <alignment horizontal="left" vertical="top" wrapText="1"/>
    </xf>
    <xf numFmtId="49" fontId="32" fillId="2" borderId="80" xfId="0" applyNumberFormat="1" applyFont="1" applyFill="1" applyBorder="1" applyAlignment="1">
      <alignment horizontal="left" vertical="center" wrapText="1"/>
    </xf>
    <xf numFmtId="49" fontId="32" fillId="2" borderId="67" xfId="0" applyNumberFormat="1" applyFont="1" applyFill="1" applyBorder="1" applyAlignment="1">
      <alignment horizontal="left" vertical="center" wrapText="1"/>
    </xf>
    <xf numFmtId="0" fontId="32" fillId="0" borderId="28" xfId="0" applyFont="1" applyBorder="1" applyAlignment="1">
      <alignment horizontal="left" vertical="top" wrapText="1"/>
    </xf>
    <xf numFmtId="0" fontId="32" fillId="0" borderId="29" xfId="0" applyFont="1" applyBorder="1" applyAlignment="1">
      <alignment horizontal="left" vertical="top" wrapText="1"/>
    </xf>
    <xf numFmtId="0" fontId="32" fillId="0" borderId="55" xfId="0" applyFont="1" applyBorder="1" applyAlignment="1">
      <alignment horizontal="left" vertical="top" wrapText="1"/>
    </xf>
    <xf numFmtId="9" fontId="32" fillId="2" borderId="32" xfId="0" applyNumberFormat="1" applyFont="1" applyFill="1" applyBorder="1" applyAlignment="1">
      <alignment horizontal="center" vertical="center"/>
    </xf>
    <xf numFmtId="0" fontId="32" fillId="0" borderId="0" xfId="0" applyFont="1" applyAlignment="1">
      <alignment horizontal="left" vertical="center" wrapText="1"/>
    </xf>
    <xf numFmtId="0" fontId="31" fillId="0" borderId="0" xfId="0" applyFont="1" applyAlignment="1">
      <alignment horizontal="left" vertical="center" wrapText="1"/>
    </xf>
    <xf numFmtId="0" fontId="32" fillId="0" borderId="75" xfId="0" applyFont="1" applyBorder="1" applyAlignment="1">
      <alignment horizontal="left" vertical="top" wrapText="1"/>
    </xf>
    <xf numFmtId="0" fontId="32" fillId="0" borderId="38" xfId="0" applyFont="1" applyBorder="1" applyAlignment="1">
      <alignment horizontal="left" vertical="top" wrapText="1"/>
    </xf>
    <xf numFmtId="10" fontId="31" fillId="0" borderId="28" xfId="0" applyNumberFormat="1" applyFont="1" applyBorder="1" applyAlignment="1">
      <alignment horizontal="center" vertical="center" wrapText="1"/>
    </xf>
    <xf numFmtId="10" fontId="31" fillId="0" borderId="87" xfId="0" applyNumberFormat="1" applyFont="1" applyBorder="1" applyAlignment="1">
      <alignment horizontal="center" vertical="center" wrapText="1"/>
    </xf>
    <xf numFmtId="165" fontId="35" fillId="0" borderId="43" xfId="0" applyNumberFormat="1" applyFont="1" applyBorder="1" applyAlignment="1">
      <alignment horizontal="center" vertical="center" wrapText="1"/>
    </xf>
    <xf numFmtId="165" fontId="35" fillId="0" borderId="54" xfId="0" applyNumberFormat="1" applyFont="1" applyBorder="1" applyAlignment="1">
      <alignment horizontal="center" vertical="center" wrapText="1"/>
    </xf>
    <xf numFmtId="165" fontId="35" fillId="0" borderId="51" xfId="0" applyNumberFormat="1" applyFont="1" applyBorder="1" applyAlignment="1">
      <alignment horizontal="center" vertical="center" wrapText="1"/>
    </xf>
    <xf numFmtId="165" fontId="35" fillId="0" borderId="52" xfId="0" applyNumberFormat="1" applyFont="1" applyBorder="1" applyAlignment="1">
      <alignment horizontal="center" vertical="center" wrapText="1"/>
    </xf>
    <xf numFmtId="165" fontId="31" fillId="0" borderId="32" xfId="0" applyNumberFormat="1" applyFont="1" applyBorder="1" applyAlignment="1">
      <alignment horizontal="center" vertical="center" wrapText="1"/>
    </xf>
    <xf numFmtId="165" fontId="31" fillId="0" borderId="53" xfId="0" applyNumberFormat="1" applyFont="1" applyBorder="1" applyAlignment="1">
      <alignment horizontal="center" vertical="center" wrapText="1"/>
    </xf>
    <xf numFmtId="0" fontId="32" fillId="0" borderId="13" xfId="0" applyFont="1" applyBorder="1" applyAlignment="1">
      <alignment horizontal="center"/>
    </xf>
    <xf numFmtId="0" fontId="32" fillId="0" borderId="7" xfId="0" applyFont="1" applyBorder="1" applyAlignment="1">
      <alignment horizontal="center"/>
    </xf>
    <xf numFmtId="165" fontId="33" fillId="0" borderId="79" xfId="0" applyNumberFormat="1" applyFont="1" applyBorder="1" applyAlignment="1">
      <alignment horizontal="center" vertical="center" wrapText="1"/>
    </xf>
    <xf numFmtId="165" fontId="33" fillId="0" borderId="62" xfId="0" applyNumberFormat="1" applyFont="1" applyBorder="1" applyAlignment="1">
      <alignment horizontal="center" vertical="center" wrapText="1"/>
    </xf>
    <xf numFmtId="0" fontId="32" fillId="0" borderId="87" xfId="0" applyFont="1" applyBorder="1" applyAlignment="1">
      <alignment horizontal="center"/>
    </xf>
    <xf numFmtId="0" fontId="32" fillId="0" borderId="26" xfId="0" applyFont="1" applyBorder="1" applyAlignment="1">
      <alignment horizontal="center"/>
    </xf>
    <xf numFmtId="0" fontId="32" fillId="0" borderId="44" xfId="0" applyFont="1" applyBorder="1" applyAlignment="1">
      <alignment horizontal="center"/>
    </xf>
    <xf numFmtId="49" fontId="34" fillId="0" borderId="30" xfId="0" applyNumberFormat="1" applyFont="1" applyBorder="1" applyAlignment="1">
      <alignment horizontal="center" vertical="center" wrapText="1"/>
    </xf>
    <xf numFmtId="0" fontId="31" fillId="2" borderId="30" xfId="0" applyFont="1" applyFill="1" applyBorder="1" applyAlignment="1">
      <alignment horizontal="center" vertical="center"/>
    </xf>
    <xf numFmtId="0" fontId="31" fillId="2" borderId="43" xfId="0" applyFont="1" applyFill="1" applyBorder="1" applyAlignment="1">
      <alignment horizontal="center" vertical="center"/>
    </xf>
    <xf numFmtId="0" fontId="31" fillId="2" borderId="48" xfId="0" applyFont="1" applyFill="1" applyBorder="1" applyAlignment="1">
      <alignment horizontal="center" vertical="center"/>
    </xf>
    <xf numFmtId="0" fontId="31" fillId="2" borderId="51" xfId="0" applyFont="1" applyFill="1" applyBorder="1" applyAlignment="1">
      <alignment horizontal="center" vertical="center"/>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32" fillId="0" borderId="44" xfId="0" applyFont="1" applyBorder="1" applyAlignment="1">
      <alignment horizontal="center" vertical="center"/>
    </xf>
    <xf numFmtId="165" fontId="31" fillId="0" borderId="28" xfId="0" applyNumberFormat="1" applyFont="1" applyBorder="1" applyAlignment="1">
      <alignment horizontal="center" vertical="center"/>
    </xf>
    <xf numFmtId="165" fontId="31" fillId="0" borderId="29" xfId="0" applyNumberFormat="1" applyFont="1" applyBorder="1" applyAlignment="1">
      <alignment horizontal="center" vertical="center"/>
    </xf>
    <xf numFmtId="165" fontId="31" fillId="0" borderId="40" xfId="0" applyNumberFormat="1" applyFont="1" applyBorder="1" applyAlignment="1">
      <alignment horizontal="center" vertical="center"/>
    </xf>
    <xf numFmtId="165" fontId="31" fillId="0" borderId="31" xfId="0" applyNumberFormat="1" applyFont="1" applyBorder="1" applyAlignment="1">
      <alignment horizontal="center" vertical="center"/>
    </xf>
    <xf numFmtId="165" fontId="31" fillId="0" borderId="0" xfId="0" applyNumberFormat="1" applyFont="1" applyAlignment="1">
      <alignment horizontal="center" vertical="center"/>
    </xf>
    <xf numFmtId="165" fontId="31" fillId="0" borderId="41" xfId="0" applyNumberFormat="1" applyFont="1" applyBorder="1" applyAlignment="1">
      <alignment horizontal="center" vertical="center"/>
    </xf>
    <xf numFmtId="165" fontId="31" fillId="0" borderId="87" xfId="0" applyNumberFormat="1" applyFont="1" applyBorder="1" applyAlignment="1">
      <alignment horizontal="center" vertical="center"/>
    </xf>
    <xf numFmtId="165" fontId="31" fillId="0" borderId="26" xfId="0" applyNumberFormat="1" applyFont="1" applyBorder="1" applyAlignment="1">
      <alignment horizontal="center" vertical="center"/>
    </xf>
    <xf numFmtId="165" fontId="31" fillId="0" borderId="44" xfId="0" applyNumberFormat="1" applyFont="1" applyBorder="1" applyAlignment="1">
      <alignment horizontal="center" vertical="center"/>
    </xf>
    <xf numFmtId="49" fontId="32" fillId="4" borderId="80" xfId="0" applyNumberFormat="1" applyFont="1" applyFill="1" applyBorder="1" applyAlignment="1">
      <alignment horizontal="left" vertical="top" wrapText="1"/>
    </xf>
    <xf numFmtId="49" fontId="32" fillId="4" borderId="67" xfId="0" applyNumberFormat="1" applyFont="1" applyFill="1" applyBorder="1" applyAlignment="1">
      <alignment horizontal="left" vertical="top" wrapText="1"/>
    </xf>
    <xf numFmtId="165" fontId="35" fillId="0" borderId="28" xfId="0" applyNumberFormat="1" applyFont="1" applyBorder="1" applyAlignment="1">
      <alignment horizontal="center" vertical="center" wrapText="1"/>
    </xf>
    <xf numFmtId="165" fontId="35" fillId="0" borderId="29" xfId="0" applyNumberFormat="1" applyFont="1" applyBorder="1" applyAlignment="1">
      <alignment horizontal="center" vertical="center" wrapText="1"/>
    </xf>
    <xf numFmtId="165" fontId="35" fillId="0" borderId="31" xfId="0" applyNumberFormat="1" applyFont="1" applyBorder="1" applyAlignment="1">
      <alignment horizontal="center" vertical="center" wrapText="1"/>
    </xf>
    <xf numFmtId="165" fontId="35" fillId="0" borderId="0" xfId="0" applyNumberFormat="1" applyFont="1" applyAlignment="1">
      <alignment horizontal="center" vertical="center" wrapText="1"/>
    </xf>
    <xf numFmtId="165" fontId="35" fillId="0" borderId="87" xfId="0" applyNumberFormat="1" applyFont="1" applyBorder="1" applyAlignment="1">
      <alignment horizontal="center" vertical="center" wrapText="1"/>
    </xf>
    <xf numFmtId="165" fontId="35" fillId="0" borderId="26" xfId="0" applyNumberFormat="1" applyFont="1" applyBorder="1" applyAlignment="1">
      <alignment horizontal="center" vertical="center" wrapText="1"/>
    </xf>
    <xf numFmtId="10" fontId="32" fillId="0" borderId="79" xfId="0" applyNumberFormat="1" applyFont="1" applyBorder="1" applyAlignment="1">
      <alignment horizontal="center"/>
    </xf>
    <xf numFmtId="10" fontId="32" fillId="0" borderId="62" xfId="0" applyNumberFormat="1" applyFont="1" applyBorder="1" applyAlignment="1">
      <alignment horizontal="center"/>
    </xf>
    <xf numFmtId="165" fontId="33" fillId="0" borderId="66" xfId="0" applyNumberFormat="1" applyFont="1" applyBorder="1" applyAlignment="1">
      <alignment horizontal="center" vertical="center" wrapText="1"/>
    </xf>
    <xf numFmtId="165" fontId="35" fillId="0" borderId="10" xfId="0" applyNumberFormat="1" applyFont="1" applyBorder="1" applyAlignment="1">
      <alignment horizontal="center" vertical="center" wrapText="1"/>
    </xf>
    <xf numFmtId="165" fontId="35" fillId="0" borderId="3" xfId="0" applyNumberFormat="1" applyFont="1" applyBorder="1" applyAlignment="1">
      <alignment horizontal="center" vertical="center" wrapText="1"/>
    </xf>
    <xf numFmtId="0" fontId="32" fillId="4" borderId="67" xfId="0" applyFont="1" applyFill="1" applyBorder="1" applyAlignment="1">
      <alignment horizontal="center" vertical="center"/>
    </xf>
    <xf numFmtId="165" fontId="33" fillId="40" borderId="79" xfId="0" applyNumberFormat="1" applyFont="1" applyFill="1" applyBorder="1" applyAlignment="1">
      <alignment horizontal="center"/>
    </xf>
    <xf numFmtId="165" fontId="33" fillId="40" borderId="62" xfId="0" applyNumberFormat="1" applyFont="1" applyFill="1" applyBorder="1" applyAlignment="1">
      <alignment horizontal="center"/>
    </xf>
    <xf numFmtId="49" fontId="32" fillId="2" borderId="83" xfId="0" applyNumberFormat="1" applyFont="1" applyFill="1" applyBorder="1" applyAlignment="1">
      <alignment horizontal="left" vertical="top" wrapText="1"/>
    </xf>
    <xf numFmtId="49" fontId="32" fillId="2" borderId="46" xfId="0" applyNumberFormat="1" applyFont="1" applyFill="1" applyBorder="1" applyAlignment="1">
      <alignment horizontal="left" vertical="top" wrapText="1"/>
    </xf>
    <xf numFmtId="0" fontId="32" fillId="0" borderId="30" xfId="0" applyFont="1" applyBorder="1" applyAlignment="1">
      <alignment horizontal="center" vertical="center"/>
    </xf>
    <xf numFmtId="0" fontId="31" fillId="2" borderId="74" xfId="0" applyFont="1" applyFill="1" applyBorder="1" applyAlignment="1">
      <alignment horizontal="center" vertical="center"/>
    </xf>
    <xf numFmtId="0" fontId="31" fillId="2" borderId="92" xfId="0" applyFont="1" applyFill="1" applyBorder="1" applyAlignment="1">
      <alignment horizontal="center" vertical="center"/>
    </xf>
    <xf numFmtId="0" fontId="31" fillId="2" borderId="78" xfId="0" applyFont="1" applyFill="1" applyBorder="1" applyAlignment="1">
      <alignment horizontal="center" vertical="center"/>
    </xf>
    <xf numFmtId="0" fontId="31" fillId="2" borderId="9" xfId="0" applyFont="1" applyFill="1" applyBorder="1" applyAlignment="1">
      <alignment horizontal="center" vertical="center"/>
    </xf>
    <xf numFmtId="9" fontId="32" fillId="0" borderId="43" xfId="0" applyNumberFormat="1" applyFont="1" applyBorder="1" applyAlignment="1">
      <alignment horizontal="center" vertical="center"/>
    </xf>
    <xf numFmtId="9" fontId="32" fillId="0" borderId="48" xfId="0" applyNumberFormat="1" applyFont="1" applyBorder="1" applyAlignment="1">
      <alignment horizontal="center" vertical="center"/>
    </xf>
    <xf numFmtId="165" fontId="31" fillId="0" borderId="79" xfId="0" applyNumberFormat="1" applyFont="1" applyBorder="1" applyAlignment="1">
      <alignment horizontal="center" vertical="center"/>
    </xf>
    <xf numFmtId="165" fontId="31" fillId="0" borderId="62" xfId="0" applyNumberFormat="1" applyFont="1" applyBorder="1" applyAlignment="1">
      <alignment horizontal="center" vertical="center"/>
    </xf>
    <xf numFmtId="165" fontId="31" fillId="0" borderId="66" xfId="0" applyNumberFormat="1" applyFont="1" applyBorder="1" applyAlignment="1">
      <alignment horizontal="center" vertical="center"/>
    </xf>
    <xf numFmtId="0" fontId="32" fillId="0" borderId="58" xfId="0" applyFont="1" applyBorder="1" applyAlignment="1">
      <alignment horizontal="center" wrapText="1"/>
    </xf>
    <xf numFmtId="0" fontId="32" fillId="0" borderId="65" xfId="0" applyFont="1" applyBorder="1" applyAlignment="1">
      <alignment horizontal="center" wrapText="1"/>
    </xf>
    <xf numFmtId="0" fontId="32" fillId="0" borderId="80" xfId="0" applyFont="1" applyBorder="1" applyAlignment="1">
      <alignment horizontal="left" vertical="center" wrapText="1"/>
    </xf>
    <xf numFmtId="0" fontId="32" fillId="0" borderId="67" xfId="0" applyFont="1" applyBorder="1" applyAlignment="1">
      <alignment horizontal="left" vertical="center" wrapText="1"/>
    </xf>
    <xf numFmtId="49" fontId="34" fillId="2" borderId="80" xfId="0" applyNumberFormat="1" applyFont="1" applyFill="1" applyBorder="1" applyAlignment="1">
      <alignment horizontal="left" vertical="top" wrapText="1"/>
    </xf>
    <xf numFmtId="49" fontId="34" fillId="2" borderId="67" xfId="0" applyNumberFormat="1" applyFont="1" applyFill="1" applyBorder="1" applyAlignment="1">
      <alignment horizontal="left" vertical="top" wrapText="1"/>
    </xf>
    <xf numFmtId="49" fontId="34" fillId="2" borderId="81" xfId="0" applyNumberFormat="1" applyFont="1" applyFill="1" applyBorder="1" applyAlignment="1">
      <alignment horizontal="left" vertical="top" wrapText="1"/>
    </xf>
    <xf numFmtId="49" fontId="34" fillId="2" borderId="82" xfId="0" applyNumberFormat="1" applyFont="1" applyFill="1" applyBorder="1" applyAlignment="1">
      <alignment horizontal="left" vertical="top" wrapText="1"/>
    </xf>
    <xf numFmtId="0" fontId="63" fillId="0" borderId="0" xfId="0" applyFont="1" applyAlignment="1"/>
    <xf numFmtId="49" fontId="31" fillId="0" borderId="48" xfId="0" applyNumberFormat="1" applyFont="1" applyBorder="1" applyAlignment="1">
      <alignment horizontal="right" vertical="center" textRotation="90"/>
    </xf>
    <xf numFmtId="49" fontId="31" fillId="0" borderId="51" xfId="0" applyNumberFormat="1" applyFont="1" applyBorder="1" applyAlignment="1">
      <alignment horizontal="right" vertical="center" textRotation="90"/>
    </xf>
    <xf numFmtId="49" fontId="38" fillId="0" borderId="43" xfId="0" applyNumberFormat="1" applyFont="1" applyBorder="1" applyAlignment="1">
      <alignment horizontal="right" vertical="center" textRotation="90"/>
    </xf>
    <xf numFmtId="49" fontId="38" fillId="0" borderId="48" xfId="0" applyNumberFormat="1" applyFont="1" applyBorder="1" applyAlignment="1">
      <alignment horizontal="right" vertical="center" textRotation="90"/>
    </xf>
    <xf numFmtId="0" fontId="32" fillId="0" borderId="70" xfId="0" applyFont="1" applyBorder="1" applyAlignment="1">
      <alignment horizontal="left" vertical="center" wrapText="1"/>
    </xf>
    <xf numFmtId="0" fontId="32" fillId="0" borderId="63" xfId="0" applyFont="1" applyBorder="1" applyAlignment="1">
      <alignment horizontal="left" vertical="center" wrapText="1"/>
    </xf>
    <xf numFmtId="0" fontId="32" fillId="0" borderId="71" xfId="0" applyFont="1" applyBorder="1" applyAlignment="1">
      <alignment horizontal="left" vertical="center" wrapText="1"/>
    </xf>
    <xf numFmtId="0" fontId="64" fillId="0" borderId="46" xfId="0" applyFont="1" applyFill="1" applyBorder="1" applyAlignment="1">
      <alignment horizontal="center" vertical="center" wrapText="1"/>
    </xf>
    <xf numFmtId="0" fontId="64" fillId="0" borderId="14" xfId="0" applyFont="1" applyFill="1" applyBorder="1" applyAlignment="1">
      <alignment horizontal="center" vertical="center" wrapText="1"/>
    </xf>
    <xf numFmtId="0" fontId="64" fillId="0" borderId="6" xfId="0" applyFont="1" applyFill="1" applyBorder="1" applyAlignment="1">
      <alignment horizontal="center" vertical="center" wrapText="1"/>
    </xf>
    <xf numFmtId="165" fontId="67" fillId="0" borderId="79" xfId="0" applyNumberFormat="1" applyFont="1" applyFill="1" applyBorder="1" applyAlignment="1">
      <alignment horizontal="right" vertical="center"/>
    </xf>
    <xf numFmtId="165" fontId="67" fillId="0" borderId="65" xfId="0" applyNumberFormat="1" applyFont="1" applyFill="1" applyBorder="1" applyAlignment="1">
      <alignment horizontal="right" vertical="center"/>
    </xf>
    <xf numFmtId="0" fontId="64" fillId="0" borderId="79" xfId="0" applyFont="1" applyFill="1" applyBorder="1" applyAlignment="1">
      <alignment horizontal="left" vertical="center"/>
    </xf>
    <xf numFmtId="0" fontId="64" fillId="0" borderId="62" xfId="0" applyFont="1" applyFill="1" applyBorder="1" applyAlignment="1">
      <alignment horizontal="left" vertical="center"/>
    </xf>
    <xf numFmtId="0" fontId="64" fillId="0" borderId="65" xfId="0" applyFont="1" applyFill="1" applyBorder="1" applyAlignment="1">
      <alignment horizontal="left" vertical="center"/>
    </xf>
    <xf numFmtId="0" fontId="67" fillId="0" borderId="60" xfId="0" applyFont="1" applyFill="1" applyBorder="1" applyAlignment="1">
      <alignment horizontal="left" vertical="center"/>
    </xf>
    <xf numFmtId="0" fontId="67" fillId="0" borderId="45" xfId="0" applyFont="1" applyFill="1" applyBorder="1" applyAlignment="1">
      <alignment horizontal="left" vertical="center"/>
    </xf>
    <xf numFmtId="0" fontId="67" fillId="0" borderId="73" xfId="0" applyFont="1" applyFill="1" applyBorder="1" applyAlignment="1">
      <alignment horizontal="left" vertical="center"/>
    </xf>
    <xf numFmtId="165" fontId="44" fillId="0" borderId="69" xfId="0" applyNumberFormat="1" applyFont="1" applyFill="1" applyBorder="1" applyAlignment="1">
      <alignment horizontal="right"/>
    </xf>
    <xf numFmtId="165" fontId="44" fillId="0" borderId="73" xfId="0" applyNumberFormat="1" applyFont="1" applyFill="1" applyBorder="1" applyAlignment="1">
      <alignment horizontal="right"/>
    </xf>
    <xf numFmtId="165" fontId="44" fillId="0" borderId="34" xfId="0" applyNumberFormat="1" applyFont="1" applyFill="1" applyBorder="1" applyAlignment="1"/>
    <xf numFmtId="165" fontId="44" fillId="0" borderId="35" xfId="0" applyNumberFormat="1" applyFont="1" applyFill="1" applyBorder="1" applyAlignment="1"/>
    <xf numFmtId="165" fontId="73" fillId="0" borderId="79" xfId="0" applyNumberFormat="1" applyFont="1" applyFill="1" applyBorder="1" applyAlignment="1">
      <alignment horizontal="center" vertical="center"/>
    </xf>
    <xf numFmtId="165" fontId="73" fillId="0" borderId="65" xfId="0" applyNumberFormat="1" applyFont="1" applyFill="1" applyBorder="1" applyAlignment="1">
      <alignment horizontal="center" vertical="center"/>
    </xf>
    <xf numFmtId="0" fontId="43" fillId="0" borderId="0" xfId="0" applyFont="1" applyFill="1" applyAlignment="1">
      <alignment horizontal="center"/>
    </xf>
    <xf numFmtId="0" fontId="43" fillId="0" borderId="82" xfId="0" applyFont="1" applyFill="1" applyBorder="1" applyAlignment="1">
      <alignment horizontal="right" vertical="center"/>
    </xf>
    <xf numFmtId="0" fontId="43" fillId="0" borderId="82" xfId="0" applyFont="1" applyFill="1" applyBorder="1" applyAlignment="1">
      <alignment horizontal="left" vertical="center"/>
    </xf>
    <xf numFmtId="0" fontId="43" fillId="0" borderId="82" xfId="0" applyFont="1" applyFill="1" applyBorder="1" applyAlignment="1">
      <alignment horizontal="center" vertical="center"/>
    </xf>
    <xf numFmtId="0" fontId="43" fillId="0" borderId="27" xfId="0" applyFont="1" applyFill="1" applyBorder="1" applyAlignment="1">
      <alignment horizontal="center" vertical="center"/>
    </xf>
    <xf numFmtId="0" fontId="43" fillId="0" borderId="60" xfId="0" applyFont="1" applyFill="1" applyBorder="1" applyAlignment="1">
      <alignment horizontal="right" vertical="center"/>
    </xf>
    <xf numFmtId="0" fontId="43" fillId="0" borderId="45" xfId="0" applyFont="1" applyFill="1" applyBorder="1" applyAlignment="1">
      <alignment horizontal="right" vertical="center"/>
    </xf>
    <xf numFmtId="0" fontId="43" fillId="0" borderId="73" xfId="0" applyFont="1" applyFill="1" applyBorder="1" applyAlignment="1">
      <alignment horizontal="right" vertical="center"/>
    </xf>
    <xf numFmtId="0" fontId="7" fillId="0" borderId="60" xfId="8" applyFont="1" applyFill="1" applyBorder="1" applyAlignment="1">
      <alignment horizontal="left" vertical="center"/>
    </xf>
    <xf numFmtId="0" fontId="7" fillId="0" borderId="45" xfId="8" applyFont="1" applyFill="1" applyBorder="1" applyAlignment="1">
      <alignment horizontal="left" vertical="center"/>
    </xf>
    <xf numFmtId="0" fontId="7" fillId="0" borderId="73" xfId="8" applyFont="1" applyFill="1" applyBorder="1" applyAlignment="1">
      <alignment horizontal="left" vertical="center"/>
    </xf>
    <xf numFmtId="0" fontId="43" fillId="0" borderId="86" xfId="0" applyFont="1" applyFill="1" applyBorder="1" applyAlignment="1">
      <alignment horizontal="center" vertical="center"/>
    </xf>
    <xf numFmtId="0" fontId="43" fillId="0" borderId="85" xfId="0" applyFont="1" applyFill="1" applyBorder="1" applyAlignment="1">
      <alignment horizontal="center" vertical="center"/>
    </xf>
    <xf numFmtId="0" fontId="53" fillId="0" borderId="79" xfId="0" applyFont="1" applyFill="1" applyBorder="1" applyAlignment="1">
      <alignment horizontal="center"/>
    </xf>
    <xf numFmtId="0" fontId="53" fillId="0" borderId="62" xfId="0" applyFont="1" applyFill="1" applyBorder="1" applyAlignment="1">
      <alignment horizontal="center"/>
    </xf>
    <xf numFmtId="0" fontId="53" fillId="0" borderId="65" xfId="0" applyFont="1" applyFill="1" applyBorder="1" applyAlignment="1">
      <alignment horizontal="center"/>
    </xf>
    <xf numFmtId="165" fontId="44" fillId="0" borderId="0" xfId="0" applyNumberFormat="1" applyFont="1" applyFill="1" applyAlignment="1">
      <alignment horizontal="right"/>
    </xf>
    <xf numFmtId="165" fontId="54" fillId="0" borderId="79" xfId="0" applyNumberFormat="1" applyFont="1" applyFill="1" applyBorder="1" applyAlignment="1">
      <alignment horizontal="center"/>
    </xf>
    <xf numFmtId="0" fontId="54" fillId="0" borderId="65" xfId="0" applyFont="1" applyFill="1" applyBorder="1" applyAlignment="1">
      <alignment horizontal="center"/>
    </xf>
    <xf numFmtId="165" fontId="53" fillId="0" borderId="79" xfId="0" applyNumberFormat="1" applyFont="1" applyFill="1" applyBorder="1" applyAlignment="1">
      <alignment horizontal="center"/>
    </xf>
    <xf numFmtId="165" fontId="53" fillId="0" borderId="66" xfId="0" applyNumberFormat="1" applyFont="1" applyFill="1" applyBorder="1" applyAlignment="1">
      <alignment horizontal="center"/>
    </xf>
    <xf numFmtId="165" fontId="44" fillId="0" borderId="33" xfId="0" applyNumberFormat="1" applyFont="1" applyFill="1" applyBorder="1" applyAlignment="1">
      <alignment horizontal="right"/>
    </xf>
    <xf numFmtId="165" fontId="44" fillId="0" borderId="85" xfId="0" applyNumberFormat="1" applyFont="1" applyFill="1" applyBorder="1" applyAlignment="1">
      <alignment horizontal="right"/>
    </xf>
    <xf numFmtId="165" fontId="44" fillId="0" borderId="60" xfId="0" applyNumberFormat="1" applyFont="1" applyFill="1" applyBorder="1" applyAlignment="1"/>
    <xf numFmtId="165" fontId="44" fillId="0" borderId="56" xfId="0" applyNumberFormat="1" applyFont="1" applyFill="1" applyBorder="1" applyAlignment="1"/>
    <xf numFmtId="165" fontId="53" fillId="0" borderId="58" xfId="0" applyNumberFormat="1" applyFont="1" applyFill="1" applyBorder="1" applyAlignment="1">
      <alignment horizontal="center"/>
    </xf>
    <xf numFmtId="165" fontId="53" fillId="0" borderId="65" xfId="0" applyNumberFormat="1" applyFont="1" applyFill="1" applyBorder="1" applyAlignment="1">
      <alignment horizontal="center"/>
    </xf>
    <xf numFmtId="0" fontId="58" fillId="0" borderId="75" xfId="0" applyFont="1" applyFill="1" applyBorder="1" applyAlignment="1">
      <alignment horizontal="center" vertical="center" wrapText="1"/>
    </xf>
    <xf numFmtId="0" fontId="58" fillId="0" borderId="64" xfId="0" applyFont="1" applyFill="1" applyBorder="1" applyAlignment="1">
      <alignment horizontal="center" vertical="center" wrapText="1"/>
    </xf>
    <xf numFmtId="0" fontId="58" fillId="0" borderId="72" xfId="0" applyFont="1" applyFill="1" applyBorder="1" applyAlignment="1">
      <alignment horizontal="center" vertical="center" wrapText="1"/>
    </xf>
    <xf numFmtId="0" fontId="58" fillId="0" borderId="74" xfId="0" applyFont="1" applyFill="1" applyBorder="1" applyAlignment="1">
      <alignment horizontal="center" vertical="center" wrapText="1"/>
    </xf>
    <xf numFmtId="0" fontId="58" fillId="0" borderId="78" xfId="0" applyFont="1" applyFill="1" applyBorder="1" applyAlignment="1">
      <alignment horizontal="center" vertical="center" wrapText="1"/>
    </xf>
    <xf numFmtId="0" fontId="58" fillId="0" borderId="76" xfId="0" applyFont="1" applyFill="1" applyBorder="1" applyAlignment="1">
      <alignment horizontal="center" vertical="center" wrapText="1"/>
    </xf>
    <xf numFmtId="0" fontId="58" fillId="0" borderId="2" xfId="0" applyFont="1" applyFill="1" applyBorder="1" applyAlignment="1">
      <alignment horizontal="center" vertical="center" wrapText="1"/>
    </xf>
    <xf numFmtId="0" fontId="58" fillId="0" borderId="80" xfId="0" applyFont="1" applyFill="1" applyBorder="1" applyAlignment="1">
      <alignment horizontal="center" vertical="center" wrapText="1"/>
    </xf>
    <xf numFmtId="0" fontId="58" fillId="0" borderId="12" xfId="0" applyFont="1" applyFill="1" applyBorder="1" applyAlignment="1">
      <alignment horizontal="center" vertical="center" wrapText="1"/>
    </xf>
    <xf numFmtId="0" fontId="58" fillId="0" borderId="81" xfId="0" applyFont="1" applyFill="1" applyBorder="1" applyAlignment="1">
      <alignment horizontal="center" vertical="center" wrapText="1"/>
    </xf>
    <xf numFmtId="0" fontId="58" fillId="0" borderId="1" xfId="0" applyFont="1" applyFill="1" applyBorder="1" applyAlignment="1">
      <alignment horizontal="center" vertical="center" wrapText="1"/>
    </xf>
    <xf numFmtId="49" fontId="67" fillId="0" borderId="0" xfId="0" applyNumberFormat="1" applyFont="1" applyFill="1" applyAlignment="1">
      <alignment horizontal="center" vertical="center"/>
    </xf>
    <xf numFmtId="167" fontId="59" fillId="0" borderId="43" xfId="5" applyNumberFormat="1" applyFont="1" applyFill="1" applyBorder="1" applyAlignment="1">
      <alignment horizontal="center" vertical="center" textRotation="90"/>
    </xf>
    <xf numFmtId="0" fontId="75" fillId="0" borderId="48" xfId="0" applyFont="1" applyFill="1" applyBorder="1" applyAlignment="1">
      <alignment horizontal="center" vertical="center" textRotation="90"/>
    </xf>
    <xf numFmtId="0" fontId="75" fillId="0" borderId="51" xfId="0" applyFont="1" applyFill="1" applyBorder="1" applyAlignment="1">
      <alignment horizontal="center" vertical="center" textRotation="90"/>
    </xf>
    <xf numFmtId="167" fontId="59" fillId="0" borderId="48" xfId="5" applyNumberFormat="1" applyFont="1" applyFill="1" applyBorder="1" applyAlignment="1">
      <alignment horizontal="center" vertical="center" textRotation="90"/>
    </xf>
    <xf numFmtId="167" fontId="59" fillId="0" borderId="51" xfId="5" applyNumberFormat="1" applyFont="1" applyFill="1" applyBorder="1" applyAlignment="1">
      <alignment horizontal="center" vertical="center" textRotation="90"/>
    </xf>
    <xf numFmtId="167" fontId="43" fillId="0" borderId="39" xfId="0" applyNumberFormat="1" applyFont="1" applyFill="1" applyBorder="1" applyAlignment="1">
      <alignment horizontal="center" vertical="center"/>
    </xf>
    <xf numFmtId="167" fontId="43" fillId="0" borderId="86" xfId="0" applyNumberFormat="1" applyFont="1" applyFill="1" applyBorder="1" applyAlignment="1">
      <alignment horizontal="center" vertical="center"/>
    </xf>
    <xf numFmtId="0" fontId="43" fillId="0" borderId="60" xfId="0" applyFont="1" applyFill="1" applyBorder="1" applyAlignment="1">
      <alignment horizontal="center" vertical="center"/>
    </xf>
    <xf numFmtId="0" fontId="43" fillId="0" borderId="73" xfId="0" applyFont="1" applyFill="1" applyBorder="1" applyAlignment="1">
      <alignment horizontal="center" vertical="center"/>
    </xf>
    <xf numFmtId="0" fontId="7" fillId="0" borderId="60" xfId="9" applyNumberFormat="1" applyFont="1" applyFill="1" applyBorder="1" applyAlignment="1">
      <alignment horizontal="right" vertical="center"/>
    </xf>
    <xf numFmtId="0" fontId="7" fillId="0" borderId="73" xfId="9" applyNumberFormat="1" applyFont="1" applyFill="1" applyBorder="1" applyAlignment="1">
      <alignment horizontal="right" vertical="center"/>
    </xf>
    <xf numFmtId="165" fontId="44" fillId="0" borderId="79" xfId="0" applyNumberFormat="1" applyFont="1" applyFill="1" applyBorder="1" applyAlignment="1">
      <alignment wrapText="1"/>
    </xf>
    <xf numFmtId="165" fontId="44" fillId="0" borderId="66" xfId="0" applyNumberFormat="1" applyFont="1" applyFill="1" applyBorder="1" applyAlignment="1">
      <alignment wrapText="1"/>
    </xf>
    <xf numFmtId="0" fontId="43" fillId="0" borderId="27" xfId="0" applyFont="1" applyFill="1" applyBorder="1" applyAlignment="1">
      <alignment horizontal="center"/>
    </xf>
    <xf numFmtId="165" fontId="44" fillId="0" borderId="58" xfId="0" applyNumberFormat="1" applyFont="1" applyFill="1" applyBorder="1" applyAlignment="1">
      <alignment horizontal="center"/>
    </xf>
    <xf numFmtId="165" fontId="44" fillId="0" borderId="65" xfId="0" applyNumberFormat="1" applyFont="1" applyFill="1" applyBorder="1" applyAlignment="1">
      <alignment horizontal="center"/>
    </xf>
    <xf numFmtId="165" fontId="43" fillId="0" borderId="82" xfId="0" applyNumberFormat="1" applyFont="1" applyFill="1" applyBorder="1" applyAlignment="1">
      <alignment vertical="center"/>
    </xf>
    <xf numFmtId="165" fontId="43" fillId="0" borderId="82" xfId="5" applyNumberFormat="1" applyFont="1" applyFill="1" applyBorder="1" applyAlignment="1">
      <alignment vertical="center"/>
    </xf>
    <xf numFmtId="169" fontId="67" fillId="0" borderId="82" xfId="0" applyNumberFormat="1" applyFont="1" applyFill="1" applyBorder="1" applyAlignment="1">
      <alignment horizontal="center" vertical="center"/>
    </xf>
    <xf numFmtId="167" fontId="43" fillId="0" borderId="60" xfId="0" applyNumberFormat="1" applyFont="1" applyFill="1" applyBorder="1" applyAlignment="1">
      <alignment vertical="center"/>
    </xf>
    <xf numFmtId="167" fontId="43" fillId="0" borderId="73" xfId="0" applyNumberFormat="1" applyFont="1" applyFill="1" applyBorder="1" applyAlignment="1">
      <alignment vertical="center"/>
    </xf>
    <xf numFmtId="0" fontId="53" fillId="0" borderId="31" xfId="0" applyFont="1" applyFill="1" applyBorder="1" applyAlignment="1">
      <alignment horizontal="center" wrapText="1"/>
    </xf>
    <xf numFmtId="0" fontId="53" fillId="0" borderId="0" xfId="0" applyFont="1" applyFill="1" applyAlignment="1">
      <alignment horizontal="center" wrapText="1"/>
    </xf>
    <xf numFmtId="165" fontId="43" fillId="0" borderId="70" xfId="0" applyNumberFormat="1" applyFont="1" applyFill="1" applyBorder="1" applyAlignment="1">
      <alignment vertical="center"/>
    </xf>
    <xf numFmtId="165" fontId="43" fillId="0" borderId="68" xfId="0" applyNumberFormat="1" applyFont="1" applyFill="1" applyBorder="1" applyAlignment="1">
      <alignment vertical="center"/>
    </xf>
    <xf numFmtId="165" fontId="43" fillId="0" borderId="69" xfId="0" applyNumberFormat="1" applyFont="1" applyFill="1" applyBorder="1" applyAlignment="1">
      <alignment vertical="center"/>
    </xf>
    <xf numFmtId="165" fontId="43" fillId="0" borderId="56" xfId="0" applyNumberFormat="1" applyFont="1" applyFill="1" applyBorder="1" applyAlignment="1">
      <alignment vertical="center"/>
    </xf>
    <xf numFmtId="165" fontId="43" fillId="0" borderId="75" xfId="0" applyNumberFormat="1" applyFont="1" applyFill="1" applyBorder="1" applyAlignment="1">
      <alignment vertical="center"/>
    </xf>
    <xf numFmtId="165" fontId="43" fillId="0" borderId="64" xfId="0" applyNumberFormat="1" applyFont="1" applyFill="1" applyBorder="1" applyAlignment="1">
      <alignment vertical="center"/>
    </xf>
    <xf numFmtId="165" fontId="44" fillId="0" borderId="61" xfId="0" applyNumberFormat="1" applyFont="1" applyFill="1" applyBorder="1" applyAlignment="1"/>
    <xf numFmtId="165" fontId="44" fillId="0" borderId="64" xfId="0" applyNumberFormat="1" applyFont="1" applyFill="1" applyBorder="1" applyAlignment="1"/>
    <xf numFmtId="49" fontId="32" fillId="2" borderId="36" xfId="0" applyNumberFormat="1" applyFont="1" applyFill="1" applyBorder="1" applyAlignment="1">
      <alignment horizontal="left" vertical="top" wrapText="1"/>
    </xf>
    <xf numFmtId="49" fontId="32" fillId="2" borderId="37" xfId="0" applyNumberFormat="1" applyFont="1" applyFill="1" applyBorder="1" applyAlignment="1">
      <alignment horizontal="left" vertical="top" wrapText="1"/>
    </xf>
    <xf numFmtId="49" fontId="32" fillId="2" borderId="86" xfId="0" applyNumberFormat="1" applyFont="1" applyFill="1" applyBorder="1" applyAlignment="1">
      <alignment horizontal="left" vertical="top" wrapText="1"/>
    </xf>
    <xf numFmtId="0" fontId="32" fillId="0" borderId="36" xfId="0" applyFont="1" applyBorder="1" applyAlignment="1">
      <alignment horizontal="left" vertical="center" wrapText="1"/>
    </xf>
    <xf numFmtId="0" fontId="32" fillId="0" borderId="37" xfId="0" applyFont="1" applyBorder="1" applyAlignment="1">
      <alignment horizontal="left" vertical="center" wrapText="1"/>
    </xf>
    <xf numFmtId="0" fontId="32" fillId="0" borderId="86" xfId="0" applyFont="1" applyBorder="1" applyAlignment="1">
      <alignment horizontal="left" vertical="center" wrapText="1"/>
    </xf>
    <xf numFmtId="0" fontId="32" fillId="0" borderId="33" xfId="0" applyFont="1" applyBorder="1" applyAlignment="1">
      <alignment horizontal="left" vertical="center" wrapText="1"/>
    </xf>
    <xf numFmtId="0" fontId="32" fillId="0" borderId="27" xfId="0" applyFont="1" applyBorder="1" applyAlignment="1">
      <alignment horizontal="left" vertical="center" wrapText="1"/>
    </xf>
    <xf numFmtId="0" fontId="32" fillId="0" borderId="85" xfId="0" applyFont="1" applyBorder="1" applyAlignment="1">
      <alignment horizontal="left" vertical="center" wrapText="1"/>
    </xf>
    <xf numFmtId="0" fontId="32" fillId="0" borderId="31" xfId="0" applyFont="1" applyBorder="1" applyAlignment="1">
      <alignment horizontal="left" vertical="center" wrapText="1"/>
    </xf>
    <xf numFmtId="0" fontId="32" fillId="0" borderId="50" xfId="0" applyFont="1" applyBorder="1" applyAlignment="1">
      <alignment horizontal="left" vertical="center" wrapText="1"/>
    </xf>
    <xf numFmtId="165" fontId="33" fillId="0" borderId="58" xfId="0" applyNumberFormat="1" applyFont="1" applyBorder="1" applyAlignment="1">
      <alignment horizontal="center" vertical="center"/>
    </xf>
    <xf numFmtId="165" fontId="33" fillId="0" borderId="65" xfId="0" applyNumberFormat="1" applyFont="1" applyBorder="1" applyAlignment="1">
      <alignment horizontal="center" vertical="center"/>
    </xf>
    <xf numFmtId="0" fontId="32" fillId="0" borderId="28" xfId="0" applyFont="1" applyBorder="1" applyAlignment="1">
      <alignment horizontal="left" vertical="center" wrapText="1"/>
    </xf>
    <xf numFmtId="0" fontId="32" fillId="0" borderId="29" xfId="0" applyFont="1" applyBorder="1" applyAlignment="1">
      <alignment horizontal="left" vertical="center" wrapText="1"/>
    </xf>
    <xf numFmtId="0" fontId="32" fillId="0" borderId="55" xfId="0" applyFont="1" applyBorder="1" applyAlignment="1">
      <alignment horizontal="left" vertical="center" wrapText="1"/>
    </xf>
    <xf numFmtId="10" fontId="31" fillId="0" borderId="54" xfId="0" applyNumberFormat="1" applyFont="1" applyBorder="1" applyAlignment="1">
      <alignment horizontal="center" vertical="center" wrapText="1"/>
    </xf>
    <xf numFmtId="10" fontId="31" fillId="0" borderId="52" xfId="0" applyNumberFormat="1" applyFont="1" applyBorder="1" applyAlignment="1">
      <alignment horizontal="center" vertical="center" wrapText="1"/>
    </xf>
    <xf numFmtId="0" fontId="31" fillId="0" borderId="28" xfId="0" applyFont="1" applyBorder="1" applyAlignment="1">
      <alignment horizontal="right" vertical="center" wrapText="1"/>
    </xf>
    <xf numFmtId="0" fontId="31" fillId="0" borderId="29" xfId="0" applyFont="1" applyBorder="1" applyAlignment="1">
      <alignment horizontal="right" vertical="center" wrapText="1"/>
    </xf>
    <xf numFmtId="0" fontId="31" fillId="0" borderId="87" xfId="0" applyFont="1" applyBorder="1" applyAlignment="1">
      <alignment horizontal="right" vertical="center" wrapText="1"/>
    </xf>
    <xf numFmtId="0" fontId="31" fillId="0" borderId="26" xfId="0" applyFont="1" applyBorder="1" applyAlignment="1">
      <alignment horizontal="right" vertical="center" wrapText="1"/>
    </xf>
    <xf numFmtId="165" fontId="31" fillId="0" borderId="13" xfId="0" applyNumberFormat="1" applyFont="1" applyBorder="1" applyAlignment="1">
      <alignment horizontal="center" vertical="center" wrapText="1"/>
    </xf>
    <xf numFmtId="165" fontId="31" fillId="0" borderId="7" xfId="0" applyNumberFormat="1" applyFont="1" applyBorder="1" applyAlignment="1">
      <alignment horizontal="center" vertical="center" wrapText="1"/>
    </xf>
    <xf numFmtId="49" fontId="32" fillId="2" borderId="87" xfId="0" applyNumberFormat="1" applyFont="1" applyFill="1" applyBorder="1" applyAlignment="1">
      <alignment horizontal="left" vertical="top" wrapText="1"/>
    </xf>
    <xf numFmtId="49" fontId="32" fillId="2" borderId="26" xfId="0" applyNumberFormat="1" applyFont="1" applyFill="1" applyBorder="1" applyAlignment="1">
      <alignment horizontal="left" vertical="top" wrapText="1"/>
    </xf>
    <xf numFmtId="49" fontId="32" fillId="2" borderId="88" xfId="0" applyNumberFormat="1" applyFont="1" applyFill="1" applyBorder="1" applyAlignment="1">
      <alignment horizontal="left" vertical="top" wrapText="1"/>
    </xf>
    <xf numFmtId="0" fontId="31" fillId="0" borderId="79" xfId="0" applyFont="1" applyBorder="1" applyAlignment="1">
      <alignment vertical="top"/>
    </xf>
    <xf numFmtId="0" fontId="31" fillId="0" borderId="62" xfId="0" applyFont="1" applyBorder="1" applyAlignment="1">
      <alignment vertical="top"/>
    </xf>
    <xf numFmtId="0" fontId="31" fillId="0" borderId="66" xfId="0" applyFont="1" applyBorder="1" applyAlignment="1">
      <alignment vertical="top"/>
    </xf>
    <xf numFmtId="165" fontId="33" fillId="0" borderId="58" xfId="0" applyNumberFormat="1" applyFont="1" applyBorder="1" applyAlignment="1" applyProtection="1">
      <alignment horizontal="center" vertical="center"/>
      <protection locked="0"/>
    </xf>
    <xf numFmtId="165" fontId="33" fillId="0" borderId="65" xfId="0" applyNumberFormat="1" applyFont="1" applyBorder="1" applyAlignment="1" applyProtection="1">
      <alignment horizontal="center" vertical="center"/>
      <protection locked="0"/>
    </xf>
    <xf numFmtId="49" fontId="31" fillId="0" borderId="41" xfId="0" applyNumberFormat="1" applyFont="1" applyBorder="1" applyAlignment="1">
      <alignment horizontal="right" vertical="center" textRotation="90"/>
    </xf>
    <xf numFmtId="10" fontId="32" fillId="0" borderId="13" xfId="0" applyNumberFormat="1" applyFont="1" applyBorder="1" applyAlignment="1">
      <alignment horizontal="center" vertical="center"/>
    </xf>
    <xf numFmtId="10" fontId="32" fillId="0" borderId="16" xfId="0" applyNumberFormat="1" applyFont="1" applyBorder="1" applyAlignment="1">
      <alignment horizontal="center" vertical="center"/>
    </xf>
    <xf numFmtId="10" fontId="32" fillId="0" borderId="14" xfId="0" applyNumberFormat="1" applyFont="1" applyBorder="1" applyAlignment="1">
      <alignment horizontal="center" vertical="center"/>
    </xf>
    <xf numFmtId="10" fontId="32" fillId="0" borderId="15" xfId="0" applyNumberFormat="1" applyFont="1" applyBorder="1" applyAlignment="1">
      <alignment horizontal="center" vertical="center"/>
    </xf>
    <xf numFmtId="10" fontId="32" fillId="0" borderId="7" xfId="0" applyNumberFormat="1" applyFont="1" applyBorder="1" applyAlignment="1">
      <alignment horizontal="center" vertical="center"/>
    </xf>
    <xf numFmtId="10" fontId="32" fillId="0" borderId="8" xfId="0" applyNumberFormat="1" applyFont="1" applyBorder="1" applyAlignment="1">
      <alignment horizontal="center" vertical="center"/>
    </xf>
    <xf numFmtId="0" fontId="31" fillId="0" borderId="41" xfId="0" applyFont="1" applyBorder="1" applyAlignment="1">
      <alignment horizontal="right" vertical="center"/>
    </xf>
    <xf numFmtId="10" fontId="32" fillId="0" borderId="83" xfId="0" applyNumberFormat="1" applyFont="1" applyBorder="1" applyAlignment="1">
      <alignment horizontal="center" vertical="center" wrapText="1"/>
    </xf>
    <xf numFmtId="10" fontId="32" fillId="0" borderId="4" xfId="0" applyNumberFormat="1" applyFont="1" applyBorder="1" applyAlignment="1">
      <alignment horizontal="center" vertical="center" wrapText="1"/>
    </xf>
    <xf numFmtId="7" fontId="32" fillId="0" borderId="67" xfId="0" applyNumberFormat="1" applyFont="1" applyBorder="1" applyAlignment="1">
      <alignment horizontal="center" vertical="center"/>
    </xf>
    <xf numFmtId="7" fontId="32" fillId="0" borderId="12" xfId="0" applyNumberFormat="1" applyFont="1" applyBorder="1" applyAlignment="1">
      <alignment horizontal="center" vertical="center"/>
    </xf>
    <xf numFmtId="7" fontId="32" fillId="0" borderId="82" xfId="0" applyNumberFormat="1" applyFont="1" applyBorder="1" applyAlignment="1">
      <alignment horizontal="center" vertical="center"/>
    </xf>
    <xf numFmtId="7" fontId="32" fillId="0" borderId="1" xfId="0" applyNumberFormat="1" applyFont="1" applyBorder="1" applyAlignment="1">
      <alignment horizontal="center" vertical="center"/>
    </xf>
    <xf numFmtId="7" fontId="32" fillId="0" borderId="84" xfId="0" applyNumberFormat="1" applyFont="1" applyBorder="1" applyAlignment="1">
      <alignment horizontal="center" vertical="center"/>
    </xf>
    <xf numFmtId="7" fontId="32" fillId="0" borderId="2" xfId="0" applyNumberFormat="1" applyFont="1" applyBorder="1" applyAlignment="1">
      <alignment horizontal="center" vertical="center"/>
    </xf>
    <xf numFmtId="49" fontId="32" fillId="2" borderId="69" xfId="0" applyNumberFormat="1" applyFont="1" applyFill="1" applyBorder="1" applyAlignment="1">
      <alignment horizontal="left" vertical="top"/>
    </xf>
    <xf numFmtId="49" fontId="32" fillId="2" borderId="45" xfId="0" applyNumberFormat="1" applyFont="1" applyFill="1" applyBorder="1" applyAlignment="1">
      <alignment horizontal="left" vertical="top"/>
    </xf>
    <xf numFmtId="165" fontId="33" fillId="0" borderId="79" xfId="0" applyNumberFormat="1" applyFont="1" applyBorder="1" applyAlignment="1">
      <alignment horizontal="center" vertical="center"/>
    </xf>
    <xf numFmtId="165" fontId="33" fillId="0" borderId="62" xfId="0" applyNumberFormat="1" applyFont="1" applyBorder="1" applyAlignment="1">
      <alignment horizontal="center" vertical="center"/>
    </xf>
    <xf numFmtId="10" fontId="32" fillId="0" borderId="57" xfId="0" applyNumberFormat="1" applyFont="1" applyBorder="1" applyAlignment="1">
      <alignment horizontal="center"/>
    </xf>
    <xf numFmtId="7" fontId="32" fillId="0" borderId="82" xfId="0" applyNumberFormat="1" applyFont="1" applyBorder="1" applyAlignment="1">
      <alignment horizontal="center" vertical="center" wrapText="1"/>
    </xf>
    <xf numFmtId="7" fontId="32" fillId="0" borderId="1" xfId="0" applyNumberFormat="1" applyFont="1" applyBorder="1" applyAlignment="1">
      <alignment horizontal="center" vertical="center" wrapText="1"/>
    </xf>
    <xf numFmtId="49" fontId="32" fillId="2" borderId="81" xfId="0" applyNumberFormat="1" applyFont="1" applyFill="1" applyBorder="1" applyAlignment="1">
      <alignment horizontal="left" vertical="top"/>
    </xf>
    <xf numFmtId="49" fontId="32" fillId="2" borderId="82" xfId="0" applyNumberFormat="1" applyFont="1" applyFill="1" applyBorder="1" applyAlignment="1">
      <alignment horizontal="left" vertical="top"/>
    </xf>
    <xf numFmtId="49" fontId="32" fillId="2" borderId="83" xfId="0" applyNumberFormat="1" applyFont="1" applyFill="1" applyBorder="1" applyAlignment="1">
      <alignment horizontal="left" vertical="top"/>
    </xf>
    <xf numFmtId="49" fontId="32" fillId="2" borderId="46" xfId="0" applyNumberFormat="1" applyFont="1" applyFill="1" applyBorder="1" applyAlignment="1">
      <alignment horizontal="left" vertical="top"/>
    </xf>
    <xf numFmtId="170" fontId="32" fillId="0" borderId="79" xfId="0" applyNumberFormat="1" applyFont="1" applyBorder="1" applyAlignment="1">
      <alignment horizontal="center" vertical="center"/>
    </xf>
    <xf numFmtId="49" fontId="32" fillId="2" borderId="69" xfId="0" applyNumberFormat="1" applyFont="1" applyFill="1" applyBorder="1" applyAlignment="1">
      <alignment horizontal="left" vertical="top" wrapText="1"/>
    </xf>
    <xf numFmtId="49" fontId="32" fillId="2" borderId="45" xfId="0" applyNumberFormat="1" applyFont="1" applyFill="1" applyBorder="1" applyAlignment="1">
      <alignment horizontal="left" vertical="top" wrapText="1"/>
    </xf>
    <xf numFmtId="49" fontId="32" fillId="2" borderId="75" xfId="0" applyNumberFormat="1" applyFont="1" applyFill="1" applyBorder="1" applyAlignment="1">
      <alignment horizontal="left" vertical="top" wrapText="1"/>
    </xf>
    <xf numFmtId="49" fontId="32" fillId="2" borderId="38" xfId="0" applyNumberFormat="1" applyFont="1" applyFill="1" applyBorder="1" applyAlignment="1">
      <alignment horizontal="left" vertical="top" wrapText="1"/>
    </xf>
    <xf numFmtId="0" fontId="32" fillId="2" borderId="82" xfId="0" applyFont="1" applyFill="1" applyBorder="1" applyAlignment="1">
      <alignment horizontal="center" vertical="center"/>
    </xf>
    <xf numFmtId="165" fontId="33" fillId="0" borderId="13" xfId="0" applyNumberFormat="1" applyFont="1" applyBorder="1" applyAlignment="1">
      <alignment horizontal="center" vertical="center" wrapText="1"/>
    </xf>
    <xf numFmtId="165" fontId="33" fillId="0" borderId="14" xfId="0" applyNumberFormat="1" applyFont="1" applyBorder="1" applyAlignment="1">
      <alignment horizontal="center" vertical="center" wrapText="1"/>
    </xf>
    <xf numFmtId="165" fontId="33" fillId="0" borderId="7" xfId="0" applyNumberFormat="1" applyFont="1" applyBorder="1" applyAlignment="1">
      <alignment horizontal="center" vertical="center" wrapText="1"/>
    </xf>
    <xf numFmtId="165" fontId="33" fillId="0" borderId="32" xfId="0" applyNumberFormat="1" applyFont="1" applyBorder="1" applyAlignment="1">
      <alignment horizontal="center" vertical="center" wrapText="1"/>
    </xf>
    <xf numFmtId="165" fontId="33" fillId="0" borderId="40" xfId="0" applyNumberFormat="1" applyFont="1" applyBorder="1" applyAlignment="1">
      <alignment horizontal="center" vertical="center" wrapText="1"/>
    </xf>
    <xf numFmtId="165" fontId="33" fillId="0" borderId="47" xfId="0" applyNumberFormat="1" applyFont="1" applyBorder="1" applyAlignment="1">
      <alignment horizontal="center" vertical="center" wrapText="1"/>
    </xf>
    <xf numFmtId="165" fontId="33" fillId="0" borderId="41" xfId="0" applyNumberFormat="1" applyFont="1" applyBorder="1" applyAlignment="1">
      <alignment horizontal="center" vertical="center" wrapText="1"/>
    </xf>
    <xf numFmtId="165" fontId="33" fillId="0" borderId="53" xfId="0" applyNumberFormat="1" applyFont="1" applyBorder="1" applyAlignment="1">
      <alignment horizontal="center" vertical="center" wrapText="1"/>
    </xf>
    <xf numFmtId="165" fontId="33" fillId="0" borderId="44" xfId="0" applyNumberFormat="1" applyFont="1" applyBorder="1" applyAlignment="1">
      <alignment horizontal="center" vertical="center" wrapText="1"/>
    </xf>
    <xf numFmtId="10" fontId="32" fillId="0" borderId="66" xfId="0" applyNumberFormat="1" applyFont="1" applyBorder="1" applyAlignment="1">
      <alignment horizontal="center"/>
    </xf>
    <xf numFmtId="49" fontId="32" fillId="2" borderId="76" xfId="0" applyNumberFormat="1" applyFont="1" applyFill="1" applyBorder="1" applyAlignment="1">
      <alignment horizontal="left" vertical="top"/>
    </xf>
    <xf numFmtId="49" fontId="32" fillId="2" borderId="84" xfId="0" applyNumberFormat="1" applyFont="1" applyFill="1" applyBorder="1" applyAlignment="1">
      <alignment horizontal="left" vertical="top"/>
    </xf>
    <xf numFmtId="165" fontId="33" fillId="0" borderId="28" xfId="0" applyNumberFormat="1" applyFont="1" applyBorder="1" applyAlignment="1">
      <alignment horizontal="center" vertical="center" wrapText="1"/>
    </xf>
    <xf numFmtId="165" fontId="33" fillId="0" borderId="29" xfId="0" applyNumberFormat="1" applyFont="1" applyBorder="1" applyAlignment="1">
      <alignment horizontal="center" vertical="center" wrapText="1"/>
    </xf>
    <xf numFmtId="165" fontId="33" fillId="0" borderId="31" xfId="0" applyNumberFormat="1" applyFont="1" applyBorder="1" applyAlignment="1">
      <alignment horizontal="center" vertical="center" wrapText="1"/>
    </xf>
    <xf numFmtId="165" fontId="33" fillId="0" borderId="0" xfId="0" applyNumberFormat="1" applyFont="1" applyAlignment="1">
      <alignment horizontal="center" vertical="center" wrapText="1"/>
    </xf>
    <xf numFmtId="165" fontId="33" fillId="0" borderId="87" xfId="0" applyNumberFormat="1" applyFont="1" applyBorder="1" applyAlignment="1">
      <alignment horizontal="center" vertical="center" wrapText="1"/>
    </xf>
    <xf numFmtId="165" fontId="33" fillId="0" borderId="26" xfId="0" applyNumberFormat="1" applyFont="1" applyBorder="1" applyAlignment="1">
      <alignment horizontal="center" vertical="center" wrapText="1"/>
    </xf>
    <xf numFmtId="0" fontId="32" fillId="0" borderId="43" xfId="0" applyFont="1" applyBorder="1" applyAlignment="1">
      <alignment horizontal="center"/>
    </xf>
    <xf numFmtId="0" fontId="32" fillId="0" borderId="48" xfId="0" applyFont="1" applyBorder="1" applyAlignment="1">
      <alignment horizontal="center"/>
    </xf>
    <xf numFmtId="0" fontId="32" fillId="0" borderId="51" xfId="0" applyFont="1" applyBorder="1" applyAlignment="1">
      <alignment horizontal="center"/>
    </xf>
    <xf numFmtId="49" fontId="32" fillId="2" borderId="70" xfId="0" applyNumberFormat="1" applyFont="1" applyFill="1" applyBorder="1" applyAlignment="1">
      <alignment horizontal="left" vertical="top" wrapText="1"/>
    </xf>
    <xf numFmtId="49" fontId="32" fillId="2" borderId="63" xfId="0" applyNumberFormat="1" applyFont="1" applyFill="1" applyBorder="1" applyAlignment="1">
      <alignment horizontal="left" vertical="top" wrapText="1"/>
    </xf>
    <xf numFmtId="49" fontId="32" fillId="2" borderId="4" xfId="0" applyNumberFormat="1" applyFont="1" applyFill="1" applyBorder="1" applyAlignment="1">
      <alignment horizontal="left" vertical="top" wrapText="1"/>
    </xf>
    <xf numFmtId="49" fontId="32" fillId="2" borderId="6" xfId="0" applyNumberFormat="1" applyFont="1" applyFill="1" applyBorder="1" applyAlignment="1">
      <alignment horizontal="left" vertical="top" wrapText="1"/>
    </xf>
    <xf numFmtId="165" fontId="33" fillId="0" borderId="87" xfId="0" applyNumberFormat="1" applyFont="1" applyBorder="1" applyAlignment="1">
      <alignment horizontal="center" vertical="center"/>
    </xf>
    <xf numFmtId="165" fontId="33" fillId="0" borderId="26" xfId="0" applyNumberFormat="1" applyFont="1" applyBorder="1" applyAlignment="1">
      <alignment horizontal="center" vertical="center"/>
    </xf>
    <xf numFmtId="10" fontId="32" fillId="0" borderId="65" xfId="0" applyNumberFormat="1" applyFont="1" applyBorder="1" applyAlignment="1">
      <alignment horizontal="center"/>
    </xf>
    <xf numFmtId="49" fontId="32" fillId="2" borderId="75" xfId="0" applyNumberFormat="1" applyFont="1" applyFill="1" applyBorder="1" applyAlignment="1">
      <alignment horizontal="left" vertical="top"/>
    </xf>
    <xf numFmtId="49" fontId="32" fillId="2" borderId="38" xfId="0" applyNumberFormat="1" applyFont="1" applyFill="1" applyBorder="1" applyAlignment="1">
      <alignment horizontal="left" vertical="top"/>
    </xf>
    <xf numFmtId="49" fontId="32" fillId="2" borderId="77" xfId="0" applyNumberFormat="1" applyFont="1" applyFill="1" applyBorder="1" applyAlignment="1">
      <alignment horizontal="left" vertical="top"/>
    </xf>
    <xf numFmtId="165" fontId="33" fillId="0" borderId="55" xfId="0" applyNumberFormat="1" applyFont="1" applyBorder="1" applyAlignment="1">
      <alignment horizontal="center" vertical="center" wrapText="1"/>
    </xf>
    <xf numFmtId="165" fontId="33" fillId="0" borderId="50" xfId="0" applyNumberFormat="1" applyFont="1" applyBorder="1" applyAlignment="1">
      <alignment horizontal="center" vertical="center" wrapText="1"/>
    </xf>
    <xf numFmtId="165" fontId="33" fillId="0" borderId="88" xfId="0" applyNumberFormat="1" applyFont="1" applyBorder="1" applyAlignment="1">
      <alignment horizontal="center" vertical="center" wrapText="1"/>
    </xf>
    <xf numFmtId="9" fontId="32" fillId="2" borderId="11" xfId="0" applyNumberFormat="1" applyFont="1" applyFill="1" applyBorder="1" applyAlignment="1">
      <alignment horizontal="center" vertical="center" wrapText="1"/>
    </xf>
    <xf numFmtId="9" fontId="32" fillId="2" borderId="15" xfId="0" applyNumberFormat="1" applyFont="1" applyFill="1" applyBorder="1" applyAlignment="1">
      <alignment horizontal="center" vertical="center" wrapText="1"/>
    </xf>
    <xf numFmtId="9" fontId="32" fillId="2" borderId="5" xfId="0" applyNumberFormat="1" applyFont="1" applyFill="1" applyBorder="1" applyAlignment="1">
      <alignment horizontal="center" vertical="center" wrapText="1"/>
    </xf>
    <xf numFmtId="49" fontId="34" fillId="0" borderId="79" xfId="1" applyNumberFormat="1" applyFont="1" applyBorder="1" applyAlignment="1">
      <alignment horizontal="left" vertical="center" wrapText="1"/>
    </xf>
    <xf numFmtId="49" fontId="38" fillId="0" borderId="62" xfId="1" applyNumberFormat="1" applyFont="1" applyBorder="1" applyAlignment="1">
      <alignment horizontal="left" vertical="center" wrapText="1"/>
    </xf>
    <xf numFmtId="49" fontId="38" fillId="0" borderId="65" xfId="1" applyNumberFormat="1" applyFont="1" applyBorder="1" applyAlignment="1">
      <alignment horizontal="left" vertical="center" wrapText="1"/>
    </xf>
    <xf numFmtId="10" fontId="34" fillId="0" borderId="57" xfId="1" applyNumberFormat="1" applyFont="1" applyBorder="1" applyAlignment="1" applyProtection="1">
      <alignment horizontal="center" vertical="center"/>
      <protection locked="0"/>
    </xf>
    <xf numFmtId="10" fontId="34" fillId="0" borderId="10" xfId="1" applyNumberFormat="1" applyFont="1" applyBorder="1" applyAlignment="1" applyProtection="1">
      <alignment horizontal="center" vertical="center"/>
      <protection locked="0"/>
    </xf>
    <xf numFmtId="10" fontId="34" fillId="0" borderId="3" xfId="1" applyNumberFormat="1" applyFont="1" applyBorder="1" applyAlignment="1" applyProtection="1">
      <alignment horizontal="center" vertical="center"/>
      <protection locked="0"/>
    </xf>
    <xf numFmtId="0" fontId="32" fillId="0" borderId="87" xfId="0" applyFont="1" applyBorder="1" applyAlignment="1">
      <alignment horizontal="left" vertical="center" wrapText="1"/>
    </xf>
    <xf numFmtId="0" fontId="32" fillId="0" borderId="26" xfId="0" applyFont="1" applyBorder="1" applyAlignment="1">
      <alignment horizontal="left" vertical="center" wrapText="1"/>
    </xf>
    <xf numFmtId="0" fontId="32" fillId="0" borderId="88" xfId="0" applyFont="1" applyBorder="1" applyAlignment="1">
      <alignment horizontal="left" vertical="center" wrapText="1"/>
    </xf>
    <xf numFmtId="0" fontId="31" fillId="0" borderId="41" xfId="0" applyFont="1" applyBorder="1" applyAlignment="1">
      <alignment horizontal="right" vertical="center" textRotation="90"/>
    </xf>
    <xf numFmtId="165" fontId="32" fillId="40" borderId="79" xfId="0" applyNumberFormat="1" applyFont="1" applyFill="1" applyBorder="1" applyAlignment="1">
      <alignment horizontal="center"/>
    </xf>
    <xf numFmtId="165" fontId="32" fillId="40" borderId="62" xfId="0" applyNumberFormat="1" applyFont="1" applyFill="1" applyBorder="1" applyAlignment="1">
      <alignment horizontal="center"/>
    </xf>
    <xf numFmtId="165" fontId="32" fillId="40" borderId="65" xfId="0" applyNumberFormat="1" applyFont="1" applyFill="1" applyBorder="1" applyAlignment="1">
      <alignment horizontal="center"/>
    </xf>
    <xf numFmtId="0" fontId="32" fillId="0" borderId="76" xfId="0" applyFont="1" applyBorder="1" applyAlignment="1">
      <alignment horizontal="left"/>
    </xf>
    <xf numFmtId="0" fontId="32" fillId="0" borderId="84" xfId="0" applyFont="1" applyBorder="1" applyAlignment="1">
      <alignment horizontal="left"/>
    </xf>
    <xf numFmtId="0" fontId="32" fillId="0" borderId="61" xfId="0" applyFont="1" applyBorder="1" applyAlignment="1">
      <alignment horizontal="left"/>
    </xf>
    <xf numFmtId="165" fontId="32" fillId="0" borderId="75" xfId="0" applyNumberFormat="1" applyFont="1" applyBorder="1" applyAlignment="1" applyProtection="1">
      <alignment horizontal="center"/>
      <protection locked="0"/>
    </xf>
    <xf numFmtId="165" fontId="32" fillId="0" borderId="38" xfId="0" applyNumberFormat="1" applyFont="1" applyBorder="1" applyAlignment="1" applyProtection="1">
      <alignment horizontal="center"/>
      <protection locked="0"/>
    </xf>
    <xf numFmtId="165" fontId="32" fillId="0" borderId="77" xfId="0" applyNumberFormat="1" applyFont="1" applyBorder="1" applyAlignment="1" applyProtection="1">
      <alignment horizontal="center"/>
      <protection locked="0"/>
    </xf>
    <xf numFmtId="0" fontId="32" fillId="0" borderId="28" xfId="0" applyFont="1" applyBorder="1" applyAlignment="1">
      <alignment horizontal="center" wrapText="1"/>
    </xf>
    <xf numFmtId="0" fontId="32" fillId="0" borderId="31" xfId="0" applyFont="1" applyBorder="1" applyAlignment="1">
      <alignment horizontal="center" wrapText="1"/>
    </xf>
    <xf numFmtId="0" fontId="32" fillId="0" borderId="87" xfId="0" applyFont="1" applyBorder="1" applyAlignment="1">
      <alignment horizontal="center" wrapText="1"/>
    </xf>
    <xf numFmtId="0" fontId="32" fillId="0" borderId="29" xfId="0" applyFont="1" applyBorder="1" applyAlignment="1">
      <alignment horizontal="center" wrapText="1"/>
    </xf>
    <xf numFmtId="0" fontId="32" fillId="0" borderId="0" xfId="0" applyFont="1" applyAlignment="1">
      <alignment horizontal="center" wrapText="1"/>
    </xf>
    <xf numFmtId="0" fontId="32" fillId="0" borderId="30" xfId="0" applyFont="1" applyBorder="1" applyAlignment="1">
      <alignment horizontal="center"/>
    </xf>
    <xf numFmtId="0" fontId="32" fillId="0" borderId="9" xfId="0" applyFont="1" applyBorder="1" applyAlignment="1">
      <alignment horizontal="center" vertical="center"/>
    </xf>
    <xf numFmtId="165" fontId="33" fillId="0" borderId="32" xfId="0" applyNumberFormat="1" applyFont="1" applyBorder="1" applyAlignment="1" applyProtection="1">
      <alignment horizontal="center" vertical="center" wrapText="1"/>
      <protection locked="0"/>
    </xf>
    <xf numFmtId="165" fontId="33" fillId="0" borderId="40" xfId="0" applyNumberFormat="1" applyFont="1" applyBorder="1" applyAlignment="1" applyProtection="1">
      <alignment horizontal="center" vertical="center" wrapText="1"/>
      <protection locked="0"/>
    </xf>
    <xf numFmtId="165" fontId="33" fillId="0" borderId="47" xfId="0" applyNumberFormat="1" applyFont="1" applyBorder="1" applyAlignment="1" applyProtection="1">
      <alignment horizontal="center" vertical="center" wrapText="1"/>
      <protection locked="0"/>
    </xf>
    <xf numFmtId="165" fontId="33" fillId="0" borderId="41" xfId="0" applyNumberFormat="1" applyFont="1" applyBorder="1" applyAlignment="1" applyProtection="1">
      <alignment horizontal="center" vertical="center" wrapText="1"/>
      <protection locked="0"/>
    </xf>
    <xf numFmtId="165" fontId="33" fillId="0" borderId="53" xfId="0" applyNumberFormat="1" applyFont="1" applyBorder="1" applyAlignment="1" applyProtection="1">
      <alignment horizontal="center" vertical="center" wrapText="1"/>
      <protection locked="0"/>
    </xf>
    <xf numFmtId="165" fontId="33" fillId="0" borderId="44" xfId="0" applyNumberFormat="1" applyFont="1" applyBorder="1" applyAlignment="1" applyProtection="1">
      <alignment horizontal="center" vertical="center" wrapText="1"/>
      <protection locked="0"/>
    </xf>
    <xf numFmtId="0" fontId="31" fillId="2" borderId="72" xfId="0" applyFont="1" applyFill="1" applyBorder="1" applyAlignment="1">
      <alignment horizontal="center" vertical="center"/>
    </xf>
    <xf numFmtId="165" fontId="32" fillId="0" borderId="6" xfId="0" applyNumberFormat="1" applyFont="1" applyBorder="1" applyAlignment="1" applyProtection="1">
      <alignment horizontal="center" vertical="center"/>
      <protection locked="0"/>
    </xf>
    <xf numFmtId="165" fontId="32" fillId="0" borderId="5" xfId="0" applyNumberFormat="1" applyFont="1" applyBorder="1" applyAlignment="1" applyProtection="1">
      <alignment horizontal="center" vertical="center"/>
      <protection locked="0"/>
    </xf>
    <xf numFmtId="0" fontId="32" fillId="0" borderId="74" xfId="0" applyFont="1" applyBorder="1" applyAlignment="1">
      <alignment horizontal="center" vertical="center"/>
    </xf>
    <xf numFmtId="0" fontId="32" fillId="0" borderId="72" xfId="0" applyFont="1" applyBorder="1" applyAlignment="1">
      <alignment horizontal="center" vertical="center"/>
    </xf>
    <xf numFmtId="165" fontId="32" fillId="0" borderId="61" xfId="0" applyNumberFormat="1" applyFont="1" applyBorder="1" applyAlignment="1" applyProtection="1">
      <alignment horizontal="center" vertical="center"/>
      <protection locked="0"/>
    </xf>
    <xf numFmtId="165" fontId="32" fillId="0" borderId="64" xfId="0" applyNumberFormat="1" applyFont="1" applyBorder="1" applyAlignment="1" applyProtection="1">
      <alignment horizontal="center" vertical="center"/>
      <protection locked="0"/>
    </xf>
    <xf numFmtId="0" fontId="32" fillId="0" borderId="78" xfId="0" applyFont="1" applyBorder="1" applyAlignment="1">
      <alignment horizontal="center" vertical="center"/>
    </xf>
    <xf numFmtId="165" fontId="32" fillId="0" borderId="29" xfId="0" applyNumberFormat="1" applyFont="1" applyBorder="1" applyAlignment="1" applyProtection="1">
      <alignment horizontal="center" vertical="center"/>
      <protection locked="0"/>
    </xf>
    <xf numFmtId="165" fontId="32" fillId="0" borderId="0" xfId="0" applyNumberFormat="1" applyFont="1" applyAlignment="1" applyProtection="1">
      <alignment horizontal="center" vertical="center"/>
      <protection locked="0"/>
    </xf>
    <xf numFmtId="165" fontId="32" fillId="0" borderId="27" xfId="0" applyNumberFormat="1" applyFont="1" applyBorder="1" applyAlignment="1" applyProtection="1">
      <alignment horizontal="center" vertical="center"/>
      <protection locked="0"/>
    </xf>
    <xf numFmtId="0" fontId="32" fillId="0" borderId="55"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88" xfId="0" applyFont="1" applyBorder="1" applyAlignment="1">
      <alignment horizontal="center" vertical="center" wrapText="1"/>
    </xf>
    <xf numFmtId="165" fontId="31" fillId="0" borderId="65" xfId="0" applyNumberFormat="1" applyFont="1" applyBorder="1" applyAlignment="1">
      <alignment horizontal="center" vertical="center"/>
    </xf>
    <xf numFmtId="0" fontId="53" fillId="0" borderId="79" xfId="0" applyFont="1" applyFill="1" applyBorder="1" applyAlignment="1">
      <alignment horizontal="center" wrapText="1"/>
    </xf>
    <xf numFmtId="0" fontId="53" fillId="0" borderId="62" xfId="0" applyFont="1" applyFill="1" applyBorder="1" applyAlignment="1">
      <alignment horizontal="center" wrapText="1"/>
    </xf>
    <xf numFmtId="0" fontId="53" fillId="0" borderId="65" xfId="0" applyFont="1" applyFill="1" applyBorder="1" applyAlignment="1">
      <alignment horizontal="center" wrapText="1"/>
    </xf>
    <xf numFmtId="165" fontId="44" fillId="0" borderId="79" xfId="0" applyNumberFormat="1" applyFont="1" applyFill="1" applyBorder="1" applyAlignment="1"/>
    <xf numFmtId="165" fontId="44" fillId="0" borderId="66" xfId="0" applyNumberFormat="1" applyFont="1" applyFill="1" applyBorder="1" applyAlignment="1"/>
    <xf numFmtId="165" fontId="44" fillId="0" borderId="70" xfId="0" applyNumberFormat="1" applyFont="1" applyFill="1" applyBorder="1" applyAlignment="1">
      <alignment horizontal="right"/>
    </xf>
    <xf numFmtId="165" fontId="44" fillId="0" borderId="71" xfId="0" applyNumberFormat="1" applyFont="1" applyFill="1" applyBorder="1" applyAlignment="1">
      <alignment horizontal="right"/>
    </xf>
    <xf numFmtId="165" fontId="53" fillId="0" borderId="30" xfId="0" applyNumberFormat="1" applyFont="1" applyFill="1" applyBorder="1" applyAlignment="1">
      <alignment horizontal="center"/>
    </xf>
    <xf numFmtId="0" fontId="64" fillId="0" borderId="79" xfId="0" applyFont="1" applyFill="1" applyBorder="1" applyAlignment="1">
      <alignment horizontal="center" vertical="center"/>
    </xf>
    <xf numFmtId="0" fontId="64" fillId="0" borderId="65" xfId="0" applyFont="1" applyFill="1" applyBorder="1" applyAlignment="1">
      <alignment horizontal="center" vertical="center"/>
    </xf>
    <xf numFmtId="0" fontId="7" fillId="0" borderId="0" xfId="9" applyNumberFormat="1" applyFont="1" applyFill="1" applyBorder="1" applyAlignment="1">
      <alignment horizontal="right" vertical="center"/>
    </xf>
    <xf numFmtId="0" fontId="67" fillId="0" borderId="60" xfId="13" applyFont="1" applyFill="1" applyBorder="1" applyAlignment="1">
      <alignment horizontal="left" vertical="center"/>
    </xf>
    <xf numFmtId="0" fontId="67" fillId="0" borderId="45" xfId="13" applyFont="1" applyFill="1" applyBorder="1" applyAlignment="1">
      <alignment horizontal="left" vertical="center"/>
    </xf>
    <xf numFmtId="0" fontId="67" fillId="0" borderId="73" xfId="13" applyFont="1" applyFill="1" applyBorder="1" applyAlignment="1">
      <alignment horizontal="left" vertical="center"/>
    </xf>
    <xf numFmtId="165" fontId="67" fillId="0" borderId="79" xfId="13" applyNumberFormat="1" applyFont="1" applyFill="1" applyBorder="1" applyAlignment="1">
      <alignment horizontal="right" vertical="center"/>
    </xf>
    <xf numFmtId="165" fontId="67" fillId="0" borderId="65" xfId="13" applyNumberFormat="1" applyFont="1" applyFill="1" applyBorder="1" applyAlignment="1">
      <alignment horizontal="right" vertical="center"/>
    </xf>
    <xf numFmtId="0" fontId="43" fillId="0" borderId="46" xfId="0" applyFont="1" applyFill="1" applyBorder="1" applyAlignment="1">
      <alignment horizontal="center" vertical="center"/>
    </xf>
    <xf numFmtId="0" fontId="43" fillId="0" borderId="14" xfId="0" applyFont="1" applyFill="1" applyBorder="1" applyAlignment="1">
      <alignment horizontal="center" vertical="center"/>
    </xf>
    <xf numFmtId="0" fontId="43" fillId="0" borderId="6" xfId="0" applyFont="1" applyFill="1" applyBorder="1" applyAlignment="1">
      <alignment horizontal="center" vertical="center"/>
    </xf>
    <xf numFmtId="167" fontId="69" fillId="0" borderId="43" xfId="14" applyNumberFormat="1" applyFont="1" applyFill="1" applyBorder="1" applyAlignment="1">
      <alignment horizontal="center" vertical="center" textRotation="90"/>
    </xf>
    <xf numFmtId="167" fontId="69" fillId="0" borderId="48" xfId="14" applyNumberFormat="1" applyFont="1" applyFill="1" applyBorder="1" applyAlignment="1">
      <alignment horizontal="center" vertical="center" textRotation="90"/>
    </xf>
    <xf numFmtId="167" fontId="69" fillId="0" borderId="51" xfId="14" applyNumberFormat="1" applyFont="1" applyFill="1" applyBorder="1" applyAlignment="1">
      <alignment horizontal="center" vertical="center" textRotation="90"/>
    </xf>
    <xf numFmtId="165" fontId="74" fillId="0" borderId="0" xfId="0" applyNumberFormat="1" applyFont="1" applyFill="1" applyAlignment="1">
      <alignment horizontal="center"/>
    </xf>
    <xf numFmtId="0" fontId="74" fillId="0" borderId="0" xfId="0" applyFont="1" applyFill="1" applyAlignment="1">
      <alignment horizontal="center"/>
    </xf>
    <xf numFmtId="165" fontId="67" fillId="0" borderId="30" xfId="0" applyNumberFormat="1" applyFont="1" applyFill="1" applyBorder="1" applyAlignment="1">
      <alignment horizontal="center"/>
    </xf>
    <xf numFmtId="0" fontId="67" fillId="0" borderId="30" xfId="0" applyFont="1" applyFill="1" applyBorder="1" applyAlignment="1">
      <alignment horizontal="center"/>
    </xf>
    <xf numFmtId="0" fontId="43" fillId="0" borderId="60" xfId="0" applyFont="1" applyFill="1" applyBorder="1" applyAlignment="1">
      <alignment horizontal="left" vertical="center"/>
    </xf>
    <xf numFmtId="0" fontId="43" fillId="0" borderId="45" xfId="0" applyFont="1" applyFill="1" applyBorder="1" applyAlignment="1">
      <alignment horizontal="left" vertical="center"/>
    </xf>
    <xf numFmtId="0" fontId="43" fillId="0" borderId="73" xfId="0" applyFont="1" applyFill="1" applyBorder="1" applyAlignment="1">
      <alignment horizontal="left" vertical="center"/>
    </xf>
    <xf numFmtId="10" fontId="32" fillId="0" borderId="80" xfId="0" applyNumberFormat="1" applyFont="1" applyBorder="1" applyAlignment="1">
      <alignment horizontal="center" vertical="center" wrapText="1"/>
    </xf>
    <xf numFmtId="10" fontId="32" fillId="0" borderId="81" xfId="0" applyNumberFormat="1" applyFont="1" applyBorder="1" applyAlignment="1">
      <alignment horizontal="center" vertical="center" wrapText="1"/>
    </xf>
    <xf numFmtId="10" fontId="32" fillId="0" borderId="76" xfId="0" applyNumberFormat="1" applyFont="1" applyBorder="1" applyAlignment="1">
      <alignment horizontal="center" vertical="center" wrapText="1"/>
    </xf>
    <xf numFmtId="0" fontId="31" fillId="0" borderId="41" xfId="0" applyFont="1" applyBorder="1" applyAlignment="1">
      <alignment horizontal="right" textRotation="90"/>
    </xf>
    <xf numFmtId="165" fontId="35" fillId="0" borderId="55" xfId="0" applyNumberFormat="1" applyFont="1" applyBorder="1" applyAlignment="1">
      <alignment horizontal="center" vertical="center" wrapText="1"/>
    </xf>
    <xf numFmtId="165" fontId="35" fillId="0" borderId="88" xfId="0" applyNumberFormat="1" applyFont="1" applyBorder="1" applyAlignment="1">
      <alignment horizontal="center" vertical="center" wrapText="1"/>
    </xf>
    <xf numFmtId="165" fontId="44" fillId="0" borderId="63" xfId="0" applyNumberFormat="1" applyFont="1" applyFill="1" applyBorder="1" applyAlignment="1">
      <alignment horizontal="right"/>
    </xf>
    <xf numFmtId="165" fontId="44" fillId="0" borderId="59" xfId="0" applyNumberFormat="1" applyFont="1" applyFill="1" applyBorder="1" applyAlignment="1">
      <alignment horizontal="right"/>
    </xf>
    <xf numFmtId="165" fontId="44" fillId="0" borderId="60" xfId="0" applyNumberFormat="1" applyFont="1" applyFill="1" applyBorder="1" applyAlignment="1">
      <alignment horizontal="right"/>
    </xf>
    <xf numFmtId="165" fontId="44" fillId="0" borderId="45" xfId="0" applyNumberFormat="1" applyFont="1" applyFill="1" applyBorder="1" applyAlignment="1">
      <alignment horizontal="right"/>
    </xf>
    <xf numFmtId="165" fontId="44" fillId="0" borderId="36" xfId="0" applyNumberFormat="1" applyFont="1" applyFill="1" applyBorder="1" applyAlignment="1">
      <alignment horizontal="right"/>
    </xf>
    <xf numFmtId="165" fontId="44" fillId="0" borderId="37" xfId="0" applyNumberFormat="1" applyFont="1" applyFill="1" applyBorder="1" applyAlignment="1">
      <alignment horizontal="right"/>
    </xf>
    <xf numFmtId="165" fontId="44" fillId="0" borderId="75" xfId="0" applyNumberFormat="1" applyFont="1" applyFill="1" applyBorder="1" applyAlignment="1">
      <alignment horizontal="right"/>
    </xf>
    <xf numFmtId="165" fontId="44" fillId="0" borderId="77" xfId="0" applyNumberFormat="1" applyFont="1" applyFill="1" applyBorder="1" applyAlignment="1">
      <alignment horizontal="right"/>
    </xf>
    <xf numFmtId="165" fontId="44" fillId="0" borderId="61" xfId="0" applyNumberFormat="1" applyFont="1" applyFill="1" applyBorder="1" applyAlignment="1">
      <alignment horizontal="right"/>
    </xf>
    <xf numFmtId="0" fontId="32" fillId="4" borderId="32" xfId="0" applyFont="1" applyFill="1" applyBorder="1" applyAlignment="1">
      <alignment horizontal="center" vertical="center"/>
    </xf>
    <xf numFmtId="0" fontId="32" fillId="4" borderId="47" xfId="0" applyFont="1" applyFill="1" applyBorder="1" applyAlignment="1">
      <alignment horizontal="center" vertical="center"/>
    </xf>
    <xf numFmtId="0" fontId="32" fillId="4" borderId="34" xfId="0" applyFont="1" applyFill="1" applyBorder="1" applyAlignment="1">
      <alignment horizontal="center" vertical="center"/>
    </xf>
    <xf numFmtId="0" fontId="32" fillId="4" borderId="46" xfId="0" applyFont="1" applyFill="1" applyBorder="1" applyAlignment="1">
      <alignment horizontal="center" vertical="center" wrapText="1"/>
    </xf>
    <xf numFmtId="0" fontId="32" fillId="4" borderId="14" xfId="0" applyFont="1" applyFill="1" applyBorder="1" applyAlignment="1">
      <alignment horizontal="center" vertical="center" wrapText="1"/>
    </xf>
    <xf numFmtId="0" fontId="32" fillId="4" borderId="6" xfId="0" applyFont="1" applyFill="1" applyBorder="1" applyAlignment="1">
      <alignment horizontal="center" vertical="center" wrapText="1"/>
    </xf>
    <xf numFmtId="165" fontId="32" fillId="0" borderId="39" xfId="0" applyNumberFormat="1" applyFont="1" applyBorder="1" applyAlignment="1" applyProtection="1">
      <alignment horizontal="center" vertical="center" wrapText="1"/>
      <protection locked="0"/>
    </xf>
    <xf numFmtId="165" fontId="32" fillId="0" borderId="42" xfId="0" applyNumberFormat="1" applyFont="1" applyBorder="1" applyAlignment="1" applyProtection="1">
      <alignment horizontal="center" vertical="center" wrapText="1"/>
      <protection locked="0"/>
    </xf>
    <xf numFmtId="165" fontId="32" fillId="0" borderId="47" xfId="0" applyNumberFormat="1" applyFont="1" applyBorder="1" applyAlignment="1" applyProtection="1">
      <alignment horizontal="center" vertical="center" wrapText="1"/>
      <protection locked="0"/>
    </xf>
    <xf numFmtId="165" fontId="32" fillId="0" borderId="41" xfId="0" applyNumberFormat="1" applyFont="1" applyBorder="1" applyAlignment="1" applyProtection="1">
      <alignment horizontal="center" vertical="center" wrapText="1"/>
      <protection locked="0"/>
    </xf>
    <xf numFmtId="165" fontId="32" fillId="0" borderId="34" xfId="0" applyNumberFormat="1" applyFont="1" applyBorder="1" applyAlignment="1" applyProtection="1">
      <alignment horizontal="center" vertical="center" wrapText="1"/>
      <protection locked="0"/>
    </xf>
    <xf numFmtId="165" fontId="32" fillId="0" borderId="35" xfId="0" applyNumberFormat="1" applyFont="1" applyBorder="1" applyAlignment="1" applyProtection="1">
      <alignment horizontal="center" vertical="center" wrapText="1"/>
      <protection locked="0"/>
    </xf>
    <xf numFmtId="165" fontId="38" fillId="0" borderId="62" xfId="0" applyNumberFormat="1" applyFont="1" applyBorder="1" applyAlignment="1">
      <alignment horizontal="center"/>
    </xf>
    <xf numFmtId="165" fontId="38" fillId="0" borderId="65" xfId="0" applyNumberFormat="1" applyFont="1" applyBorder="1" applyAlignment="1">
      <alignment horizontal="center"/>
    </xf>
    <xf numFmtId="165" fontId="32" fillId="0" borderId="32" xfId="0" applyNumberFormat="1" applyFont="1" applyBorder="1" applyAlignment="1">
      <alignment horizontal="center" vertical="center"/>
    </xf>
    <xf numFmtId="165" fontId="32" fillId="0" borderId="47" xfId="0" applyNumberFormat="1" applyFont="1" applyBorder="1" applyAlignment="1">
      <alignment horizontal="center" vertical="center"/>
    </xf>
    <xf numFmtId="165" fontId="32" fillId="0" borderId="53" xfId="0" applyNumberFormat="1" applyFont="1" applyBorder="1" applyAlignment="1">
      <alignment horizontal="center" vertical="center"/>
    </xf>
    <xf numFmtId="10" fontId="32" fillId="0" borderId="58" xfId="0" applyNumberFormat="1" applyFont="1" applyBorder="1" applyAlignment="1">
      <alignment horizontal="center" vertical="center"/>
    </xf>
    <xf numFmtId="10" fontId="32" fillId="0" borderId="65" xfId="0" applyNumberFormat="1" applyFont="1" applyBorder="1" applyAlignment="1">
      <alignment horizontal="center" vertical="center"/>
    </xf>
    <xf numFmtId="165" fontId="33" fillId="0" borderId="16" xfId="0" applyNumberFormat="1" applyFont="1" applyBorder="1" applyAlignment="1">
      <alignment horizontal="center" vertical="center" wrapText="1"/>
    </xf>
    <xf numFmtId="165" fontId="33" fillId="0" borderId="15" xfId="0" applyNumberFormat="1" applyFont="1" applyBorder="1" applyAlignment="1">
      <alignment horizontal="center" vertical="center" wrapText="1"/>
    </xf>
    <xf numFmtId="165" fontId="33" fillId="0" borderId="8" xfId="0" applyNumberFormat="1" applyFont="1" applyBorder="1" applyAlignment="1">
      <alignment horizontal="center" vertical="center" wrapText="1"/>
    </xf>
    <xf numFmtId="165" fontId="34" fillId="0" borderId="13" xfId="0" applyNumberFormat="1" applyFont="1" applyBorder="1" applyAlignment="1">
      <alignment horizontal="center" vertical="center" wrapText="1"/>
    </xf>
    <xf numFmtId="165" fontId="34" fillId="0" borderId="14" xfId="0" applyNumberFormat="1" applyFont="1" applyBorder="1" applyAlignment="1">
      <alignment horizontal="center" vertical="center" wrapText="1"/>
    </xf>
    <xf numFmtId="165" fontId="34" fillId="0" borderId="7" xfId="0" applyNumberFormat="1" applyFont="1" applyBorder="1" applyAlignment="1">
      <alignment horizontal="center" vertical="center" wrapText="1"/>
    </xf>
    <xf numFmtId="165" fontId="34" fillId="0" borderId="16" xfId="0" applyNumberFormat="1" applyFont="1" applyBorder="1" applyAlignment="1">
      <alignment horizontal="center" vertical="center" wrapText="1"/>
    </xf>
    <xf numFmtId="165" fontId="34" fillId="0" borderId="15" xfId="0" applyNumberFormat="1" applyFont="1" applyBorder="1" applyAlignment="1">
      <alignment horizontal="center" vertical="center" wrapText="1"/>
    </xf>
    <xf numFmtId="165" fontId="34" fillId="0" borderId="8" xfId="0" applyNumberFormat="1" applyFont="1" applyBorder="1" applyAlignment="1">
      <alignment horizontal="center" vertical="center" wrapText="1"/>
    </xf>
    <xf numFmtId="10" fontId="33" fillId="0" borderId="58" xfId="0" applyNumberFormat="1" applyFont="1" applyBorder="1" applyAlignment="1">
      <alignment horizontal="center" vertical="center"/>
    </xf>
    <xf numFmtId="10" fontId="33" fillId="0" borderId="65" xfId="0" applyNumberFormat="1" applyFont="1" applyBorder="1" applyAlignment="1">
      <alignment horizontal="center" vertical="center"/>
    </xf>
    <xf numFmtId="0" fontId="31" fillId="0" borderId="28" xfId="0" applyFont="1" applyBorder="1" applyAlignment="1">
      <alignment horizontal="center" vertical="center"/>
    </xf>
    <xf numFmtId="0" fontId="31" fillId="0" borderId="29" xfId="0" applyFont="1" applyBorder="1" applyAlignment="1">
      <alignment horizontal="center" vertical="center"/>
    </xf>
    <xf numFmtId="0" fontId="31" fillId="0" borderId="31" xfId="0" applyFont="1" applyBorder="1" applyAlignment="1">
      <alignment horizontal="center" vertical="center"/>
    </xf>
    <xf numFmtId="0" fontId="31" fillId="0" borderId="0" xfId="0" applyFont="1" applyAlignment="1">
      <alignment horizontal="center" vertical="center"/>
    </xf>
    <xf numFmtId="0" fontId="31" fillId="0" borderId="87" xfId="0" applyFont="1" applyBorder="1" applyAlignment="1">
      <alignment horizontal="center" vertical="center"/>
    </xf>
    <xf numFmtId="0" fontId="31" fillId="0" borderId="26" xfId="0" applyFont="1" applyBorder="1" applyAlignment="1">
      <alignment horizontal="center" vertical="center"/>
    </xf>
    <xf numFmtId="0" fontId="31" fillId="0" borderId="28" xfId="0" applyFont="1" applyBorder="1" applyAlignment="1">
      <alignment horizontal="center" wrapText="1"/>
    </xf>
    <xf numFmtId="0" fontId="31" fillId="0" borderId="29" xfId="0" applyFont="1" applyBorder="1" applyAlignment="1">
      <alignment horizontal="center" wrapText="1"/>
    </xf>
    <xf numFmtId="0" fontId="31" fillId="0" borderId="40" xfId="0" applyFont="1" applyBorder="1" applyAlignment="1">
      <alignment horizontal="center" wrapText="1"/>
    </xf>
    <xf numFmtId="0" fontId="31" fillId="0" borderId="87" xfId="0" applyFont="1" applyBorder="1" applyAlignment="1">
      <alignment horizontal="center" wrapText="1"/>
    </xf>
    <xf numFmtId="0" fontId="31" fillId="0" borderId="26" xfId="0" applyFont="1" applyBorder="1" applyAlignment="1">
      <alignment horizontal="center" wrapText="1"/>
    </xf>
    <xf numFmtId="0" fontId="31" fillId="0" borderId="44" xfId="0" applyFont="1" applyBorder="1" applyAlignment="1">
      <alignment horizontal="center" wrapText="1"/>
    </xf>
    <xf numFmtId="165" fontId="32" fillId="2" borderId="58" xfId="0" applyNumberFormat="1" applyFont="1" applyFill="1" applyBorder="1" applyAlignment="1">
      <alignment horizontal="center"/>
    </xf>
    <xf numFmtId="165" fontId="32" fillId="2" borderId="65" xfId="0" applyNumberFormat="1" applyFont="1" applyFill="1" applyBorder="1" applyAlignment="1">
      <alignment horizontal="center"/>
    </xf>
    <xf numFmtId="165" fontId="32" fillId="0" borderId="79" xfId="0" applyNumberFormat="1" applyFont="1" applyBorder="1" applyAlignment="1">
      <alignment horizontal="center"/>
    </xf>
    <xf numFmtId="165" fontId="32" fillId="0" borderId="62" xfId="0" applyNumberFormat="1" applyFont="1" applyBorder="1" applyAlignment="1">
      <alignment horizontal="center"/>
    </xf>
    <xf numFmtId="165" fontId="32" fillId="0" borderId="65" xfId="0" applyNumberFormat="1" applyFont="1" applyBorder="1" applyAlignment="1">
      <alignment horizontal="center"/>
    </xf>
    <xf numFmtId="165" fontId="32" fillId="0" borderId="60" xfId="0" applyNumberFormat="1" applyFont="1" applyBorder="1" applyAlignment="1" applyProtection="1">
      <alignment horizontal="center" vertical="center"/>
      <protection locked="0"/>
    </xf>
    <xf numFmtId="165" fontId="32" fillId="0" borderId="56" xfId="0" applyNumberFormat="1" applyFont="1" applyBorder="1" applyAlignment="1" applyProtection="1">
      <alignment horizontal="center" vertical="center"/>
      <protection locked="0"/>
    </xf>
    <xf numFmtId="9" fontId="32" fillId="2" borderId="46" xfId="0" applyNumberFormat="1" applyFont="1" applyFill="1" applyBorder="1" applyAlignment="1">
      <alignment horizontal="center" vertical="center"/>
    </xf>
    <xf numFmtId="9" fontId="32" fillId="2" borderId="14" xfId="0" applyNumberFormat="1" applyFont="1" applyFill="1" applyBorder="1" applyAlignment="1">
      <alignment horizontal="center" vertical="center"/>
    </xf>
    <xf numFmtId="165" fontId="32" fillId="0" borderId="59" xfId="0" applyNumberFormat="1" applyFont="1" applyBorder="1" applyAlignment="1" applyProtection="1">
      <alignment horizontal="center" vertical="center"/>
      <protection locked="0"/>
    </xf>
    <xf numFmtId="165" fontId="32" fillId="0" borderId="68" xfId="0" applyNumberFormat="1" applyFont="1" applyBorder="1" applyAlignment="1" applyProtection="1">
      <alignment horizontal="center" vertical="center"/>
      <protection locked="0"/>
    </xf>
    <xf numFmtId="49" fontId="31" fillId="0" borderId="44" xfId="0" applyNumberFormat="1" applyFont="1" applyBorder="1" applyAlignment="1">
      <alignment horizontal="right" vertical="center" textRotation="90"/>
    </xf>
    <xf numFmtId="0" fontId="31" fillId="0" borderId="16"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8" xfId="0" applyFont="1" applyBorder="1" applyAlignment="1">
      <alignment horizontal="center" vertical="center" wrapText="1"/>
    </xf>
    <xf numFmtId="10" fontId="32" fillId="0" borderId="28" xfId="0" applyNumberFormat="1" applyFont="1" applyBorder="1" applyAlignment="1">
      <alignment horizontal="center" vertical="center" wrapText="1"/>
    </xf>
    <xf numFmtId="10" fontId="32" fillId="0" borderId="31" xfId="0" applyNumberFormat="1" applyFont="1" applyBorder="1" applyAlignment="1">
      <alignment horizontal="center" vertical="center" wrapText="1"/>
    </xf>
    <xf numFmtId="10" fontId="32" fillId="0" borderId="87" xfId="0" applyNumberFormat="1" applyFont="1" applyBorder="1" applyAlignment="1">
      <alignment horizontal="center" vertical="center" wrapText="1"/>
    </xf>
    <xf numFmtId="49" fontId="32" fillId="4" borderId="36" xfId="0" applyNumberFormat="1" applyFont="1" applyFill="1" applyBorder="1" applyAlignment="1">
      <alignment horizontal="left" vertical="top" wrapText="1"/>
    </xf>
    <xf numFmtId="49" fontId="32" fillId="4" borderId="37" xfId="0" applyNumberFormat="1" applyFont="1" applyFill="1" applyBorder="1" applyAlignment="1">
      <alignment horizontal="left" vertical="top" wrapText="1"/>
    </xf>
    <xf numFmtId="49" fontId="32" fillId="4" borderId="31" xfId="0" applyNumberFormat="1" applyFont="1" applyFill="1" applyBorder="1" applyAlignment="1">
      <alignment horizontal="left" vertical="top" wrapText="1"/>
    </xf>
    <xf numFmtId="49" fontId="32" fillId="4" borderId="0" xfId="0" applyNumberFormat="1" applyFont="1" applyFill="1" applyAlignment="1">
      <alignment horizontal="left" vertical="top" wrapText="1"/>
    </xf>
    <xf numFmtId="49" fontId="32" fillId="4" borderId="33" xfId="0" applyNumberFormat="1" applyFont="1" applyFill="1" applyBorder="1" applyAlignment="1">
      <alignment horizontal="left" vertical="top" wrapText="1"/>
    </xf>
    <xf numFmtId="49" fontId="32" fillId="4" borderId="27" xfId="0" applyNumberFormat="1" applyFont="1" applyFill="1" applyBorder="1" applyAlignment="1">
      <alignment horizontal="left" vertical="top" wrapText="1"/>
    </xf>
    <xf numFmtId="9" fontId="32" fillId="2" borderId="6" xfId="0" applyNumberFormat="1" applyFont="1" applyFill="1" applyBorder="1" applyAlignment="1">
      <alignment horizontal="center" vertical="center"/>
    </xf>
    <xf numFmtId="165" fontId="34" fillId="0" borderId="79" xfId="0" applyNumberFormat="1" applyFont="1" applyBorder="1" applyAlignment="1">
      <alignment horizontal="center"/>
    </xf>
    <xf numFmtId="165" fontId="34" fillId="0" borderId="62" xfId="0" applyNumberFormat="1" applyFont="1" applyBorder="1" applyAlignment="1">
      <alignment horizontal="center"/>
    </xf>
    <xf numFmtId="165" fontId="34" fillId="0" borderId="65" xfId="0" applyNumberFormat="1" applyFont="1" applyBorder="1" applyAlignment="1">
      <alignment horizontal="center"/>
    </xf>
    <xf numFmtId="49" fontId="32" fillId="45" borderId="36" xfId="0" applyNumberFormat="1" applyFont="1" applyFill="1" applyBorder="1" applyAlignment="1">
      <alignment horizontal="left" vertical="top" wrapText="1"/>
    </xf>
    <xf numFmtId="49" fontId="32" fillId="45" borderId="37" xfId="0" applyNumberFormat="1" applyFont="1" applyFill="1" applyBorder="1" applyAlignment="1">
      <alignment horizontal="left" vertical="top" wrapText="1"/>
    </xf>
    <xf numFmtId="49" fontId="32" fillId="45" borderId="31" xfId="0" applyNumberFormat="1" applyFont="1" applyFill="1" applyBorder="1" applyAlignment="1">
      <alignment horizontal="left" vertical="top" wrapText="1"/>
    </xf>
    <xf numFmtId="49" fontId="32" fillId="45" borderId="0" xfId="0" applyNumberFormat="1" applyFont="1" applyFill="1" applyAlignment="1">
      <alignment horizontal="left" vertical="top" wrapText="1"/>
    </xf>
    <xf numFmtId="49" fontId="32" fillId="45" borderId="33" xfId="0" applyNumberFormat="1" applyFont="1" applyFill="1" applyBorder="1" applyAlignment="1">
      <alignment horizontal="left" vertical="top" wrapText="1"/>
    </xf>
    <xf numFmtId="49" fontId="32" fillId="45" borderId="27" xfId="0" applyNumberFormat="1" applyFont="1" applyFill="1" applyBorder="1" applyAlignment="1">
      <alignment horizontal="left" vertical="top" wrapText="1"/>
    </xf>
    <xf numFmtId="0" fontId="32" fillId="0" borderId="26" xfId="0" applyFont="1" applyBorder="1" applyAlignment="1">
      <alignment horizontal="center" wrapText="1"/>
    </xf>
    <xf numFmtId="49" fontId="32" fillId="4" borderId="70" xfId="0" applyNumberFormat="1" applyFont="1" applyFill="1" applyBorder="1" applyAlignment="1">
      <alignment horizontal="left" vertical="top" wrapText="1"/>
    </xf>
    <xf numFmtId="49" fontId="32" fillId="4" borderId="63" xfId="0" applyNumberFormat="1" applyFont="1" applyFill="1" applyBorder="1" applyAlignment="1">
      <alignment horizontal="left" vertical="top" wrapText="1"/>
    </xf>
    <xf numFmtId="49" fontId="32" fillId="4" borderId="71" xfId="0" applyNumberFormat="1" applyFont="1" applyFill="1" applyBorder="1" applyAlignment="1">
      <alignment horizontal="left" vertical="top" wrapText="1"/>
    </xf>
    <xf numFmtId="49" fontId="32" fillId="4" borderId="69" xfId="0" applyNumberFormat="1" applyFont="1" applyFill="1" applyBorder="1" applyAlignment="1">
      <alignment horizontal="left" vertical="top" wrapText="1"/>
    </xf>
    <xf numFmtId="49" fontId="32" fillId="4" borderId="45" xfId="0" applyNumberFormat="1" applyFont="1" applyFill="1" applyBorder="1" applyAlignment="1">
      <alignment horizontal="left" vertical="top" wrapText="1"/>
    </xf>
    <xf numFmtId="49" fontId="32" fillId="4" borderId="73" xfId="0" applyNumberFormat="1" applyFont="1" applyFill="1" applyBorder="1" applyAlignment="1">
      <alignment horizontal="left" vertical="top" wrapText="1"/>
    </xf>
    <xf numFmtId="49" fontId="32" fillId="45" borderId="75" xfId="0" applyNumberFormat="1" applyFont="1" applyFill="1" applyBorder="1" applyAlignment="1">
      <alignment horizontal="left" vertical="top" wrapText="1"/>
    </xf>
    <xf numFmtId="49" fontId="32" fillId="45" borderId="38" xfId="0" applyNumberFormat="1" applyFont="1" applyFill="1" applyBorder="1" applyAlignment="1">
      <alignment horizontal="left" vertical="top" wrapText="1"/>
    </xf>
    <xf numFmtId="49" fontId="32" fillId="45" borderId="77" xfId="0" applyNumberFormat="1" applyFont="1" applyFill="1" applyBorder="1" applyAlignment="1">
      <alignment horizontal="left" vertical="top" wrapText="1"/>
    </xf>
    <xf numFmtId="9" fontId="32" fillId="2" borderId="13" xfId="0" applyNumberFormat="1" applyFont="1" applyFill="1" applyBorder="1" applyAlignment="1">
      <alignment horizontal="center" vertical="center"/>
    </xf>
    <xf numFmtId="165" fontId="32" fillId="0" borderId="37" xfId="0" applyNumberFormat="1" applyFont="1" applyBorder="1" applyAlignment="1" applyProtection="1">
      <alignment horizontal="center" vertical="center"/>
      <protection locked="0"/>
    </xf>
    <xf numFmtId="49" fontId="32" fillId="4" borderId="75" xfId="0" applyNumberFormat="1" applyFont="1" applyFill="1" applyBorder="1" applyAlignment="1">
      <alignment horizontal="left" vertical="top" wrapText="1"/>
    </xf>
    <xf numFmtId="49" fontId="32" fillId="4" borderId="38" xfId="0" applyNumberFormat="1" applyFont="1" applyFill="1" applyBorder="1" applyAlignment="1">
      <alignment horizontal="left" vertical="top" wrapText="1"/>
    </xf>
    <xf numFmtId="165" fontId="32" fillId="0" borderId="38" xfId="0" applyNumberFormat="1" applyFont="1" applyBorder="1" applyAlignment="1" applyProtection="1">
      <alignment horizontal="center" vertical="center"/>
      <protection locked="0"/>
    </xf>
    <xf numFmtId="165" fontId="32" fillId="0" borderId="26" xfId="0" applyNumberFormat="1" applyFont="1" applyBorder="1" applyAlignment="1" applyProtection="1">
      <alignment horizontal="center" vertical="center"/>
      <protection locked="0"/>
    </xf>
    <xf numFmtId="9" fontId="32" fillId="2" borderId="7" xfId="0" applyNumberFormat="1" applyFont="1" applyFill="1" applyBorder="1" applyAlignment="1">
      <alignment horizontal="center" vertical="center"/>
    </xf>
    <xf numFmtId="49" fontId="32" fillId="4" borderId="87" xfId="0" applyNumberFormat="1" applyFont="1" applyFill="1" applyBorder="1" applyAlignment="1">
      <alignment horizontal="left" vertical="top" wrapText="1"/>
    </xf>
    <xf numFmtId="49" fontId="32" fillId="4" borderId="26" xfId="0" applyNumberFormat="1" applyFont="1" applyFill="1" applyBorder="1" applyAlignment="1">
      <alignment horizontal="left" vertical="top" wrapText="1"/>
    </xf>
    <xf numFmtId="49" fontId="31" fillId="0" borderId="42" xfId="0" applyNumberFormat="1" applyFont="1" applyBorder="1" applyAlignment="1">
      <alignment horizontal="right" vertical="center" textRotation="90"/>
    </xf>
    <xf numFmtId="0" fontId="34" fillId="0" borderId="43" xfId="0" applyFont="1" applyBorder="1" applyAlignment="1">
      <alignment horizontal="center"/>
    </xf>
    <xf numFmtId="0" fontId="34" fillId="0" borderId="51" xfId="0" applyFont="1" applyBorder="1" applyAlignment="1">
      <alignment horizontal="center"/>
    </xf>
    <xf numFmtId="9" fontId="32" fillId="2" borderId="82" xfId="0" applyNumberFormat="1" applyFont="1" applyFill="1" applyBorder="1" applyAlignment="1">
      <alignment horizontal="center" vertical="center"/>
    </xf>
    <xf numFmtId="9" fontId="32" fillId="2" borderId="84" xfId="0" applyNumberFormat="1" applyFont="1" applyFill="1" applyBorder="1" applyAlignment="1">
      <alignment horizontal="center" vertical="center"/>
    </xf>
    <xf numFmtId="165" fontId="32" fillId="0" borderId="45" xfId="0" applyNumberFormat="1" applyFont="1" applyBorder="1" applyAlignment="1" applyProtection="1">
      <alignment horizontal="center" vertical="center"/>
      <protection locked="0"/>
    </xf>
    <xf numFmtId="49" fontId="31" fillId="0" borderId="72" xfId="0" applyNumberFormat="1" applyFont="1" applyBorder="1" applyAlignment="1">
      <alignment horizontal="right" vertical="center"/>
    </xf>
    <xf numFmtId="49" fontId="31" fillId="0" borderId="74" xfId="0" applyNumberFormat="1" applyFont="1" applyBorder="1" applyAlignment="1">
      <alignment horizontal="right" vertical="center"/>
    </xf>
    <xf numFmtId="165" fontId="32" fillId="0" borderId="67" xfId="0" applyNumberFormat="1" applyFont="1" applyBorder="1" applyAlignment="1">
      <alignment horizontal="center" vertical="center" wrapText="1"/>
    </xf>
    <xf numFmtId="165" fontId="32" fillId="0" borderId="12" xfId="0" applyNumberFormat="1" applyFont="1" applyBorder="1" applyAlignment="1">
      <alignment horizontal="center" vertical="center" wrapText="1"/>
    </xf>
    <xf numFmtId="165" fontId="32" fillId="0" borderId="82" xfId="0" applyNumberFormat="1" applyFont="1" applyBorder="1" applyAlignment="1">
      <alignment horizontal="center" vertical="center" wrapText="1"/>
    </xf>
    <xf numFmtId="165" fontId="32" fillId="0" borderId="1" xfId="0" applyNumberFormat="1" applyFont="1" applyBorder="1" applyAlignment="1">
      <alignment horizontal="center" vertical="center" wrapText="1"/>
    </xf>
    <xf numFmtId="0" fontId="34" fillId="0" borderId="31" xfId="0" applyFont="1" applyBorder="1" applyAlignment="1">
      <alignment horizontal="left" vertical="center" wrapText="1"/>
    </xf>
    <xf numFmtId="0" fontId="34" fillId="0" borderId="0" xfId="0" applyFont="1" applyAlignment="1">
      <alignment horizontal="left" vertical="center" wrapText="1"/>
    </xf>
    <xf numFmtId="0" fontId="34" fillId="0" borderId="50" xfId="0" applyFont="1" applyBorder="1" applyAlignment="1">
      <alignment horizontal="left" vertical="center" wrapText="1"/>
    </xf>
    <xf numFmtId="0" fontId="34" fillId="0" borderId="33" xfId="0" applyFont="1" applyBorder="1" applyAlignment="1">
      <alignment horizontal="left" vertical="center" wrapText="1"/>
    </xf>
    <xf numFmtId="0" fontId="34" fillId="0" borderId="27" xfId="0" applyFont="1" applyBorder="1" applyAlignment="1">
      <alignment horizontal="left" vertical="center" wrapText="1"/>
    </xf>
    <xf numFmtId="0" fontId="34" fillId="0" borderId="85" xfId="0" applyFont="1" applyBorder="1" applyAlignment="1">
      <alignment horizontal="left" vertical="center" wrapText="1"/>
    </xf>
    <xf numFmtId="165" fontId="32" fillId="0" borderId="32" xfId="0" applyNumberFormat="1" applyFont="1" applyBorder="1" applyAlignment="1">
      <alignment horizontal="center" vertical="center" wrapText="1"/>
    </xf>
    <xf numFmtId="165" fontId="32" fillId="0" borderId="40" xfId="0" applyNumberFormat="1" applyFont="1" applyBorder="1" applyAlignment="1">
      <alignment horizontal="center" vertical="center" wrapText="1"/>
    </xf>
    <xf numFmtId="165" fontId="32" fillId="0" borderId="53" xfId="0" applyNumberFormat="1" applyFont="1" applyBorder="1" applyAlignment="1">
      <alignment horizontal="center" vertical="center" wrapText="1"/>
    </xf>
    <xf numFmtId="165" fontId="32" fillId="0" borderId="44" xfId="0" applyNumberFormat="1" applyFont="1" applyBorder="1" applyAlignment="1">
      <alignment horizontal="center" vertical="center" wrapText="1"/>
    </xf>
    <xf numFmtId="9" fontId="32" fillId="0" borderId="51" xfId="0" applyNumberFormat="1" applyFont="1" applyBorder="1" applyAlignment="1">
      <alignment horizontal="center" vertical="center"/>
    </xf>
    <xf numFmtId="165" fontId="35" fillId="0" borderId="13" xfId="0" applyNumberFormat="1" applyFont="1" applyBorder="1" applyAlignment="1">
      <alignment horizontal="center" vertical="center" wrapText="1"/>
    </xf>
    <xf numFmtId="165" fontId="35" fillId="0" borderId="14" xfId="0" applyNumberFormat="1" applyFont="1" applyBorder="1" applyAlignment="1">
      <alignment horizontal="center" vertical="center" wrapText="1"/>
    </xf>
    <xf numFmtId="165" fontId="35" fillId="0" borderId="7" xfId="0" applyNumberFormat="1" applyFont="1" applyBorder="1" applyAlignment="1">
      <alignment horizontal="center" vertical="center" wrapText="1"/>
    </xf>
    <xf numFmtId="165" fontId="35" fillId="0" borderId="40" xfId="0" applyNumberFormat="1" applyFont="1" applyBorder="1" applyAlignment="1">
      <alignment horizontal="center" vertical="center" wrapText="1"/>
    </xf>
    <xf numFmtId="165" fontId="35" fillId="0" borderId="41" xfId="0" applyNumberFormat="1" applyFont="1" applyBorder="1" applyAlignment="1">
      <alignment horizontal="center" vertical="center" wrapText="1"/>
    </xf>
    <xf numFmtId="165" fontId="35" fillId="0" borderId="44" xfId="0" applyNumberFormat="1" applyFont="1" applyBorder="1" applyAlignment="1">
      <alignment horizontal="center" vertical="center" wrapText="1"/>
    </xf>
    <xf numFmtId="165" fontId="44" fillId="0" borderId="59" xfId="0" applyNumberFormat="1" applyFont="1" applyFill="1" applyBorder="1" applyAlignment="1"/>
    <xf numFmtId="165" fontId="44" fillId="0" borderId="68" xfId="0" applyNumberFormat="1" applyFont="1" applyFill="1" applyBorder="1" applyAlignment="1"/>
    <xf numFmtId="0" fontId="58" fillId="0" borderId="69" xfId="0" applyFont="1" applyFill="1" applyBorder="1" applyAlignment="1">
      <alignment horizontal="center" vertical="center" wrapText="1"/>
    </xf>
    <xf numFmtId="0" fontId="58" fillId="0" borderId="56" xfId="0" applyFont="1" applyFill="1" applyBorder="1" applyAlignment="1">
      <alignment horizontal="center" vertical="center" wrapText="1"/>
    </xf>
    <xf numFmtId="0" fontId="58" fillId="0" borderId="70" xfId="0" applyFont="1" applyFill="1" applyBorder="1" applyAlignment="1">
      <alignment horizontal="center" vertical="center" wrapText="1"/>
    </xf>
    <xf numFmtId="0" fontId="58" fillId="0" borderId="68" xfId="0" applyFont="1" applyFill="1" applyBorder="1" applyAlignment="1">
      <alignment horizontal="center" vertical="center" wrapText="1"/>
    </xf>
    <xf numFmtId="49" fontId="32" fillId="2" borderId="71" xfId="0" applyNumberFormat="1" applyFont="1" applyFill="1" applyBorder="1" applyAlignment="1">
      <alignment horizontal="left" vertical="top" wrapText="1"/>
    </xf>
    <xf numFmtId="165" fontId="32" fillId="0" borderId="70" xfId="0" applyNumberFormat="1" applyFont="1" applyBorder="1" applyAlignment="1" applyProtection="1">
      <alignment horizontal="center" vertical="center"/>
      <protection locked="0"/>
    </xf>
    <xf numFmtId="49" fontId="32" fillId="2" borderId="69" xfId="0" applyNumberFormat="1" applyFont="1" applyFill="1" applyBorder="1" applyAlignment="1">
      <alignment horizontal="left" vertical="center" wrapText="1"/>
    </xf>
    <xf numFmtId="49" fontId="32" fillId="2" borderId="45" xfId="0" applyNumberFormat="1" applyFont="1" applyFill="1" applyBorder="1" applyAlignment="1">
      <alignment horizontal="left" vertical="center" wrapText="1"/>
    </xf>
    <xf numFmtId="49" fontId="32" fillId="2" borderId="73" xfId="0" applyNumberFormat="1" applyFont="1" applyFill="1" applyBorder="1" applyAlignment="1">
      <alignment horizontal="left" vertical="center" wrapText="1"/>
    </xf>
    <xf numFmtId="165" fontId="32" fillId="0" borderId="36" xfId="0" applyNumberFormat="1" applyFont="1" applyBorder="1" applyAlignment="1" applyProtection="1">
      <alignment horizontal="center" vertical="center"/>
      <protection locked="0"/>
    </xf>
    <xf numFmtId="165" fontId="32" fillId="0" borderId="31" xfId="0" applyNumberFormat="1" applyFont="1" applyBorder="1" applyAlignment="1" applyProtection="1">
      <alignment horizontal="center" vertical="center"/>
      <protection locked="0"/>
    </xf>
    <xf numFmtId="165" fontId="32" fillId="0" borderId="33" xfId="0" applyNumberFormat="1" applyFont="1" applyBorder="1" applyAlignment="1" applyProtection="1">
      <alignment horizontal="center" vertical="center"/>
      <protection locked="0"/>
    </xf>
    <xf numFmtId="0" fontId="32" fillId="0" borderId="69" xfId="0" applyFont="1" applyBorder="1" applyAlignment="1">
      <alignment wrapText="1"/>
    </xf>
    <xf numFmtId="0" fontId="32" fillId="0" borderId="45" xfId="0" applyFont="1" applyBorder="1" applyAlignment="1">
      <alignment wrapText="1"/>
    </xf>
    <xf numFmtId="0" fontId="32" fillId="0" borderId="73" xfId="0" applyFont="1" applyBorder="1" applyAlignment="1">
      <alignment wrapText="1"/>
    </xf>
    <xf numFmtId="0" fontId="32" fillId="0" borderId="75" xfId="0" applyFont="1" applyBorder="1" applyAlignment="1">
      <alignment wrapText="1"/>
    </xf>
    <xf numFmtId="0" fontId="32" fillId="0" borderId="38" xfId="0" applyFont="1" applyBorder="1" applyAlignment="1">
      <alignment wrapText="1"/>
    </xf>
    <xf numFmtId="0" fontId="32" fillId="0" borderId="77" xfId="0" applyFont="1" applyBorder="1" applyAlignment="1">
      <alignment wrapText="1"/>
    </xf>
    <xf numFmtId="165" fontId="32" fillId="0" borderId="69" xfId="0" applyNumberFormat="1" applyFont="1" applyBorder="1" applyAlignment="1" applyProtection="1">
      <alignment horizontal="center" vertical="center"/>
      <protection locked="0"/>
    </xf>
    <xf numFmtId="49" fontId="31" fillId="0" borderId="92" xfId="0" applyNumberFormat="1" applyFont="1" applyBorder="1" applyAlignment="1">
      <alignment horizontal="right" vertical="center"/>
    </xf>
    <xf numFmtId="49" fontId="31" fillId="0" borderId="48" xfId="0" applyNumberFormat="1" applyFont="1" applyBorder="1" applyAlignment="1">
      <alignment horizontal="right" vertical="center"/>
    </xf>
    <xf numFmtId="49" fontId="32" fillId="2" borderId="73" xfId="0" applyNumberFormat="1" applyFont="1" applyFill="1" applyBorder="1" applyAlignment="1">
      <alignment horizontal="left" vertical="top" wrapText="1"/>
    </xf>
    <xf numFmtId="49" fontId="32" fillId="4" borderId="77" xfId="0" applyNumberFormat="1" applyFont="1" applyFill="1" applyBorder="1" applyAlignment="1">
      <alignment horizontal="left" vertical="top" wrapText="1"/>
    </xf>
    <xf numFmtId="165" fontId="32" fillId="0" borderId="84" xfId="0" applyNumberFormat="1" applyFont="1" applyBorder="1" applyAlignment="1">
      <alignment horizontal="center" vertical="center" wrapText="1"/>
    </xf>
    <xf numFmtId="165" fontId="32" fillId="0" borderId="2" xfId="0" applyNumberFormat="1" applyFont="1" applyBorder="1" applyAlignment="1">
      <alignment horizontal="center" vertical="center" wrapText="1"/>
    </xf>
    <xf numFmtId="49" fontId="32" fillId="4" borderId="86" xfId="0" applyNumberFormat="1" applyFont="1" applyFill="1" applyBorder="1" applyAlignment="1">
      <alignment horizontal="left" vertical="top" wrapText="1"/>
    </xf>
    <xf numFmtId="49" fontId="32" fillId="4" borderId="50" xfId="0" applyNumberFormat="1" applyFont="1" applyFill="1" applyBorder="1" applyAlignment="1">
      <alignment horizontal="left" vertical="top" wrapText="1"/>
    </xf>
    <xf numFmtId="49" fontId="32" fillId="4" borderId="88" xfId="0" applyNumberFormat="1" applyFont="1" applyFill="1" applyBorder="1" applyAlignment="1">
      <alignment horizontal="left" vertical="top" wrapText="1"/>
    </xf>
    <xf numFmtId="165" fontId="32" fillId="0" borderId="87" xfId="0" applyNumberFormat="1" applyFont="1" applyBorder="1" applyAlignment="1" applyProtection="1">
      <alignment horizontal="center" vertical="center"/>
      <protection locked="0"/>
    </xf>
    <xf numFmtId="0" fontId="32" fillId="0" borderId="16" xfId="0" applyFont="1" applyBorder="1" applyAlignment="1">
      <alignment horizontal="center"/>
    </xf>
    <xf numFmtId="0" fontId="32" fillId="0" borderId="8" xfId="0" applyFont="1" applyBorder="1" applyAlignment="1">
      <alignment horizontal="center"/>
    </xf>
    <xf numFmtId="165" fontId="32" fillId="0" borderId="46" xfId="0" applyNumberFormat="1" applyFont="1" applyBorder="1" applyAlignment="1">
      <alignment horizontal="center" vertical="center" wrapText="1"/>
    </xf>
    <xf numFmtId="165" fontId="32" fillId="0" borderId="11" xfId="0" applyNumberFormat="1" applyFont="1" applyBorder="1" applyAlignment="1">
      <alignment horizontal="center" vertical="center" wrapText="1"/>
    </xf>
    <xf numFmtId="0" fontId="32" fillId="0" borderId="87" xfId="0" applyFont="1" applyBorder="1" applyAlignment="1">
      <alignment horizontal="left" vertical="top" wrapText="1"/>
    </xf>
    <xf numFmtId="0" fontId="32" fillId="0" borderId="26" xfId="0" applyFont="1" applyBorder="1" applyAlignment="1">
      <alignment horizontal="left" vertical="top" wrapText="1"/>
    </xf>
    <xf numFmtId="0" fontId="32" fillId="0" borderId="88" xfId="0" applyFont="1" applyBorder="1" applyAlignment="1">
      <alignment horizontal="left" vertical="top" wrapText="1"/>
    </xf>
    <xf numFmtId="49" fontId="32" fillId="4" borderId="85" xfId="0" applyNumberFormat="1" applyFont="1" applyFill="1" applyBorder="1" applyAlignment="1">
      <alignment horizontal="left" vertical="top" wrapText="1"/>
    </xf>
    <xf numFmtId="49" fontId="32" fillId="45" borderId="86" xfId="0" applyNumberFormat="1" applyFont="1" applyFill="1" applyBorder="1" applyAlignment="1">
      <alignment horizontal="left" vertical="top" wrapText="1"/>
    </xf>
    <xf numFmtId="49" fontId="32" fillId="45" borderId="50" xfId="0" applyNumberFormat="1" applyFont="1" applyFill="1" applyBorder="1" applyAlignment="1">
      <alignment horizontal="left" vertical="top" wrapText="1"/>
    </xf>
    <xf numFmtId="49" fontId="32" fillId="45" borderId="85" xfId="0" applyNumberFormat="1" applyFont="1" applyFill="1" applyBorder="1" applyAlignment="1">
      <alignment horizontal="left" vertical="top" wrapText="1"/>
    </xf>
    <xf numFmtId="165" fontId="32" fillId="0" borderId="81" xfId="0" applyNumberFormat="1" applyFont="1" applyBorder="1" applyAlignment="1" applyProtection="1">
      <alignment horizontal="center" vertical="center"/>
      <protection locked="0"/>
    </xf>
    <xf numFmtId="165" fontId="32" fillId="0" borderId="76" xfId="0" applyNumberFormat="1" applyFont="1" applyBorder="1" applyAlignment="1" applyProtection="1">
      <alignment horizontal="center" vertical="center"/>
      <protection locked="0"/>
    </xf>
    <xf numFmtId="49" fontId="34" fillId="4" borderId="81" xfId="0" applyNumberFormat="1" applyFont="1" applyFill="1" applyBorder="1" applyAlignment="1">
      <alignment horizontal="left" vertical="top" wrapText="1"/>
    </xf>
    <xf numFmtId="49" fontId="34" fillId="4" borderId="82" xfId="0" applyNumberFormat="1" applyFont="1" applyFill="1" applyBorder="1" applyAlignment="1">
      <alignment horizontal="left" vertical="top" wrapText="1"/>
    </xf>
    <xf numFmtId="49" fontId="34" fillId="4" borderId="28" xfId="0" applyNumberFormat="1" applyFont="1" applyFill="1" applyBorder="1" applyAlignment="1">
      <alignment horizontal="left" vertical="top" wrapText="1"/>
    </xf>
    <xf numFmtId="49" fontId="34" fillId="4" borderId="29" xfId="0" applyNumberFormat="1" applyFont="1" applyFill="1" applyBorder="1" applyAlignment="1">
      <alignment horizontal="left" vertical="top" wrapText="1"/>
    </xf>
    <xf numFmtId="49" fontId="34" fillId="4" borderId="55" xfId="0" applyNumberFormat="1" applyFont="1" applyFill="1" applyBorder="1" applyAlignment="1">
      <alignment horizontal="left" vertical="top" wrapText="1"/>
    </xf>
    <xf numFmtId="49" fontId="34" fillId="4" borderId="33" xfId="0" applyNumberFormat="1" applyFont="1" applyFill="1" applyBorder="1" applyAlignment="1">
      <alignment horizontal="left" vertical="top" wrapText="1"/>
    </xf>
    <xf numFmtId="49" fontId="34" fillId="4" borderId="27" xfId="0" applyNumberFormat="1" applyFont="1" applyFill="1" applyBorder="1" applyAlignment="1">
      <alignment horizontal="left" vertical="top" wrapText="1"/>
    </xf>
    <xf numFmtId="49" fontId="34" fillId="4" borderId="85" xfId="0" applyNumberFormat="1" applyFont="1" applyFill="1" applyBorder="1" applyAlignment="1">
      <alignment horizontal="left" vertical="top" wrapText="1"/>
    </xf>
    <xf numFmtId="165" fontId="35" fillId="0" borderId="16" xfId="0" applyNumberFormat="1" applyFont="1" applyBorder="1" applyAlignment="1">
      <alignment horizontal="center" vertical="center" wrapText="1"/>
    </xf>
    <xf numFmtId="165" fontId="35" fillId="0" borderId="15" xfId="0" applyNumberFormat="1" applyFont="1" applyBorder="1" applyAlignment="1">
      <alignment horizontal="center" vertical="center" wrapText="1"/>
    </xf>
    <xf numFmtId="165" fontId="35" fillId="0" borderId="8" xfId="0" applyNumberFormat="1" applyFont="1" applyBorder="1" applyAlignment="1">
      <alignment horizontal="center" vertical="center" wrapText="1"/>
    </xf>
    <xf numFmtId="165" fontId="33" fillId="0" borderId="65" xfId="0" applyNumberFormat="1" applyFont="1" applyBorder="1" applyAlignment="1">
      <alignment horizontal="center" vertical="center" wrapText="1"/>
    </xf>
    <xf numFmtId="0" fontId="31" fillId="0" borderId="41" xfId="0" applyFont="1" applyBorder="1" applyAlignment="1">
      <alignment horizontal="center" vertical="center" wrapText="1"/>
    </xf>
    <xf numFmtId="49" fontId="32" fillId="45" borderId="69" xfId="0" applyNumberFormat="1" applyFont="1" applyFill="1" applyBorder="1" applyAlignment="1">
      <alignment horizontal="left" vertical="center" wrapText="1"/>
    </xf>
    <xf numFmtId="49" fontId="32" fillId="45" borderId="45" xfId="0" applyNumberFormat="1" applyFont="1" applyFill="1" applyBorder="1" applyAlignment="1">
      <alignment horizontal="left" vertical="center" wrapText="1"/>
    </xf>
    <xf numFmtId="49" fontId="32" fillId="45" borderId="73" xfId="0" applyNumberFormat="1" applyFont="1" applyFill="1" applyBorder="1" applyAlignment="1">
      <alignment horizontal="left" vertical="center" wrapText="1"/>
    </xf>
    <xf numFmtId="49" fontId="32" fillId="45" borderId="75" xfId="0" applyNumberFormat="1" applyFont="1" applyFill="1" applyBorder="1" applyAlignment="1">
      <alignment horizontal="left" vertical="center" wrapText="1"/>
    </xf>
    <xf numFmtId="49" fontId="32" fillId="45" borderId="38" xfId="0" applyNumberFormat="1" applyFont="1" applyFill="1" applyBorder="1" applyAlignment="1">
      <alignment horizontal="left" vertical="center" wrapText="1"/>
    </xf>
    <xf numFmtId="49" fontId="32" fillId="45" borderId="77" xfId="0" applyNumberFormat="1" applyFont="1" applyFill="1" applyBorder="1" applyAlignment="1">
      <alignment horizontal="left" vertical="center" wrapText="1"/>
    </xf>
    <xf numFmtId="49" fontId="31" fillId="0" borderId="41" xfId="0" applyNumberFormat="1" applyFont="1" applyBorder="1" applyAlignment="1">
      <alignment horizontal="right" textRotation="90"/>
    </xf>
    <xf numFmtId="49" fontId="31" fillId="0" borderId="44" xfId="0" applyNumberFormat="1" applyFont="1" applyBorder="1" applyAlignment="1">
      <alignment horizontal="right" textRotation="90"/>
    </xf>
    <xf numFmtId="49" fontId="31" fillId="0" borderId="42" xfId="0" applyNumberFormat="1" applyFont="1" applyBorder="1" applyAlignment="1">
      <alignment horizontal="right" textRotation="90"/>
    </xf>
    <xf numFmtId="49" fontId="32" fillId="2" borderId="33" xfId="0" applyNumberFormat="1" applyFont="1" applyFill="1" applyBorder="1" applyAlignment="1">
      <alignment horizontal="center" vertical="top" wrapText="1"/>
    </xf>
    <xf numFmtId="49" fontId="32" fillId="2" borderId="27" xfId="0" applyNumberFormat="1" applyFont="1" applyFill="1" applyBorder="1" applyAlignment="1">
      <alignment horizontal="center" vertical="top" wrapText="1"/>
    </xf>
    <xf numFmtId="49" fontId="32" fillId="2" borderId="85" xfId="0" applyNumberFormat="1" applyFont="1" applyFill="1" applyBorder="1" applyAlignment="1">
      <alignment horizontal="center" vertical="top" wrapText="1"/>
    </xf>
    <xf numFmtId="49" fontId="32" fillId="2" borderId="69" xfId="0" applyNumberFormat="1" applyFont="1" applyFill="1" applyBorder="1" applyAlignment="1">
      <alignment horizontal="center" vertical="top" wrapText="1"/>
    </xf>
    <xf numFmtId="49" fontId="32" fillId="2" borderId="45" xfId="0" applyNumberFormat="1" applyFont="1" applyFill="1" applyBorder="1" applyAlignment="1">
      <alignment horizontal="center" vertical="top" wrapText="1"/>
    </xf>
    <xf numFmtId="49" fontId="32" fillId="2" borderId="73" xfId="0" applyNumberFormat="1" applyFont="1" applyFill="1" applyBorder="1" applyAlignment="1">
      <alignment horizontal="center" vertical="top" wrapText="1"/>
    </xf>
    <xf numFmtId="49" fontId="32" fillId="2" borderId="31" xfId="0" applyNumberFormat="1" applyFont="1" applyFill="1" applyBorder="1" applyAlignment="1">
      <alignment vertical="top" wrapText="1"/>
    </xf>
    <xf numFmtId="49" fontId="32" fillId="2" borderId="0" xfId="0" applyNumberFormat="1" applyFont="1" applyFill="1" applyAlignment="1">
      <alignment vertical="top" wrapText="1"/>
    </xf>
    <xf numFmtId="49" fontId="32" fillId="2" borderId="50" xfId="0" applyNumberFormat="1" applyFont="1" applyFill="1" applyBorder="1" applyAlignment="1">
      <alignment vertical="top" wrapText="1"/>
    </xf>
    <xf numFmtId="0" fontId="32" fillId="0" borderId="77" xfId="0" applyFont="1" applyBorder="1" applyAlignment="1">
      <alignment horizontal="left" vertical="top" wrapText="1"/>
    </xf>
    <xf numFmtId="165" fontId="32" fillId="2" borderId="83" xfId="0" applyNumberFormat="1" applyFont="1" applyFill="1" applyBorder="1" applyAlignment="1">
      <alignment horizontal="left" vertical="top" wrapText="1"/>
    </xf>
    <xf numFmtId="165" fontId="32" fillId="2" borderId="46" xfId="0" applyNumberFormat="1" applyFont="1" applyFill="1" applyBorder="1" applyAlignment="1">
      <alignment horizontal="left" vertical="top" wrapText="1"/>
    </xf>
    <xf numFmtId="165" fontId="32" fillId="0" borderId="83" xfId="0" applyNumberFormat="1" applyFont="1" applyBorder="1" applyAlignment="1" applyProtection="1">
      <alignment horizontal="center" vertical="center"/>
      <protection locked="0"/>
    </xf>
    <xf numFmtId="49" fontId="32" fillId="2" borderId="4" xfId="0" applyNumberFormat="1" applyFont="1" applyFill="1" applyBorder="1" applyAlignment="1">
      <alignment horizontal="left" vertical="center" wrapText="1"/>
    </xf>
    <xf numFmtId="49" fontId="32" fillId="2" borderId="6" xfId="0" applyNumberFormat="1" applyFont="1" applyFill="1" applyBorder="1" applyAlignment="1">
      <alignment horizontal="left" vertical="center" wrapText="1"/>
    </xf>
    <xf numFmtId="0" fontId="32" fillId="40" borderId="31" xfId="0" applyFont="1" applyFill="1" applyBorder="1" applyAlignment="1">
      <alignment horizontal="left" vertical="top" wrapText="1"/>
    </xf>
    <xf numFmtId="0" fontId="32" fillId="40" borderId="0" xfId="0" applyFont="1" applyFill="1" applyAlignment="1">
      <alignment horizontal="left" vertical="top" wrapText="1"/>
    </xf>
    <xf numFmtId="0" fontId="32" fillId="40" borderId="50" xfId="0" applyFont="1" applyFill="1" applyBorder="1" applyAlignment="1">
      <alignment horizontal="left" vertical="top" wrapText="1"/>
    </xf>
    <xf numFmtId="0" fontId="32" fillId="40" borderId="33" xfId="0" applyFont="1" applyFill="1" applyBorder="1" applyAlignment="1">
      <alignment horizontal="left" vertical="top" wrapText="1"/>
    </xf>
    <xf numFmtId="0" fontId="32" fillId="40" borderId="27" xfId="0" applyFont="1" applyFill="1" applyBorder="1" applyAlignment="1">
      <alignment horizontal="left" vertical="top" wrapText="1"/>
    </xf>
    <xf numFmtId="0" fontId="32" fillId="40" borderId="85" xfId="0" applyFont="1" applyFill="1" applyBorder="1" applyAlignment="1">
      <alignment horizontal="left" vertical="top" wrapText="1"/>
    </xf>
    <xf numFmtId="165" fontId="32" fillId="0" borderId="6" xfId="0" applyNumberFormat="1" applyFont="1" applyBorder="1" applyAlignment="1">
      <alignment horizontal="center" vertical="center" wrapText="1"/>
    </xf>
    <xf numFmtId="165" fontId="32" fillId="0" borderId="5" xfId="0" applyNumberFormat="1" applyFont="1" applyBorder="1" applyAlignment="1">
      <alignment horizontal="center" vertical="center" wrapText="1"/>
    </xf>
    <xf numFmtId="49" fontId="32" fillId="2" borderId="36" xfId="0" applyNumberFormat="1" applyFont="1" applyFill="1" applyBorder="1" applyAlignment="1">
      <alignment horizontal="left" vertical="center" wrapText="1"/>
    </xf>
    <xf numFmtId="49" fontId="32" fillId="2" borderId="37" xfId="0" applyNumberFormat="1" applyFont="1" applyFill="1" applyBorder="1" applyAlignment="1">
      <alignment horizontal="left" vertical="center" wrapText="1"/>
    </xf>
    <xf numFmtId="49" fontId="32" fillId="2" borderId="86" xfId="0" applyNumberFormat="1" applyFont="1" applyFill="1" applyBorder="1" applyAlignment="1">
      <alignment horizontal="left" vertical="center" wrapText="1"/>
    </xf>
    <xf numFmtId="49" fontId="32" fillId="2" borderId="33" xfId="0" applyNumberFormat="1" applyFont="1" applyFill="1" applyBorder="1" applyAlignment="1">
      <alignment horizontal="left" vertical="center" wrapText="1"/>
    </xf>
    <xf numFmtId="49" fontId="32" fillId="2" borderId="27" xfId="0" applyNumberFormat="1" applyFont="1" applyFill="1" applyBorder="1" applyAlignment="1">
      <alignment horizontal="left" vertical="center" wrapText="1"/>
    </xf>
    <xf numFmtId="49" fontId="32" fillId="2" borderId="85" xfId="0" applyNumberFormat="1" applyFont="1" applyFill="1" applyBorder="1" applyAlignment="1">
      <alignment horizontal="left" vertical="center" wrapText="1"/>
    </xf>
    <xf numFmtId="49" fontId="32" fillId="2" borderId="87" xfId="0" applyNumberFormat="1" applyFont="1" applyFill="1" applyBorder="1" applyAlignment="1">
      <alignment horizontal="left" vertical="center" wrapText="1"/>
    </xf>
    <xf numFmtId="49" fontId="32" fillId="2" borderId="26" xfId="0" applyNumberFormat="1" applyFont="1" applyFill="1" applyBorder="1" applyAlignment="1">
      <alignment horizontal="left" vertical="center" wrapText="1"/>
    </xf>
    <xf numFmtId="49" fontId="32" fillId="2" borderId="88" xfId="0" applyNumberFormat="1" applyFont="1" applyFill="1" applyBorder="1" applyAlignment="1">
      <alignment horizontal="left" vertical="center" wrapText="1"/>
    </xf>
    <xf numFmtId="165" fontId="35" fillId="0" borderId="48" xfId="0" applyNumberFormat="1" applyFont="1" applyBorder="1" applyAlignment="1">
      <alignment horizontal="center" vertical="center" wrapText="1"/>
    </xf>
    <xf numFmtId="165" fontId="32" fillId="0" borderId="80" xfId="0" applyNumberFormat="1" applyFont="1" applyBorder="1" applyAlignment="1" applyProtection="1">
      <alignment horizontal="center" vertical="center"/>
      <protection locked="0"/>
    </xf>
    <xf numFmtId="49" fontId="32" fillId="2" borderId="70" xfId="0" applyNumberFormat="1" applyFont="1" applyFill="1" applyBorder="1" applyAlignment="1">
      <alignment horizontal="left" vertical="center" wrapText="1"/>
    </xf>
    <xf numFmtId="49" fontId="32" fillId="2" borderId="63" xfId="0" applyNumberFormat="1" applyFont="1" applyFill="1" applyBorder="1" applyAlignment="1">
      <alignment horizontal="left" vertical="center" wrapText="1"/>
    </xf>
    <xf numFmtId="49" fontId="32" fillId="2" borderId="71" xfId="0" applyNumberFormat="1" applyFont="1" applyFill="1" applyBorder="1" applyAlignment="1">
      <alignment horizontal="left" vertical="center" wrapText="1"/>
    </xf>
    <xf numFmtId="49" fontId="31" fillId="0" borderId="9" xfId="0" applyNumberFormat="1" applyFont="1" applyBorder="1" applyAlignment="1">
      <alignment horizontal="right" vertical="center"/>
    </xf>
    <xf numFmtId="49" fontId="32" fillId="4" borderId="28" xfId="0" applyNumberFormat="1" applyFont="1" applyFill="1" applyBorder="1" applyAlignment="1">
      <alignment horizontal="left" vertical="top" wrapText="1"/>
    </xf>
    <xf numFmtId="49" fontId="32" fillId="4" borderId="29" xfId="0" applyNumberFormat="1" applyFont="1" applyFill="1" applyBorder="1" applyAlignment="1">
      <alignment horizontal="left" vertical="top" wrapText="1"/>
    </xf>
    <xf numFmtId="49" fontId="32" fillId="4" borderId="55" xfId="0" applyNumberFormat="1" applyFont="1" applyFill="1" applyBorder="1" applyAlignment="1">
      <alignment horizontal="left" vertical="top" wrapText="1"/>
    </xf>
    <xf numFmtId="0" fontId="66" fillId="0" borderId="82" xfId="0" applyFont="1" applyFill="1" applyBorder="1" applyAlignment="1">
      <alignment horizontal="center" vertical="center"/>
    </xf>
    <xf numFmtId="0" fontId="66" fillId="0" borderId="60" xfId="0" applyFont="1" applyFill="1" applyBorder="1" applyAlignment="1">
      <alignment horizontal="center" vertical="center"/>
    </xf>
    <xf numFmtId="0" fontId="66" fillId="0" borderId="73" xfId="0" applyFont="1" applyFill="1" applyBorder="1" applyAlignment="1">
      <alignment horizontal="center" vertical="center"/>
    </xf>
    <xf numFmtId="0" fontId="35" fillId="0" borderId="31" xfId="0" applyFont="1" applyBorder="1" applyAlignment="1">
      <alignment horizontal="center" wrapText="1"/>
    </xf>
    <xf numFmtId="0" fontId="35" fillId="0" borderId="0" xfId="0" applyFont="1" applyAlignment="1">
      <alignment horizontal="center" wrapText="1"/>
    </xf>
    <xf numFmtId="0" fontId="63" fillId="0" borderId="0" xfId="0" applyFont="1" applyAlignment="1">
      <alignment horizontal="left"/>
    </xf>
    <xf numFmtId="0" fontId="31" fillId="0" borderId="62" xfId="0" applyFont="1" applyBorder="1" applyAlignment="1">
      <alignment horizontal="center"/>
    </xf>
    <xf numFmtId="4" fontId="32" fillId="2" borderId="79" xfId="0" applyNumberFormat="1" applyFont="1" applyFill="1" applyBorder="1" applyAlignment="1">
      <alignment horizontal="center"/>
    </xf>
    <xf numFmtId="4" fontId="32" fillId="2" borderId="62" xfId="0" applyNumberFormat="1" applyFont="1" applyFill="1" applyBorder="1" applyAlignment="1">
      <alignment horizontal="center"/>
    </xf>
    <xf numFmtId="4" fontId="32" fillId="2" borderId="65" xfId="0" applyNumberFormat="1" applyFont="1" applyFill="1" applyBorder="1" applyAlignment="1">
      <alignment horizontal="center"/>
    </xf>
    <xf numFmtId="165" fontId="33" fillId="0" borderId="31" xfId="0" applyNumberFormat="1" applyFont="1" applyBorder="1" applyAlignment="1">
      <alignment horizontal="center"/>
    </xf>
    <xf numFmtId="9" fontId="32" fillId="2" borderId="67" xfId="0" applyNumberFormat="1" applyFont="1" applyFill="1" applyBorder="1" applyAlignment="1">
      <alignment horizontal="center" vertical="center"/>
    </xf>
    <xf numFmtId="49" fontId="32" fillId="4" borderId="75" xfId="0" applyNumberFormat="1" applyFont="1" applyFill="1" applyBorder="1" applyAlignment="1">
      <alignment horizontal="center" vertical="top" wrapText="1"/>
    </xf>
    <xf numFmtId="49" fontId="32" fillId="4" borderId="38" xfId="0" applyNumberFormat="1" applyFont="1" applyFill="1" applyBorder="1" applyAlignment="1">
      <alignment horizontal="center" vertical="top" wrapText="1"/>
    </xf>
    <xf numFmtId="49" fontId="32" fillId="4" borderId="77" xfId="0" applyNumberFormat="1" applyFont="1" applyFill="1" applyBorder="1" applyAlignment="1">
      <alignment horizontal="center" vertical="top" wrapText="1"/>
    </xf>
    <xf numFmtId="0" fontId="32" fillId="0" borderId="83" xfId="0" applyFont="1" applyBorder="1" applyAlignment="1">
      <alignment horizontal="left" vertical="center" wrapText="1"/>
    </xf>
    <xf numFmtId="0" fontId="32" fillId="0" borderId="46" xfId="0" applyFont="1" applyBorder="1" applyAlignment="1">
      <alignment horizontal="left" vertical="center" wrapText="1"/>
    </xf>
    <xf numFmtId="0" fontId="32" fillId="0" borderId="52" xfId="0" applyFont="1" applyBorder="1" applyAlignment="1">
      <alignment horizontal="left" vertical="center" wrapText="1"/>
    </xf>
    <xf numFmtId="0" fontId="32" fillId="0" borderId="7" xfId="0" applyFont="1" applyBorder="1" applyAlignment="1">
      <alignment horizontal="left" vertical="center" wrapText="1"/>
    </xf>
    <xf numFmtId="10" fontId="33" fillId="0" borderId="62" xfId="0" applyNumberFormat="1" applyFont="1" applyBorder="1" applyAlignment="1">
      <alignment horizontal="center"/>
    </xf>
    <xf numFmtId="165" fontId="33" fillId="0" borderId="43" xfId="0" applyNumberFormat="1" applyFont="1" applyBorder="1" applyAlignment="1">
      <alignment horizontal="center" vertical="center" wrapText="1"/>
    </xf>
    <xf numFmtId="165" fontId="33" fillId="0" borderId="51" xfId="0" applyNumberFormat="1" applyFont="1" applyBorder="1" applyAlignment="1">
      <alignment horizontal="center" vertical="center" wrapText="1"/>
    </xf>
    <xf numFmtId="0" fontId="31" fillId="3" borderId="28" xfId="0" applyFont="1" applyFill="1" applyBorder="1" applyAlignment="1">
      <alignment horizontal="right" vertical="center" wrapText="1"/>
    </xf>
    <xf numFmtId="0" fontId="31" fillId="3" borderId="29" xfId="0" applyFont="1" applyFill="1" applyBorder="1" applyAlignment="1">
      <alignment horizontal="right" vertical="center" wrapText="1"/>
    </xf>
    <xf numFmtId="0" fontId="31" fillId="3" borderId="40" xfId="0" applyFont="1" applyFill="1" applyBorder="1" applyAlignment="1">
      <alignment horizontal="right" vertical="center" wrapText="1"/>
    </xf>
    <xf numFmtId="0" fontId="31" fillId="3" borderId="87" xfId="0" applyFont="1" applyFill="1" applyBorder="1" applyAlignment="1">
      <alignment horizontal="right" vertical="center" wrapText="1"/>
    </xf>
    <xf numFmtId="0" fontId="31" fillId="3" borderId="26" xfId="0" applyFont="1" applyFill="1" applyBorder="1" applyAlignment="1">
      <alignment horizontal="right" vertical="center" wrapText="1"/>
    </xf>
    <xf numFmtId="0" fontId="31" fillId="3" borderId="44" xfId="0" applyFont="1" applyFill="1" applyBorder="1" applyAlignment="1">
      <alignment horizontal="right" vertical="center" wrapText="1"/>
    </xf>
    <xf numFmtId="0" fontId="58" fillId="0" borderId="0" xfId="0" applyFont="1" applyAlignment="1">
      <alignment horizontal="center" vertical="center" wrapText="1"/>
    </xf>
    <xf numFmtId="0" fontId="58" fillId="0" borderId="81" xfId="0" applyFont="1" applyBorder="1" applyAlignment="1">
      <alignment horizontal="center" vertical="center" wrapText="1"/>
    </xf>
    <xf numFmtId="0" fontId="58" fillId="0" borderId="1" xfId="0" applyFont="1" applyBorder="1" applyAlignment="1">
      <alignment horizontal="center" vertical="center" wrapText="1"/>
    </xf>
    <xf numFmtId="0" fontId="58" fillId="0" borderId="72" xfId="0" applyFont="1" applyBorder="1" applyAlignment="1">
      <alignment horizontal="center" vertical="center" wrapText="1"/>
    </xf>
    <xf numFmtId="0" fontId="58" fillId="0" borderId="74" xfId="0" applyFont="1" applyBorder="1" applyAlignment="1">
      <alignment horizontal="center" vertical="center" wrapText="1"/>
    </xf>
    <xf numFmtId="0" fontId="58" fillId="0" borderId="78" xfId="0" applyFont="1" applyBorder="1" applyAlignment="1">
      <alignment horizontal="center" vertical="center" wrapText="1"/>
    </xf>
    <xf numFmtId="0" fontId="58" fillId="0" borderId="80" xfId="0" applyFont="1" applyBorder="1" applyAlignment="1">
      <alignment horizontal="center" vertical="center" wrapText="1"/>
    </xf>
    <xf numFmtId="0" fontId="58" fillId="0" borderId="12" xfId="0" applyFont="1" applyBorder="1" applyAlignment="1">
      <alignment horizontal="center" vertical="center" wrapText="1"/>
    </xf>
    <xf numFmtId="0" fontId="43" fillId="0" borderId="0" xfId="0" applyFont="1" applyAlignment="1">
      <alignment horizontal="center"/>
    </xf>
    <xf numFmtId="0" fontId="58" fillId="0" borderId="76" xfId="0" applyFont="1" applyBorder="1" applyAlignment="1">
      <alignment horizontal="center" vertical="center" wrapText="1"/>
    </xf>
    <xf numFmtId="0" fontId="58" fillId="0" borderId="2" xfId="0" applyFont="1" applyBorder="1" applyAlignment="1">
      <alignment horizontal="center" vertical="center" wrapText="1"/>
    </xf>
    <xf numFmtId="49" fontId="6" fillId="0" borderId="0" xfId="0" applyNumberFormat="1" applyFont="1" applyAlignment="1">
      <alignment horizontal="center" vertical="center"/>
    </xf>
    <xf numFmtId="0" fontId="43" fillId="0" borderId="82" xfId="0" applyFont="1" applyBorder="1" applyAlignment="1">
      <alignment horizontal="center" vertical="center"/>
    </xf>
    <xf numFmtId="0" fontId="43" fillId="0" borderId="27" xfId="0" applyFont="1" applyBorder="1" applyAlignment="1">
      <alignment horizontal="center" vertical="center"/>
    </xf>
    <xf numFmtId="0" fontId="67" fillId="0" borderId="60" xfId="0" applyFont="1" applyBorder="1" applyAlignment="1">
      <alignment horizontal="left" vertical="center"/>
    </xf>
    <xf numFmtId="0" fontId="67" fillId="0" borderId="45" xfId="0" applyFont="1" applyBorder="1" applyAlignment="1">
      <alignment horizontal="left" vertical="center"/>
    </xf>
    <xf numFmtId="0" fontId="67" fillId="0" borderId="73" xfId="0" applyFont="1" applyBorder="1" applyAlignment="1">
      <alignment horizontal="left" vertical="center"/>
    </xf>
    <xf numFmtId="4" fontId="67" fillId="0" borderId="79" xfId="0" applyNumberFormat="1" applyFont="1" applyBorder="1" applyAlignment="1">
      <alignment horizontal="right" vertical="center"/>
    </xf>
    <xf numFmtId="4" fontId="67" fillId="0" borderId="65" xfId="0" applyNumberFormat="1" applyFont="1" applyBorder="1" applyAlignment="1">
      <alignment horizontal="right" vertical="center"/>
    </xf>
    <xf numFmtId="165" fontId="67" fillId="0" borderId="79" xfId="0" applyNumberFormat="1" applyFont="1" applyBorder="1" applyAlignment="1">
      <alignment horizontal="right" vertical="center"/>
    </xf>
    <xf numFmtId="165" fontId="67" fillId="0" borderId="65" xfId="0" applyNumberFormat="1" applyFont="1" applyBorder="1" applyAlignment="1">
      <alignment horizontal="right" vertical="center"/>
    </xf>
    <xf numFmtId="0" fontId="3" fillId="0" borderId="60" xfId="8" applyBorder="1" applyAlignment="1">
      <alignment horizontal="left" vertical="center"/>
    </xf>
    <xf numFmtId="0" fontId="3" fillId="0" borderId="45" xfId="8" applyBorder="1" applyAlignment="1">
      <alignment horizontal="left" vertical="center"/>
    </xf>
    <xf numFmtId="0" fontId="3" fillId="0" borderId="73" xfId="8" applyBorder="1" applyAlignment="1">
      <alignment horizontal="left" vertical="center"/>
    </xf>
    <xf numFmtId="0" fontId="1" fillId="0" borderId="60" xfId="9" applyNumberFormat="1" applyFont="1" applyFill="1" applyBorder="1" applyAlignment="1">
      <alignment horizontal="right" vertical="center"/>
    </xf>
    <xf numFmtId="0" fontId="1" fillId="0" borderId="73" xfId="9" applyNumberFormat="1" applyFont="1" applyFill="1" applyBorder="1" applyAlignment="1">
      <alignment horizontal="right" vertical="center"/>
    </xf>
    <xf numFmtId="0" fontId="0" fillId="36" borderId="27" xfId="0" applyFill="1" applyBorder="1" applyAlignment="1">
      <alignment horizontal="center" vertical="center"/>
    </xf>
    <xf numFmtId="0" fontId="0" fillId="37" borderId="0" xfId="0" applyFill="1" applyAlignment="1">
      <alignment horizontal="center"/>
    </xf>
    <xf numFmtId="0" fontId="0" fillId="38" borderId="27" xfId="0" applyFill="1" applyBorder="1" applyAlignment="1">
      <alignment horizontal="center"/>
    </xf>
    <xf numFmtId="167" fontId="0" fillId="0" borderId="60" xfId="0" applyNumberFormat="1" applyBorder="1" applyAlignment="1">
      <alignment vertical="center"/>
    </xf>
    <xf numFmtId="167" fontId="0" fillId="0" borderId="73" xfId="0" applyNumberFormat="1" applyBorder="1" applyAlignment="1">
      <alignment vertical="center"/>
    </xf>
    <xf numFmtId="0" fontId="64" fillId="0" borderId="82" xfId="0" applyFont="1" applyBorder="1" applyAlignment="1">
      <alignment horizontal="center" vertical="center"/>
    </xf>
    <xf numFmtId="0" fontId="43" fillId="0" borderId="46" xfId="0" applyFont="1" applyBorder="1" applyAlignment="1">
      <alignment horizontal="center" vertical="center"/>
    </xf>
    <xf numFmtId="0" fontId="43" fillId="0" borderId="6" xfId="0" applyFont="1" applyBorder="1" applyAlignment="1">
      <alignment horizontal="center" vertical="center"/>
    </xf>
    <xf numFmtId="167" fontId="0" fillId="38" borderId="39" xfId="0" applyNumberFormat="1" applyFill="1" applyBorder="1" applyAlignment="1">
      <alignment horizontal="center" vertical="center"/>
    </xf>
    <xf numFmtId="167" fontId="0" fillId="38" borderId="86" xfId="0" applyNumberFormat="1" applyFill="1" applyBorder="1" applyAlignment="1">
      <alignment horizontal="center" vertical="center"/>
    </xf>
    <xf numFmtId="0" fontId="0" fillId="38" borderId="60" xfId="0" applyFill="1" applyBorder="1" applyAlignment="1">
      <alignment horizontal="center" vertical="center"/>
    </xf>
    <xf numFmtId="0" fontId="0" fillId="38" borderId="73" xfId="0" applyFill="1" applyBorder="1" applyAlignment="1">
      <alignment horizontal="center" vertical="center"/>
    </xf>
    <xf numFmtId="0" fontId="0" fillId="0" borderId="82" xfId="0" applyBorder="1" applyAlignment="1">
      <alignment horizontal="left" vertical="center"/>
    </xf>
    <xf numFmtId="165" fontId="0" fillId="0" borderId="82" xfId="0" applyNumberFormat="1" applyBorder="1" applyAlignment="1">
      <alignment vertical="center"/>
    </xf>
    <xf numFmtId="0" fontId="0" fillId="38" borderId="82" xfId="0" applyFill="1" applyBorder="1" applyAlignment="1">
      <alignment horizontal="center" vertical="center"/>
    </xf>
    <xf numFmtId="0" fontId="0" fillId="0" borderId="60" xfId="0" applyBorder="1" applyAlignment="1">
      <alignment horizontal="left" vertical="center"/>
    </xf>
    <xf numFmtId="0" fontId="0" fillId="0" borderId="45" xfId="0" applyBorder="1" applyAlignment="1">
      <alignment horizontal="left" vertical="center"/>
    </xf>
    <xf numFmtId="0" fontId="0" fillId="0" borderId="73" xfId="0" applyBorder="1" applyAlignment="1">
      <alignment horizontal="left" vertical="center"/>
    </xf>
    <xf numFmtId="165" fontId="0" fillId="0" borderId="82" xfId="5" applyNumberFormat="1" applyFont="1" applyFill="1" applyBorder="1" applyAlignment="1">
      <alignment vertical="center"/>
    </xf>
    <xf numFmtId="169" fontId="6" fillId="38" borderId="82" xfId="0" applyNumberFormat="1" applyFont="1" applyFill="1" applyBorder="1" applyAlignment="1">
      <alignment horizontal="center" vertical="center"/>
    </xf>
    <xf numFmtId="0" fontId="15" fillId="0" borderId="79" xfId="0" applyFont="1" applyBorder="1" applyAlignment="1">
      <alignment horizontal="center" wrapText="1"/>
    </xf>
    <xf numFmtId="0" fontId="15" fillId="0" borderId="62" xfId="0" applyFont="1" applyBorder="1" applyAlignment="1">
      <alignment horizontal="center" wrapText="1"/>
    </xf>
    <xf numFmtId="0" fontId="15" fillId="0" borderId="65" xfId="0" applyFont="1" applyBorder="1" applyAlignment="1">
      <alignment horizontal="center" wrapText="1"/>
    </xf>
    <xf numFmtId="165" fontId="0" fillId="38" borderId="70" xfId="0" applyNumberFormat="1" applyFill="1" applyBorder="1" applyAlignment="1">
      <alignment vertical="center"/>
    </xf>
    <xf numFmtId="165" fontId="0" fillId="38" borderId="68" xfId="0" applyNumberFormat="1" applyFill="1" applyBorder="1" applyAlignment="1">
      <alignment vertical="center"/>
    </xf>
    <xf numFmtId="165" fontId="0" fillId="38" borderId="69" xfId="0" applyNumberFormat="1" applyFill="1" applyBorder="1" applyAlignment="1">
      <alignment vertical="center"/>
    </xf>
    <xf numFmtId="165" fontId="0" fillId="38" borderId="56" xfId="0" applyNumberFormat="1" applyFill="1" applyBorder="1" applyAlignment="1">
      <alignment vertical="center"/>
    </xf>
    <xf numFmtId="165" fontId="0" fillId="38" borderId="75" xfId="0" applyNumberFormat="1" applyFill="1" applyBorder="1" applyAlignment="1">
      <alignment vertical="center"/>
    </xf>
    <xf numFmtId="165" fontId="0" fillId="38" borderId="64" xfId="0" applyNumberFormat="1" applyFill="1" applyBorder="1" applyAlignment="1">
      <alignment vertical="center"/>
    </xf>
    <xf numFmtId="0" fontId="10" fillId="0" borderId="79" xfId="0" applyFont="1" applyBorder="1" applyAlignment="1">
      <alignment horizontal="left" vertical="center"/>
    </xf>
    <xf numFmtId="0" fontId="10" fillId="0" borderId="62" xfId="0" applyFont="1" applyBorder="1" applyAlignment="1">
      <alignment horizontal="left" vertical="center"/>
    </xf>
    <xf numFmtId="0" fontId="10" fillId="0" borderId="65" xfId="0" applyFont="1" applyBorder="1" applyAlignment="1">
      <alignment horizontal="left" vertical="center"/>
    </xf>
    <xf numFmtId="165" fontId="41" fillId="0" borderId="79" xfId="0" applyNumberFormat="1" applyFont="1" applyBorder="1" applyAlignment="1">
      <alignment horizontal="center" vertical="center"/>
    </xf>
    <xf numFmtId="165" fontId="41" fillId="0" borderId="65" xfId="0" applyNumberFormat="1" applyFont="1" applyBorder="1" applyAlignment="1">
      <alignment horizontal="center" vertical="center"/>
    </xf>
    <xf numFmtId="165" fontId="9" fillId="0" borderId="79" xfId="0" applyNumberFormat="1" applyFont="1" applyBorder="1" applyAlignment="1"/>
    <xf numFmtId="165" fontId="9" fillId="0" borderId="66" xfId="0" applyNumberFormat="1" applyFont="1" applyBorder="1" applyAlignment="1"/>
    <xf numFmtId="165" fontId="9" fillId="0" borderId="58" xfId="0" applyNumberFormat="1" applyFont="1" applyBorder="1" applyAlignment="1">
      <alignment horizontal="center"/>
    </xf>
    <xf numFmtId="165" fontId="9" fillId="0" borderId="65" xfId="0" applyNumberFormat="1" applyFont="1" applyBorder="1" applyAlignment="1">
      <alignment horizontal="center"/>
    </xf>
    <xf numFmtId="165" fontId="9" fillId="0" borderId="70" xfId="0" applyNumberFormat="1" applyFont="1" applyBorder="1" applyAlignment="1">
      <alignment horizontal="right"/>
    </xf>
    <xf numFmtId="165" fontId="9" fillId="0" borderId="71" xfId="0" applyNumberFormat="1" applyFont="1" applyBorder="1" applyAlignment="1">
      <alignment horizontal="right"/>
    </xf>
    <xf numFmtId="165" fontId="9" fillId="0" borderId="59" xfId="0" applyNumberFormat="1" applyFont="1" applyBorder="1" applyAlignment="1"/>
    <xf numFmtId="165" fontId="9" fillId="0" borderId="68" xfId="0" applyNumberFormat="1" applyFont="1" applyBorder="1" applyAlignment="1"/>
    <xf numFmtId="165" fontId="9" fillId="0" borderId="69" xfId="0" applyNumberFormat="1" applyFont="1" applyBorder="1" applyAlignment="1">
      <alignment horizontal="right"/>
    </xf>
    <xf numFmtId="165" fontId="9" fillId="0" borderId="73" xfId="0" applyNumberFormat="1" applyFont="1" applyBorder="1" applyAlignment="1">
      <alignment horizontal="right"/>
    </xf>
    <xf numFmtId="165" fontId="9" fillId="0" borderId="60" xfId="0" applyNumberFormat="1" applyFont="1" applyBorder="1" applyAlignment="1"/>
    <xf numFmtId="165" fontId="9" fillId="0" borderId="56" xfId="0" applyNumberFormat="1" applyFont="1" applyBorder="1" applyAlignment="1"/>
    <xf numFmtId="165" fontId="15" fillId="0" borderId="79" xfId="0" applyNumberFormat="1" applyFont="1" applyBorder="1" applyAlignment="1">
      <alignment horizontal="center"/>
    </xf>
    <xf numFmtId="165" fontId="15" fillId="0" borderId="66" xfId="0" applyNumberFormat="1" applyFont="1" applyBorder="1" applyAlignment="1">
      <alignment horizontal="center"/>
    </xf>
    <xf numFmtId="165" fontId="15" fillId="0" borderId="58" xfId="0" applyNumberFormat="1" applyFont="1" applyBorder="1" applyAlignment="1">
      <alignment horizontal="center"/>
    </xf>
    <xf numFmtId="165" fontId="15" fillId="0" borderId="65" xfId="0" applyNumberFormat="1" applyFont="1" applyBorder="1" applyAlignment="1">
      <alignment horizontal="center"/>
    </xf>
    <xf numFmtId="165" fontId="46" fillId="0" borderId="79" xfId="0" applyNumberFormat="1" applyFont="1" applyBorder="1" applyAlignment="1">
      <alignment horizontal="center"/>
    </xf>
    <xf numFmtId="0" fontId="46" fillId="0" borderId="65" xfId="0" applyFont="1" applyBorder="1" applyAlignment="1">
      <alignment horizontal="center"/>
    </xf>
    <xf numFmtId="0" fontId="32" fillId="2" borderId="4" xfId="0" applyFont="1" applyFill="1" applyBorder="1" applyAlignment="1">
      <alignment horizontal="left" vertical="top" wrapText="1"/>
    </xf>
    <xf numFmtId="0" fontId="32" fillId="2" borderId="6" xfId="0" applyFont="1" applyFill="1" applyBorder="1" applyAlignment="1">
      <alignment horizontal="left" vertical="top" wrapText="1"/>
    </xf>
    <xf numFmtId="0" fontId="32" fillId="2" borderId="81" xfId="0" applyFont="1" applyFill="1" applyBorder="1" applyAlignment="1">
      <alignment horizontal="left" vertical="top" wrapText="1"/>
    </xf>
    <xf numFmtId="0" fontId="32" fillId="2" borderId="82" xfId="0" applyFont="1" applyFill="1" applyBorder="1" applyAlignment="1">
      <alignment horizontal="left" vertical="top" wrapText="1"/>
    </xf>
    <xf numFmtId="165" fontId="32" fillId="0" borderId="82" xfId="0" applyNumberFormat="1" applyFont="1" applyBorder="1" applyAlignment="1">
      <alignment horizontal="center" vertical="center"/>
    </xf>
    <xf numFmtId="165" fontId="32" fillId="0" borderId="46" xfId="0" applyNumberFormat="1" applyFont="1" applyBorder="1" applyAlignment="1">
      <alignment horizontal="center" vertical="center"/>
    </xf>
    <xf numFmtId="0" fontId="32" fillId="0" borderId="82" xfId="0" applyFont="1" applyBorder="1" applyAlignment="1">
      <alignment horizontal="center" vertical="center"/>
    </xf>
    <xf numFmtId="0" fontId="32" fillId="0" borderId="46" xfId="0" applyFont="1" applyBorder="1" applyAlignment="1">
      <alignment horizontal="center" vertical="center"/>
    </xf>
    <xf numFmtId="0" fontId="31" fillId="2" borderId="1" xfId="0" applyFont="1" applyFill="1" applyBorder="1" applyAlignment="1">
      <alignment horizontal="center" vertical="center"/>
    </xf>
    <xf numFmtId="0" fontId="31" fillId="2" borderId="11" xfId="0" applyFont="1" applyFill="1" applyBorder="1" applyAlignment="1">
      <alignment horizontal="center" vertical="center"/>
    </xf>
    <xf numFmtId="0" fontId="32" fillId="4" borderId="81" xfId="0" applyFont="1" applyFill="1" applyBorder="1" applyAlignment="1">
      <alignment horizontal="left" vertical="top" wrapText="1"/>
    </xf>
    <xf numFmtId="0" fontId="32" fillId="4" borderId="82" xfId="0" applyFont="1" applyFill="1" applyBorder="1" applyAlignment="1">
      <alignment horizontal="left" vertical="top" wrapText="1"/>
    </xf>
    <xf numFmtId="3" fontId="32" fillId="0" borderId="82" xfId="0" applyNumberFormat="1" applyFont="1" applyBorder="1" applyAlignment="1" applyProtection="1">
      <alignment horizontal="center" vertical="center"/>
      <protection locked="0"/>
    </xf>
    <xf numFmtId="0" fontId="32" fillId="4" borderId="83" xfId="0" applyFont="1" applyFill="1" applyBorder="1" applyAlignment="1">
      <alignment horizontal="left" vertical="top" wrapText="1"/>
    </xf>
    <xf numFmtId="0" fontId="32" fillId="4" borderId="46" xfId="0" applyFont="1" applyFill="1" applyBorder="1" applyAlignment="1">
      <alignment horizontal="left" vertical="top" wrapText="1"/>
    </xf>
    <xf numFmtId="3" fontId="32" fillId="0" borderId="46" xfId="0" applyNumberFormat="1" applyFont="1" applyBorder="1" applyAlignment="1" applyProtection="1">
      <alignment horizontal="center" vertical="center"/>
      <protection locked="0"/>
    </xf>
    <xf numFmtId="0" fontId="32" fillId="4" borderId="4" xfId="0" applyFont="1" applyFill="1" applyBorder="1" applyAlignment="1">
      <alignment horizontal="left" vertical="top" wrapText="1"/>
    </xf>
    <xf numFmtId="0" fontId="32" fillId="4" borderId="6" xfId="0" applyFont="1" applyFill="1" applyBorder="1" applyAlignment="1">
      <alignment horizontal="left" vertical="top" wrapText="1"/>
    </xf>
    <xf numFmtId="0" fontId="32" fillId="0" borderId="14" xfId="0" applyFont="1" applyBorder="1" applyAlignment="1">
      <alignment horizontal="center" vertical="center"/>
    </xf>
    <xf numFmtId="0" fontId="32" fillId="0" borderId="6" xfId="0" applyFont="1" applyBorder="1" applyAlignment="1">
      <alignment horizontal="center" vertical="center"/>
    </xf>
    <xf numFmtId="3" fontId="32" fillId="0" borderId="6" xfId="0" applyNumberFormat="1" applyFont="1" applyBorder="1" applyAlignment="1" applyProtection="1">
      <alignment horizontal="center" vertical="center"/>
      <protection locked="0"/>
    </xf>
    <xf numFmtId="0" fontId="31" fillId="2" borderId="15" xfId="0" applyFont="1" applyFill="1" applyBorder="1" applyAlignment="1">
      <alignment horizontal="center" vertical="center"/>
    </xf>
    <xf numFmtId="0" fontId="31" fillId="2" borderId="5" xfId="0" applyFont="1" applyFill="1" applyBorder="1" applyAlignment="1">
      <alignment horizontal="center" vertical="center"/>
    </xf>
    <xf numFmtId="3" fontId="32" fillId="0" borderId="14" xfId="0" applyNumberFormat="1" applyFont="1" applyBorder="1" applyAlignment="1" applyProtection="1">
      <alignment horizontal="center" vertical="center"/>
      <protection locked="0"/>
    </xf>
    <xf numFmtId="165" fontId="32" fillId="0" borderId="14" xfId="0" applyNumberFormat="1" applyFont="1" applyBorder="1" applyAlignment="1" applyProtection="1">
      <alignment horizontal="center" vertical="center"/>
      <protection locked="0"/>
    </xf>
    <xf numFmtId="49" fontId="34" fillId="0" borderId="3" xfId="0" applyNumberFormat="1" applyFont="1" applyBorder="1" applyAlignment="1">
      <alignment horizontal="center" vertical="center" wrapText="1"/>
    </xf>
    <xf numFmtId="3" fontId="32" fillId="0" borderId="67" xfId="0" applyNumberFormat="1" applyFont="1" applyBorder="1" applyAlignment="1" applyProtection="1">
      <alignment horizontal="center" vertical="center"/>
      <protection locked="0"/>
    </xf>
    <xf numFmtId="165" fontId="32" fillId="0" borderId="67" xfId="0" applyNumberFormat="1" applyFont="1" applyBorder="1" applyAlignment="1">
      <alignment horizontal="center" vertical="center"/>
    </xf>
    <xf numFmtId="0" fontId="32" fillId="4" borderId="76" xfId="0" applyFont="1" applyFill="1" applyBorder="1" applyAlignment="1">
      <alignment horizontal="left" vertical="top" wrapText="1"/>
    </xf>
    <xf numFmtId="0" fontId="32" fillId="4" borderId="84" xfId="0" applyFont="1" applyFill="1" applyBorder="1" applyAlignment="1">
      <alignment horizontal="left" vertical="top" wrapText="1"/>
    </xf>
    <xf numFmtId="3" fontId="32" fillId="0" borderId="84" xfId="0" applyNumberFormat="1" applyFont="1" applyBorder="1" applyAlignment="1" applyProtection="1">
      <alignment horizontal="center" vertical="center"/>
      <protection locked="0"/>
    </xf>
    <xf numFmtId="165" fontId="32" fillId="0" borderId="84" xfId="0" applyNumberFormat="1" applyFont="1" applyBorder="1" applyAlignment="1">
      <alignment horizontal="center" vertical="center"/>
    </xf>
    <xf numFmtId="0" fontId="32" fillId="0" borderId="84" xfId="0" applyFont="1" applyBorder="1" applyAlignment="1">
      <alignment horizontal="center" vertical="center"/>
    </xf>
    <xf numFmtId="0" fontId="31" fillId="2" borderId="2" xfId="0" applyFont="1" applyFill="1" applyBorder="1" applyAlignment="1">
      <alignment horizontal="center" vertical="center"/>
    </xf>
    <xf numFmtId="0" fontId="60" fillId="0" borderId="67" xfId="0" applyFont="1" applyBorder="1" applyAlignment="1">
      <alignment horizontal="center" vertical="center" wrapText="1"/>
    </xf>
    <xf numFmtId="0" fontId="60" fillId="0" borderId="82" xfId="0" applyFont="1" applyBorder="1" applyAlignment="1">
      <alignment horizontal="center" vertical="center" wrapText="1"/>
    </xf>
    <xf numFmtId="0" fontId="60" fillId="0" borderId="84" xfId="0" applyFont="1" applyBorder="1" applyAlignment="1">
      <alignment horizontal="center" vertical="center" wrapText="1"/>
    </xf>
    <xf numFmtId="0" fontId="32" fillId="0" borderId="67" xfId="0" applyFont="1" applyBorder="1" applyAlignment="1">
      <alignment horizontal="center" vertical="center" wrapText="1"/>
    </xf>
    <xf numFmtId="0" fontId="32" fillId="0" borderId="82" xfId="0" applyFont="1" applyBorder="1" applyAlignment="1">
      <alignment horizontal="center" vertical="center" wrapText="1"/>
    </xf>
    <xf numFmtId="0" fontId="32" fillId="0" borderId="84" xfId="0" applyFont="1" applyBorder="1" applyAlignment="1">
      <alignment horizontal="center" vertical="center" wrapText="1"/>
    </xf>
    <xf numFmtId="49" fontId="34" fillId="0" borderId="12" xfId="0" applyNumberFormat="1" applyFont="1" applyBorder="1" applyAlignment="1">
      <alignment horizontal="center" vertical="center" wrapText="1"/>
    </xf>
    <xf numFmtId="49" fontId="34" fillId="0" borderId="1" xfId="0" applyNumberFormat="1" applyFont="1" applyBorder="1" applyAlignment="1">
      <alignment horizontal="center" vertical="center" wrapText="1"/>
    </xf>
    <xf numFmtId="49" fontId="34" fillId="0" borderId="2" xfId="0" applyNumberFormat="1" applyFont="1" applyBorder="1" applyAlignment="1">
      <alignment horizontal="center" vertical="center" wrapText="1"/>
    </xf>
    <xf numFmtId="165" fontId="32" fillId="0" borderId="6" xfId="0" applyNumberFormat="1" applyFont="1" applyBorder="1" applyAlignment="1">
      <alignment horizontal="center" vertical="center"/>
    </xf>
    <xf numFmtId="0" fontId="32" fillId="0" borderId="67" xfId="0" applyFont="1" applyBorder="1" applyAlignment="1">
      <alignment horizontal="center" vertical="center"/>
    </xf>
    <xf numFmtId="0" fontId="31" fillId="2" borderId="12" xfId="0" applyFont="1" applyFill="1" applyBorder="1" applyAlignment="1">
      <alignment horizontal="center" vertical="center"/>
    </xf>
    <xf numFmtId="0" fontId="32" fillId="45" borderId="80" xfId="0" applyFont="1" applyFill="1" applyBorder="1" applyAlignment="1">
      <alignment horizontal="left" vertical="top" wrapText="1"/>
    </xf>
    <xf numFmtId="0" fontId="32" fillId="45" borderId="67" xfId="0" applyFont="1" applyFill="1" applyBorder="1" applyAlignment="1">
      <alignment horizontal="left" vertical="top" wrapText="1"/>
    </xf>
    <xf numFmtId="0" fontId="32" fillId="45" borderId="4" xfId="0" applyFont="1" applyFill="1" applyBorder="1" applyAlignment="1">
      <alignment horizontal="left" vertical="top" wrapText="1"/>
    </xf>
    <xf numFmtId="0" fontId="32" fillId="45" borderId="6" xfId="0" applyFont="1" applyFill="1" applyBorder="1" applyAlignment="1">
      <alignment horizontal="left" vertical="top" wrapText="1"/>
    </xf>
    <xf numFmtId="0" fontId="32" fillId="45" borderId="81" xfId="0" applyFont="1" applyFill="1" applyBorder="1" applyAlignment="1">
      <alignment horizontal="left" vertical="top" wrapText="1"/>
    </xf>
    <xf numFmtId="0" fontId="32" fillId="45" borderId="82" xfId="0" applyFont="1" applyFill="1" applyBorder="1" applyAlignment="1">
      <alignment horizontal="left" vertical="top" wrapText="1"/>
    </xf>
    <xf numFmtId="0" fontId="32" fillId="2" borderId="83" xfId="0" applyFont="1" applyFill="1" applyBorder="1" applyAlignment="1">
      <alignment horizontal="left" vertical="top" wrapText="1"/>
    </xf>
    <xf numFmtId="0" fontId="32" fillId="2" borderId="46" xfId="0" applyFont="1" applyFill="1" applyBorder="1" applyAlignment="1">
      <alignment horizontal="left" vertical="top" wrapText="1"/>
    </xf>
    <xf numFmtId="0" fontId="32" fillId="0" borderId="7" xfId="0" applyFont="1" applyBorder="1" applyAlignment="1">
      <alignment horizontal="center" vertical="center"/>
    </xf>
    <xf numFmtId="0" fontId="34" fillId="0" borderId="54"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49"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7"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7" xfId="0" applyFont="1" applyBorder="1" applyAlignment="1">
      <alignment horizontal="center" vertical="center" wrapText="1"/>
    </xf>
    <xf numFmtId="0" fontId="32" fillId="4" borderId="80" xfId="0" applyFont="1" applyFill="1" applyBorder="1" applyAlignment="1">
      <alignment horizontal="left" vertical="top" wrapText="1"/>
    </xf>
    <xf numFmtId="0" fontId="32" fillId="4" borderId="67" xfId="0" applyFont="1" applyFill="1" applyBorder="1" applyAlignment="1">
      <alignment horizontal="left" vertical="top" wrapText="1"/>
    </xf>
    <xf numFmtId="165" fontId="52" fillId="0" borderId="0" xfId="1" applyNumberFormat="1" applyFont="1" applyAlignment="1">
      <alignment horizontal="center" vertical="center"/>
    </xf>
    <xf numFmtId="0" fontId="31" fillId="0" borderId="32" xfId="0" applyFont="1" applyBorder="1" applyAlignment="1">
      <alignment horizontal="center" wrapText="1"/>
    </xf>
    <xf numFmtId="0" fontId="31" fillId="0" borderId="53" xfId="0" applyFont="1" applyBorder="1" applyAlignment="1">
      <alignment horizontal="center" wrapText="1"/>
    </xf>
    <xf numFmtId="0" fontId="31" fillId="0" borderId="54" xfId="0" applyFont="1" applyBorder="1" applyAlignment="1">
      <alignment horizontal="center" vertical="center"/>
    </xf>
    <xf numFmtId="0" fontId="31" fillId="0" borderId="52" xfId="0" applyFont="1" applyBorder="1" applyAlignment="1">
      <alignment horizontal="center" vertical="center"/>
    </xf>
    <xf numFmtId="165" fontId="32" fillId="0" borderId="31" xfId="0" applyNumberFormat="1" applyFont="1" applyBorder="1" applyAlignment="1">
      <alignment horizontal="center"/>
    </xf>
    <xf numFmtId="165" fontId="31" fillId="0" borderId="31" xfId="0" applyNumberFormat="1" applyFont="1" applyBorder="1" applyAlignment="1">
      <alignment horizontal="center" wrapText="1"/>
    </xf>
    <xf numFmtId="165" fontId="31" fillId="0" borderId="0" xfId="0" applyNumberFormat="1" applyFont="1" applyAlignment="1">
      <alignment horizontal="center" wrapText="1"/>
    </xf>
    <xf numFmtId="165" fontId="31" fillId="0" borderId="41" xfId="0" applyNumberFormat="1" applyFont="1" applyBorder="1" applyAlignment="1">
      <alignment horizontal="center" wrapText="1"/>
    </xf>
    <xf numFmtId="165" fontId="39" fillId="3" borderId="87" xfId="0" applyNumberFormat="1" applyFont="1" applyFill="1" applyBorder="1" applyAlignment="1">
      <alignment horizontal="center" vertical="center" wrapText="1"/>
    </xf>
    <xf numFmtId="165" fontId="39" fillId="3" borderId="26" xfId="0" applyNumberFormat="1" applyFont="1" applyFill="1" applyBorder="1" applyAlignment="1">
      <alignment horizontal="center" vertical="center" wrapText="1"/>
    </xf>
    <xf numFmtId="165" fontId="39" fillId="3" borderId="44" xfId="0" applyNumberFormat="1" applyFont="1" applyFill="1" applyBorder="1" applyAlignment="1">
      <alignment horizontal="center" vertical="center" wrapText="1"/>
    </xf>
    <xf numFmtId="165" fontId="52" fillId="0" borderId="29" xfId="1" applyNumberFormat="1" applyFont="1" applyBorder="1" applyAlignment="1">
      <alignment horizontal="center" vertical="center"/>
    </xf>
    <xf numFmtId="0" fontId="32" fillId="0" borderId="80" xfId="0" applyFont="1" applyBorder="1" applyAlignment="1">
      <alignment horizontal="center" vertical="center" wrapText="1"/>
    </xf>
    <xf numFmtId="0" fontId="32" fillId="0" borderId="81" xfId="0" applyFont="1" applyBorder="1" applyAlignment="1">
      <alignment horizontal="center" vertical="center" wrapText="1"/>
    </xf>
    <xf numFmtId="0" fontId="32" fillId="0" borderId="76" xfId="0" applyFont="1" applyBorder="1" applyAlignment="1">
      <alignment horizontal="center" vertical="center" wrapText="1"/>
    </xf>
    <xf numFmtId="0" fontId="31" fillId="0" borderId="67" xfId="0" applyFont="1" applyBorder="1" applyAlignment="1">
      <alignment horizontal="center" vertical="center" wrapText="1"/>
    </xf>
    <xf numFmtId="0" fontId="31" fillId="0" borderId="82" xfId="0" applyFont="1" applyBorder="1" applyAlignment="1">
      <alignment horizontal="center" vertical="center" wrapText="1"/>
    </xf>
    <xf numFmtId="0" fontId="40" fillId="4" borderId="81" xfId="0" applyFont="1" applyFill="1" applyBorder="1" applyAlignment="1">
      <alignment horizontal="left" vertical="top" wrapText="1"/>
    </xf>
    <xf numFmtId="0" fontId="40" fillId="4" borderId="82" xfId="0" applyFont="1" applyFill="1" applyBorder="1" applyAlignment="1">
      <alignment horizontal="left" vertical="top" wrapText="1"/>
    </xf>
    <xf numFmtId="0" fontId="40" fillId="4" borderId="76" xfId="0" applyFont="1" applyFill="1" applyBorder="1" applyAlignment="1">
      <alignment horizontal="left" vertical="top" wrapText="1"/>
    </xf>
    <xf numFmtId="0" fontId="40" fillId="4" borderId="84" xfId="0" applyFont="1" applyFill="1" applyBorder="1" applyAlignment="1">
      <alignment horizontal="left" vertical="top" wrapText="1"/>
    </xf>
    <xf numFmtId="49" fontId="34" fillId="0" borderId="16" xfId="0" applyNumberFormat="1" applyFont="1" applyBorder="1" applyAlignment="1">
      <alignment horizontal="center" vertical="center" wrapText="1"/>
    </xf>
    <xf numFmtId="49" fontId="34" fillId="0" borderId="15" xfId="0" applyNumberFormat="1" applyFont="1" applyBorder="1" applyAlignment="1">
      <alignment horizontal="center" vertical="center" wrapText="1"/>
    </xf>
    <xf numFmtId="49" fontId="34" fillId="0" borderId="8" xfId="0" applyNumberFormat="1" applyFont="1" applyBorder="1" applyAlignment="1">
      <alignment horizontal="center" vertical="center" wrapText="1"/>
    </xf>
    <xf numFmtId="0" fontId="32" fillId="0" borderId="54"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52" xfId="0" applyFont="1" applyBorder="1" applyAlignment="1">
      <alignment horizontal="center" vertical="center" wrapText="1"/>
    </xf>
    <xf numFmtId="0" fontId="32" fillId="0" borderId="13" xfId="0" applyFont="1" applyBorder="1" applyAlignment="1">
      <alignment horizontal="center" vertical="center"/>
    </xf>
    <xf numFmtId="0" fontId="31" fillId="2" borderId="16" xfId="0" applyFont="1" applyFill="1" applyBorder="1" applyAlignment="1">
      <alignment horizontal="center" vertical="center"/>
    </xf>
    <xf numFmtId="0" fontId="34" fillId="4" borderId="81" xfId="0" applyFont="1" applyFill="1" applyBorder="1" applyAlignment="1">
      <alignment horizontal="left" vertical="top" wrapText="1"/>
    </xf>
    <xf numFmtId="0" fontId="34" fillId="4" borderId="82" xfId="0" applyFont="1" applyFill="1" applyBorder="1" applyAlignment="1">
      <alignment horizontal="left" vertical="top" wrapText="1"/>
    </xf>
    <xf numFmtId="0" fontId="32" fillId="4" borderId="28" xfId="0" applyFont="1" applyFill="1" applyBorder="1" applyAlignment="1">
      <alignment horizontal="left" vertical="top" wrapText="1"/>
    </xf>
    <xf numFmtId="0" fontId="32" fillId="4" borderId="29" xfId="0" applyFont="1" applyFill="1" applyBorder="1" applyAlignment="1">
      <alignment horizontal="left" vertical="top" wrapText="1"/>
    </xf>
    <xf numFmtId="0" fontId="32" fillId="4" borderId="55" xfId="0" applyFont="1" applyFill="1" applyBorder="1" applyAlignment="1">
      <alignment horizontal="left" vertical="top" wrapText="1"/>
    </xf>
    <xf numFmtId="0" fontId="32" fillId="4" borderId="31" xfId="0" applyFont="1" applyFill="1" applyBorder="1" applyAlignment="1">
      <alignment horizontal="left" vertical="top" wrapText="1"/>
    </xf>
    <xf numFmtId="0" fontId="32" fillId="4" borderId="0" xfId="0" applyFont="1" applyFill="1" applyAlignment="1">
      <alignment horizontal="left" vertical="top" wrapText="1"/>
    </xf>
    <xf numFmtId="0" fontId="32" fillId="4" borderId="50" xfId="0" applyFont="1" applyFill="1" applyBorder="1" applyAlignment="1">
      <alignment horizontal="left" vertical="top" wrapText="1"/>
    </xf>
    <xf numFmtId="0" fontId="32" fillId="4" borderId="33" xfId="0" applyFont="1" applyFill="1" applyBorder="1" applyAlignment="1">
      <alignment horizontal="left" vertical="top" wrapText="1"/>
    </xf>
    <xf numFmtId="0" fontId="32" fillId="4" borderId="27" xfId="0" applyFont="1" applyFill="1" applyBorder="1" applyAlignment="1">
      <alignment horizontal="left" vertical="top" wrapText="1"/>
    </xf>
    <xf numFmtId="0" fontId="32" fillId="4" borderId="85" xfId="0" applyFont="1" applyFill="1" applyBorder="1" applyAlignment="1">
      <alignment horizontal="left" vertical="top" wrapText="1"/>
    </xf>
    <xf numFmtId="3" fontId="32" fillId="0" borderId="13" xfId="0" applyNumberFormat="1" applyFont="1" applyBorder="1" applyAlignment="1" applyProtection="1">
      <alignment horizontal="center" vertical="center"/>
      <protection locked="0"/>
    </xf>
    <xf numFmtId="165" fontId="32" fillId="0" borderId="13" xfId="0" applyNumberFormat="1" applyFont="1" applyBorder="1" applyAlignment="1" applyProtection="1">
      <alignment horizontal="center" vertical="center"/>
      <protection locked="0"/>
    </xf>
    <xf numFmtId="0" fontId="32" fillId="4" borderId="36" xfId="0" applyFont="1" applyFill="1" applyBorder="1" applyAlignment="1">
      <alignment horizontal="left" vertical="top" wrapText="1"/>
    </xf>
    <xf numFmtId="0" fontId="32" fillId="4" borderId="37" xfId="0" applyFont="1" applyFill="1" applyBorder="1" applyAlignment="1">
      <alignment horizontal="left" vertical="top" wrapText="1"/>
    </xf>
    <xf numFmtId="0" fontId="32" fillId="4" borderId="86" xfId="0" applyFont="1" applyFill="1" applyBorder="1" applyAlignment="1">
      <alignment horizontal="left" vertical="top" wrapText="1"/>
    </xf>
    <xf numFmtId="0" fontId="31" fillId="0" borderId="0" xfId="0" applyFont="1" applyAlignment="1">
      <alignment horizontal="left" vertical="top" wrapText="1"/>
    </xf>
    <xf numFmtId="0" fontId="31" fillId="2" borderId="8" xfId="0" applyFont="1" applyFill="1" applyBorder="1" applyAlignment="1">
      <alignment horizontal="center" vertical="center"/>
    </xf>
    <xf numFmtId="0" fontId="32" fillId="2" borderId="76" xfId="0" applyFont="1" applyFill="1" applyBorder="1" applyAlignment="1">
      <alignment horizontal="left" vertical="top" wrapText="1"/>
    </xf>
    <xf numFmtId="0" fontId="32" fillId="2" borderId="84" xfId="0" applyFont="1" applyFill="1" applyBorder="1" applyAlignment="1">
      <alignment horizontal="left" vertical="top" wrapText="1"/>
    </xf>
    <xf numFmtId="0" fontId="32" fillId="4" borderId="87" xfId="0" applyFont="1" applyFill="1" applyBorder="1" applyAlignment="1">
      <alignment horizontal="left" vertical="top" wrapText="1"/>
    </xf>
    <xf numFmtId="0" fontId="32" fillId="4" borderId="26" xfId="0" applyFont="1" applyFill="1" applyBorder="1" applyAlignment="1">
      <alignment horizontal="left" vertical="top" wrapText="1"/>
    </xf>
    <xf numFmtId="0" fontId="32" fillId="4" borderId="88" xfId="0" applyFont="1" applyFill="1" applyBorder="1" applyAlignment="1">
      <alignment horizontal="left" vertical="top" wrapText="1"/>
    </xf>
    <xf numFmtId="165" fontId="9" fillId="0" borderId="69" xfId="0" applyNumberFormat="1" applyFont="1" applyBorder="1" applyAlignment="1">
      <alignment horizontal="center" vertical="center"/>
    </xf>
    <xf numFmtId="165" fontId="9" fillId="0" borderId="56" xfId="0" applyNumberFormat="1" applyFont="1" applyBorder="1" applyAlignment="1">
      <alignment horizontal="center" vertical="center"/>
    </xf>
    <xf numFmtId="165" fontId="9" fillId="0" borderId="75" xfId="0" applyNumberFormat="1" applyFont="1" applyBorder="1" applyAlignment="1">
      <alignment horizontal="center" vertical="center"/>
    </xf>
    <xf numFmtId="165" fontId="9" fillId="0" borderId="64" xfId="0" applyNumberFormat="1" applyFont="1" applyBorder="1" applyAlignment="1">
      <alignment horizontal="center" vertical="center"/>
    </xf>
    <xf numFmtId="165" fontId="9" fillId="0" borderId="69" xfId="0" applyNumberFormat="1" applyFont="1" applyBorder="1" applyAlignment="1">
      <alignment horizontal="center"/>
    </xf>
    <xf numFmtId="165" fontId="9" fillId="0" borderId="56" xfId="0" applyNumberFormat="1" applyFont="1" applyBorder="1" applyAlignment="1">
      <alignment horizontal="center"/>
    </xf>
    <xf numFmtId="0" fontId="15" fillId="0" borderId="28" xfId="0" applyFont="1" applyBorder="1" applyAlignment="1">
      <alignment horizontal="center" wrapText="1"/>
    </xf>
    <xf numFmtId="0" fontId="15" fillId="0" borderId="40" xfId="0" applyFont="1" applyBorder="1" applyAlignment="1">
      <alignment horizontal="center" wrapText="1"/>
    </xf>
    <xf numFmtId="0" fontId="15" fillId="0" borderId="31" xfId="0" applyFont="1" applyBorder="1" applyAlignment="1">
      <alignment horizontal="center" wrapText="1"/>
    </xf>
    <xf numFmtId="0" fontId="15" fillId="0" borderId="41" xfId="0" applyFont="1" applyBorder="1" applyAlignment="1">
      <alignment horizontal="center" wrapText="1"/>
    </xf>
    <xf numFmtId="0" fontId="46" fillId="0" borderId="0" xfId="0" applyFont="1" applyAlignment="1">
      <alignment horizontal="right"/>
    </xf>
    <xf numFmtId="165" fontId="48" fillId="0" borderId="79" xfId="0" applyNumberFormat="1" applyFont="1" applyBorder="1" applyAlignment="1">
      <alignment horizontal="center"/>
    </xf>
    <xf numFmtId="165" fontId="48" fillId="0" borderId="65" xfId="0" applyNumberFormat="1" applyFont="1" applyBorder="1" applyAlignment="1">
      <alignment horizontal="center"/>
    </xf>
    <xf numFmtId="0" fontId="15" fillId="0" borderId="0" xfId="0" applyFont="1" applyAlignment="1">
      <alignment horizontal="right"/>
    </xf>
    <xf numFmtId="0" fontId="49" fillId="0" borderId="0" xfId="0" applyFont="1" applyAlignment="1">
      <alignment horizontal="center"/>
    </xf>
    <xf numFmtId="165" fontId="9" fillId="0" borderId="79" xfId="0" applyNumberFormat="1" applyFont="1" applyBorder="1" applyAlignment="1">
      <alignment horizontal="center"/>
    </xf>
    <xf numFmtId="165" fontId="9" fillId="0" borderId="62" xfId="0" applyNumberFormat="1" applyFont="1" applyBorder="1" applyAlignment="1">
      <alignment horizontal="center"/>
    </xf>
    <xf numFmtId="0" fontId="15" fillId="0" borderId="79" xfId="0" applyFont="1" applyBorder="1" applyAlignment="1">
      <alignment horizontal="center"/>
    </xf>
    <xf numFmtId="0" fontId="15" fillId="0" borderId="62" xfId="0" applyFont="1" applyBorder="1" applyAlignment="1">
      <alignment horizontal="center"/>
    </xf>
    <xf numFmtId="0" fontId="15" fillId="0" borderId="65" xfId="0" applyFont="1" applyBorder="1" applyAlignment="1">
      <alignment horizontal="center"/>
    </xf>
    <xf numFmtId="165" fontId="48" fillId="0" borderId="87" xfId="0" applyNumberFormat="1" applyFont="1" applyBorder="1" applyAlignment="1">
      <alignment horizontal="center"/>
    </xf>
    <xf numFmtId="165" fontId="48" fillId="0" borderId="44" xfId="0" applyNumberFormat="1" applyFont="1" applyBorder="1" applyAlignment="1">
      <alignment horizontal="center"/>
    </xf>
    <xf numFmtId="165" fontId="9" fillId="0" borderId="36" xfId="0" applyNumberFormat="1" applyFont="1" applyBorder="1" applyAlignment="1"/>
    <xf numFmtId="165" fontId="9" fillId="0" borderId="42" xfId="0" applyNumberFormat="1" applyFont="1" applyBorder="1" applyAlignment="1"/>
    <xf numFmtId="165" fontId="9" fillId="0" borderId="70" xfId="0" applyNumberFormat="1" applyFont="1" applyBorder="1" applyAlignment="1">
      <alignment horizontal="center" vertical="center"/>
    </xf>
    <xf numFmtId="165" fontId="9" fillId="0" borderId="68" xfId="0" applyNumberFormat="1" applyFont="1" applyBorder="1" applyAlignment="1">
      <alignment horizontal="center" vertical="center"/>
    </xf>
    <xf numFmtId="0" fontId="15" fillId="0" borderId="70" xfId="0" applyFont="1" applyBorder="1" applyAlignment="1">
      <alignment horizontal="center" wrapText="1"/>
    </xf>
    <xf numFmtId="0" fontId="15" fillId="0" borderId="68" xfId="0" applyFont="1" applyBorder="1" applyAlignment="1">
      <alignment horizontal="center" wrapText="1"/>
    </xf>
    <xf numFmtId="0" fontId="15" fillId="0" borderId="69" xfId="0" applyFont="1" applyBorder="1" applyAlignment="1">
      <alignment horizontal="center" wrapText="1"/>
    </xf>
    <xf numFmtId="0" fontId="15" fillId="0" borderId="56" xfId="0" applyFont="1" applyBorder="1" applyAlignment="1">
      <alignment horizontal="center" wrapText="1"/>
    </xf>
    <xf numFmtId="165" fontId="9" fillId="0" borderId="69" xfId="0" applyNumberFormat="1" applyFont="1" applyBorder="1" applyAlignment="1"/>
    <xf numFmtId="165" fontId="9" fillId="0" borderId="75" xfId="0" applyNumberFormat="1" applyFont="1" applyBorder="1" applyAlignment="1">
      <alignment horizontal="center"/>
    </xf>
    <xf numFmtId="165" fontId="9" fillId="0" borderId="64" xfId="0" applyNumberFormat="1" applyFont="1" applyBorder="1" applyAlignment="1">
      <alignment horizontal="center"/>
    </xf>
    <xf numFmtId="165" fontId="9" fillId="0" borderId="36" xfId="0" applyNumberFormat="1" applyFont="1" applyBorder="1" applyAlignment="1">
      <alignment horizontal="center" vertical="center"/>
    </xf>
    <xf numFmtId="165" fontId="9" fillId="0" borderId="42" xfId="0" applyNumberFormat="1" applyFont="1" applyBorder="1" applyAlignment="1">
      <alignment horizontal="center" vertical="center"/>
    </xf>
    <xf numFmtId="165" fontId="9" fillId="0" borderId="0" xfId="0" applyNumberFormat="1" applyFont="1" applyAlignment="1">
      <alignment horizontal="center" vertical="center"/>
    </xf>
    <xf numFmtId="0" fontId="9" fillId="0" borderId="69" xfId="0" applyFont="1" applyBorder="1" applyAlignment="1"/>
    <xf numFmtId="0" fontId="9" fillId="0" borderId="56" xfId="0" applyFont="1" applyBorder="1" applyAlignment="1"/>
    <xf numFmtId="0" fontId="9" fillId="0" borderId="70" xfId="0" applyFont="1" applyBorder="1" applyAlignment="1"/>
    <xf numFmtId="0" fontId="9" fillId="0" borderId="68" xfId="0" applyFont="1" applyBorder="1" applyAlignment="1"/>
    <xf numFmtId="0" fontId="9" fillId="0" borderId="75" xfId="0" applyFont="1" applyBorder="1" applyAlignment="1"/>
    <xf numFmtId="0" fontId="9" fillId="0" borderId="64" xfId="0" applyFont="1" applyBorder="1" applyAlignment="1"/>
    <xf numFmtId="170" fontId="32" fillId="0" borderId="46" xfId="0" applyNumberFormat="1" applyFont="1" applyBorder="1" applyAlignment="1" applyProtection="1">
      <alignment horizontal="center" vertical="center"/>
      <protection locked="0"/>
    </xf>
    <xf numFmtId="170" fontId="32" fillId="0" borderId="14" xfId="0" applyNumberFormat="1" applyFont="1" applyBorder="1" applyAlignment="1" applyProtection="1">
      <alignment horizontal="center" vertical="center"/>
      <protection locked="0"/>
    </xf>
    <xf numFmtId="170" fontId="32" fillId="0" borderId="6" xfId="0" applyNumberFormat="1" applyFont="1" applyBorder="1" applyAlignment="1" applyProtection="1">
      <alignment horizontal="center" vertical="center"/>
      <protection locked="0"/>
    </xf>
    <xf numFmtId="170" fontId="32" fillId="0" borderId="7" xfId="0" applyNumberFormat="1" applyFont="1" applyBorder="1" applyAlignment="1" applyProtection="1">
      <alignment horizontal="center" vertical="center"/>
      <protection locked="0"/>
    </xf>
    <xf numFmtId="0" fontId="31" fillId="3" borderId="36" xfId="0" applyFont="1" applyFill="1" applyBorder="1" applyAlignment="1">
      <alignment horizontal="center" vertical="top" wrapText="1"/>
    </xf>
    <xf numFmtId="0" fontId="31" fillId="3" borderId="37" xfId="0" applyFont="1" applyFill="1" applyBorder="1" applyAlignment="1">
      <alignment horizontal="center" vertical="top" wrapText="1"/>
    </xf>
    <xf numFmtId="0" fontId="31" fillId="3" borderId="86" xfId="0" applyFont="1" applyFill="1" applyBorder="1" applyAlignment="1">
      <alignment horizontal="center" vertical="top" wrapText="1"/>
    </xf>
    <xf numFmtId="170" fontId="32" fillId="0" borderId="82" xfId="0" applyNumberFormat="1" applyFont="1" applyBorder="1" applyAlignment="1" applyProtection="1">
      <alignment horizontal="center" vertical="center"/>
      <protection locked="0"/>
    </xf>
    <xf numFmtId="0" fontId="31" fillId="3" borderId="69" xfId="0" applyFont="1" applyFill="1" applyBorder="1" applyAlignment="1">
      <alignment horizontal="center" vertical="top" wrapText="1"/>
    </xf>
    <xf numFmtId="0" fontId="31" fillId="3" borderId="45" xfId="0" applyFont="1" applyFill="1" applyBorder="1" applyAlignment="1">
      <alignment horizontal="center" vertical="top" wrapText="1"/>
    </xf>
    <xf numFmtId="0" fontId="31" fillId="3" borderId="73" xfId="0" applyFont="1" applyFill="1" applyBorder="1" applyAlignment="1">
      <alignment horizontal="center" vertical="top" wrapText="1"/>
    </xf>
    <xf numFmtId="0" fontId="31" fillId="3" borderId="33" xfId="0" applyFont="1" applyFill="1" applyBorder="1" applyAlignment="1">
      <alignment horizontal="center" vertical="top" wrapText="1"/>
    </xf>
    <xf numFmtId="0" fontId="31" fillId="3" borderId="27" xfId="0" applyFont="1" applyFill="1" applyBorder="1" applyAlignment="1">
      <alignment horizontal="center" vertical="top" wrapText="1"/>
    </xf>
    <xf numFmtId="0" fontId="31" fillId="3" borderId="85" xfId="0" applyFont="1" applyFill="1" applyBorder="1" applyAlignment="1">
      <alignment horizontal="center" vertical="top" wrapText="1"/>
    </xf>
    <xf numFmtId="9" fontId="32" fillId="3" borderId="46" xfId="0" applyNumberFormat="1" applyFont="1" applyFill="1" applyBorder="1" applyAlignment="1">
      <alignment horizontal="center" vertical="center"/>
    </xf>
    <xf numFmtId="9" fontId="32" fillId="3" borderId="6" xfId="0" applyNumberFormat="1" applyFont="1" applyFill="1" applyBorder="1" applyAlignment="1">
      <alignment horizontal="center" vertical="center"/>
    </xf>
    <xf numFmtId="3" fontId="32" fillId="3" borderId="46" xfId="0" applyNumberFormat="1" applyFont="1" applyFill="1" applyBorder="1" applyAlignment="1">
      <alignment horizontal="center" vertical="center"/>
    </xf>
    <xf numFmtId="3" fontId="32" fillId="3" borderId="6" xfId="0" applyNumberFormat="1" applyFont="1" applyFill="1" applyBorder="1" applyAlignment="1">
      <alignment horizontal="center" vertical="center"/>
    </xf>
    <xf numFmtId="170" fontId="32" fillId="3" borderId="46" xfId="0" applyNumberFormat="1" applyFont="1" applyFill="1" applyBorder="1" applyAlignment="1">
      <alignment horizontal="center" vertical="center"/>
    </xf>
    <xf numFmtId="170" fontId="32" fillId="3" borderId="6" xfId="0" applyNumberFormat="1" applyFont="1" applyFill="1" applyBorder="1" applyAlignment="1">
      <alignment horizontal="center" vertical="center"/>
    </xf>
    <xf numFmtId="165" fontId="32" fillId="3" borderId="46" xfId="0" applyNumberFormat="1" applyFont="1" applyFill="1" applyBorder="1" applyAlignment="1">
      <alignment horizontal="center" vertical="center"/>
    </xf>
    <xf numFmtId="165" fontId="32" fillId="3" borderId="6" xfId="0" applyNumberFormat="1" applyFont="1" applyFill="1" applyBorder="1" applyAlignment="1">
      <alignment horizontal="center" vertical="center"/>
    </xf>
    <xf numFmtId="0" fontId="31" fillId="3" borderId="11"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33"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85" xfId="0" applyFont="1" applyFill="1" applyBorder="1" applyAlignment="1">
      <alignment horizontal="center" vertical="center" wrapText="1"/>
    </xf>
    <xf numFmtId="0" fontId="60" fillId="0" borderId="13" xfId="0" applyFont="1" applyBorder="1" applyAlignment="1">
      <alignment horizontal="center" vertical="center" wrapText="1"/>
    </xf>
    <xf numFmtId="0" fontId="60" fillId="0" borderId="14" xfId="0" applyFont="1" applyBorder="1" applyAlignment="1">
      <alignment horizontal="center" vertical="center" wrapText="1"/>
    </xf>
    <xf numFmtId="0" fontId="60" fillId="0" borderId="7" xfId="0" applyFont="1" applyBorder="1" applyAlignment="1">
      <alignment horizontal="center" vertical="center" wrapText="1"/>
    </xf>
    <xf numFmtId="0" fontId="55" fillId="4" borderId="81" xfId="0" applyFont="1" applyFill="1" applyBorder="1" applyAlignment="1">
      <alignment horizontal="left" vertical="top" wrapText="1"/>
    </xf>
    <xf numFmtId="0" fontId="55" fillId="4" borderId="82" xfId="0" applyFont="1" applyFill="1" applyBorder="1" applyAlignment="1">
      <alignment horizontal="left" vertical="top" wrapText="1"/>
    </xf>
    <xf numFmtId="165" fontId="48" fillId="0" borderId="0" xfId="0" applyNumberFormat="1" applyFont="1" applyAlignment="1">
      <alignment horizontal="center"/>
    </xf>
    <xf numFmtId="165" fontId="9" fillId="0" borderId="0" xfId="0" applyNumberFormat="1" applyFont="1" applyAlignment="1">
      <alignment horizontal="center"/>
    </xf>
    <xf numFmtId="165" fontId="9" fillId="0" borderId="0" xfId="0" applyNumberFormat="1" applyFont="1" applyAlignment="1"/>
    <xf numFmtId="0" fontId="15" fillId="0" borderId="70" xfId="0" applyFont="1" applyBorder="1" applyAlignment="1">
      <alignment horizontal="center" vertical="top" wrapText="1"/>
    </xf>
    <xf numFmtId="0" fontId="15" fillId="0" borderId="68" xfId="0" applyFont="1" applyBorder="1" applyAlignment="1">
      <alignment horizontal="center" vertical="top" wrapText="1"/>
    </xf>
    <xf numFmtId="0" fontId="15" fillId="0" borderId="69" xfId="0" applyFont="1" applyBorder="1" applyAlignment="1">
      <alignment horizontal="center" vertical="top" wrapText="1"/>
    </xf>
    <xf numFmtId="0" fontId="15" fillId="0" borderId="56" xfId="0" applyFont="1" applyBorder="1" applyAlignment="1">
      <alignment horizontal="center" vertical="top" wrapText="1"/>
    </xf>
    <xf numFmtId="0" fontId="15" fillId="0" borderId="0" xfId="0" applyFont="1" applyAlignment="1">
      <alignment horizontal="center" wrapText="1"/>
    </xf>
    <xf numFmtId="49" fontId="34" fillId="0" borderId="5" xfId="0" applyNumberFormat="1" applyFont="1" applyBorder="1" applyAlignment="1">
      <alignment horizontal="center" vertical="center" wrapText="1"/>
    </xf>
    <xf numFmtId="0" fontId="32" fillId="0" borderId="6" xfId="0" applyFont="1" applyBorder="1" applyAlignment="1">
      <alignment horizontal="center" vertical="center" wrapText="1"/>
    </xf>
    <xf numFmtId="0" fontId="31" fillId="0" borderId="0" xfId="0" applyFont="1" applyAlignment="1">
      <alignment horizontal="center" wrapText="1"/>
    </xf>
    <xf numFmtId="0" fontId="31" fillId="0" borderId="41" xfId="0" applyFont="1" applyBorder="1" applyAlignment="1">
      <alignment horizontal="center" wrapText="1"/>
    </xf>
    <xf numFmtId="165" fontId="32" fillId="0" borderId="7" xfId="0" applyNumberFormat="1" applyFont="1" applyBorder="1" applyAlignment="1" applyProtection="1">
      <alignment horizontal="center" vertical="center"/>
      <protection locked="0"/>
    </xf>
    <xf numFmtId="0" fontId="15" fillId="0" borderId="0" xfId="0" applyFont="1" applyAlignment="1">
      <alignment horizontal="center"/>
    </xf>
    <xf numFmtId="0" fontId="53" fillId="0" borderId="0" xfId="0" applyFont="1" applyAlignment="1">
      <alignment horizontal="center"/>
    </xf>
    <xf numFmtId="165" fontId="48" fillId="0" borderId="75" xfId="0" applyNumberFormat="1" applyFont="1" applyBorder="1" applyAlignment="1">
      <alignment horizontal="center"/>
    </xf>
    <xf numFmtId="165" fontId="48" fillId="0" borderId="64" xfId="0" applyNumberFormat="1" applyFont="1" applyBorder="1" applyAlignment="1">
      <alignment horizontal="center"/>
    </xf>
    <xf numFmtId="0" fontId="32" fillId="0" borderId="0" xfId="0" applyFont="1" applyFill="1"/>
    <xf numFmtId="0" fontId="32" fillId="0" borderId="0" xfId="0" applyFont="1" applyFill="1" applyAlignment="1">
      <alignment horizontal="left"/>
    </xf>
    <xf numFmtId="0" fontId="40" fillId="0" borderId="0" xfId="0" applyFont="1" applyFill="1"/>
    <xf numFmtId="49" fontId="32" fillId="2" borderId="0" xfId="0" applyNumberFormat="1" applyFont="1" applyFill="1" applyBorder="1" applyAlignment="1">
      <alignment horizontal="left" vertical="top" wrapText="1"/>
    </xf>
    <xf numFmtId="49" fontId="32" fillId="2" borderId="36" xfId="0" applyNumberFormat="1" applyFont="1" applyFill="1" applyBorder="1" applyAlignment="1">
      <alignment horizontal="center" vertical="center" wrapText="1"/>
    </xf>
    <xf numFmtId="49" fontId="32" fillId="2" borderId="37" xfId="0" applyNumberFormat="1" applyFont="1" applyFill="1" applyBorder="1" applyAlignment="1">
      <alignment horizontal="center" vertical="center" wrapText="1"/>
    </xf>
    <xf numFmtId="49" fontId="32" fillId="2" borderId="86" xfId="0" applyNumberFormat="1" applyFont="1" applyFill="1" applyBorder="1" applyAlignment="1">
      <alignment horizontal="center" vertical="center" wrapText="1"/>
    </xf>
    <xf numFmtId="49" fontId="32" fillId="2" borderId="31" xfId="0" applyNumberFormat="1" applyFont="1" applyFill="1" applyBorder="1" applyAlignment="1">
      <alignment horizontal="center" vertical="center" wrapText="1"/>
    </xf>
    <xf numFmtId="49" fontId="32" fillId="2" borderId="0" xfId="0" applyNumberFormat="1" applyFont="1" applyFill="1" applyBorder="1" applyAlignment="1">
      <alignment horizontal="center" vertical="center" wrapText="1"/>
    </xf>
    <xf numFmtId="49" fontId="32" fillId="2" borderId="50" xfId="0" applyNumberFormat="1" applyFont="1" applyFill="1" applyBorder="1" applyAlignment="1">
      <alignment horizontal="center" vertical="center" wrapText="1"/>
    </xf>
    <xf numFmtId="49" fontId="32" fillId="2" borderId="31" xfId="0" applyNumberFormat="1" applyFont="1" applyFill="1" applyBorder="1" applyAlignment="1">
      <alignment horizontal="left" vertical="center" wrapText="1"/>
    </xf>
    <xf numFmtId="49" fontId="32" fillId="2" borderId="50" xfId="0" applyNumberFormat="1" applyFont="1" applyFill="1" applyBorder="1" applyAlignment="1">
      <alignment horizontal="left" vertical="center" wrapText="1"/>
    </xf>
    <xf numFmtId="0" fontId="32" fillId="4" borderId="6" xfId="0" applyFont="1" applyFill="1" applyBorder="1" applyAlignment="1">
      <alignment vertical="center"/>
    </xf>
    <xf numFmtId="49" fontId="32" fillId="2" borderId="87" xfId="0" applyNumberFormat="1" applyFont="1" applyFill="1" applyBorder="1" applyAlignment="1">
      <alignment horizontal="center" vertical="center" wrapText="1"/>
    </xf>
    <xf numFmtId="49" fontId="32" fillId="2" borderId="26" xfId="0" applyNumberFormat="1" applyFont="1" applyFill="1" applyBorder="1" applyAlignment="1">
      <alignment horizontal="center" vertical="center" wrapText="1"/>
    </xf>
    <xf numFmtId="49" fontId="32" fillId="2" borderId="88" xfId="0" applyNumberFormat="1" applyFont="1" applyFill="1" applyBorder="1" applyAlignment="1">
      <alignment horizontal="center" vertical="center" wrapText="1"/>
    </xf>
    <xf numFmtId="49" fontId="32" fillId="2" borderId="0" xfId="0" applyNumberFormat="1" applyFont="1" applyFill="1" applyBorder="1" applyAlignment="1">
      <alignment horizontal="center" vertical="top" wrapText="1"/>
    </xf>
    <xf numFmtId="49" fontId="32" fillId="2" borderId="0" xfId="0" applyNumberFormat="1" applyFont="1" applyFill="1" applyAlignment="1">
      <alignment horizontal="left" vertical="center" wrapText="1"/>
    </xf>
    <xf numFmtId="0" fontId="31" fillId="0" borderId="79" xfId="0" applyFont="1" applyFill="1" applyBorder="1" applyAlignment="1">
      <alignment horizontal="left" vertical="top" wrapText="1"/>
    </xf>
    <xf numFmtId="0" fontId="31" fillId="0" borderId="62" xfId="0" applyFont="1" applyFill="1" applyBorder="1" applyAlignment="1">
      <alignment horizontal="left" vertical="top" wrapText="1"/>
    </xf>
    <xf numFmtId="165" fontId="32" fillId="0" borderId="79" xfId="0" applyNumberFormat="1" applyFont="1" applyFill="1" applyBorder="1" applyAlignment="1">
      <alignment horizontal="center" vertical="center"/>
    </xf>
    <xf numFmtId="165" fontId="32" fillId="0" borderId="62" xfId="0" applyNumberFormat="1" applyFont="1" applyFill="1" applyBorder="1" applyAlignment="1">
      <alignment horizontal="center" vertical="center"/>
    </xf>
    <xf numFmtId="0" fontId="33" fillId="0" borderId="29" xfId="0" applyFont="1" applyFill="1" applyBorder="1"/>
    <xf numFmtId="49" fontId="32" fillId="2" borderId="87" xfId="0" applyNumberFormat="1" applyFont="1" applyFill="1" applyBorder="1" applyAlignment="1">
      <alignment vertical="top" wrapText="1"/>
    </xf>
    <xf numFmtId="49" fontId="32" fillId="2" borderId="26" xfId="0" applyNumberFormat="1" applyFont="1" applyFill="1" applyBorder="1" applyAlignment="1">
      <alignment vertical="top" wrapText="1"/>
    </xf>
    <xf numFmtId="49" fontId="32" fillId="2" borderId="88" xfId="0" applyNumberFormat="1" applyFont="1" applyFill="1" applyBorder="1" applyAlignment="1">
      <alignment vertical="top" wrapText="1"/>
    </xf>
    <xf numFmtId="0" fontId="32" fillId="4" borderId="14" xfId="0" applyFont="1" applyFill="1" applyBorder="1" applyAlignment="1">
      <alignment vertical="center"/>
    </xf>
    <xf numFmtId="49" fontId="32" fillId="2" borderId="0" xfId="0" applyNumberFormat="1" applyFont="1" applyFill="1" applyBorder="1" applyAlignment="1">
      <alignment vertical="top" wrapText="1"/>
    </xf>
    <xf numFmtId="49" fontId="32" fillId="2" borderId="0" xfId="0" applyNumberFormat="1" applyFont="1" applyFill="1" applyBorder="1" applyAlignment="1">
      <alignment vertical="top" wrapText="1"/>
    </xf>
    <xf numFmtId="49" fontId="32" fillId="2" borderId="28" xfId="0" applyNumberFormat="1" applyFont="1" applyFill="1" applyBorder="1" applyAlignment="1">
      <alignment horizontal="center" vertical="top" wrapText="1"/>
    </xf>
    <xf numFmtId="49" fontId="32" fillId="2" borderId="29" xfId="0" applyNumberFormat="1" applyFont="1" applyFill="1" applyBorder="1" applyAlignment="1">
      <alignment horizontal="center" vertical="top" wrapText="1"/>
    </xf>
    <xf numFmtId="49" fontId="32" fillId="2" borderId="55" xfId="0" applyNumberFormat="1" applyFont="1" applyFill="1" applyBorder="1" applyAlignment="1">
      <alignment horizontal="center" vertical="top" wrapText="1"/>
    </xf>
    <xf numFmtId="49" fontId="32" fillId="2" borderId="81" xfId="0" quotePrefix="1" applyNumberFormat="1" applyFont="1" applyFill="1" applyBorder="1" applyAlignment="1">
      <alignment horizontal="left" vertical="top" wrapText="1"/>
    </xf>
    <xf numFmtId="0" fontId="83" fillId="0" borderId="0" xfId="0" applyFont="1" applyFill="1"/>
    <xf numFmtId="0" fontId="40" fillId="0" borderId="0" xfId="0" applyFont="1" applyFill="1" applyAlignment="1">
      <alignment horizontal="center" vertical="top" wrapText="1"/>
    </xf>
    <xf numFmtId="0" fontId="38" fillId="0" borderId="0" xfId="0" applyFont="1" applyFill="1" applyAlignment="1">
      <alignment vertical="top"/>
    </xf>
    <xf numFmtId="0" fontId="31" fillId="0" borderId="0" xfId="0" applyFont="1" applyFill="1" applyAlignment="1">
      <alignment vertical="top"/>
    </xf>
    <xf numFmtId="0" fontId="35" fillId="0" borderId="0" xfId="0" applyFont="1" applyFill="1"/>
    <xf numFmtId="0" fontId="31" fillId="0" borderId="0" xfId="0" applyFont="1" applyFill="1"/>
    <xf numFmtId="174" fontId="32" fillId="0" borderId="0" xfId="58" applyNumberFormat="1" applyFont="1" applyFill="1"/>
    <xf numFmtId="174" fontId="34" fillId="0" borderId="0" xfId="58" applyNumberFormat="1" applyFont="1" applyFill="1"/>
    <xf numFmtId="174" fontId="32" fillId="0" borderId="0" xfId="0" applyNumberFormat="1" applyFont="1" applyFill="1"/>
    <xf numFmtId="9" fontId="34" fillId="0" borderId="0" xfId="0" applyNumberFormat="1" applyFont="1" applyFill="1" applyAlignment="1">
      <alignment horizontal="left"/>
    </xf>
    <xf numFmtId="174" fontId="34" fillId="0" borderId="0" xfId="0" applyNumberFormat="1" applyFont="1" applyFill="1"/>
    <xf numFmtId="174" fontId="31" fillId="0" borderId="0" xfId="58" applyNumberFormat="1" applyFont="1" applyFill="1"/>
    <xf numFmtId="0" fontId="31" fillId="0" borderId="0" xfId="0" applyFont="1" applyFill="1" applyAlignment="1">
      <alignment horizontal="center" vertical="center" wrapText="1"/>
    </xf>
    <xf numFmtId="165" fontId="32" fillId="0" borderId="0" xfId="0" applyNumberFormat="1" applyFont="1" applyFill="1"/>
    <xf numFmtId="165" fontId="33" fillId="0" borderId="0" xfId="0" applyNumberFormat="1" applyFont="1" applyFill="1"/>
  </cellXfs>
  <cellStyles count="59">
    <cellStyle name="20 % - Akzent1 2" xfId="33" xr:uid="{00000000-0005-0000-0000-000000000000}"/>
    <cellStyle name="20 % - Akzent2 2" xfId="37" xr:uid="{00000000-0005-0000-0000-000001000000}"/>
    <cellStyle name="20 % - Akzent3 2" xfId="41" xr:uid="{00000000-0005-0000-0000-000002000000}"/>
    <cellStyle name="20 % - Akzent4 2" xfId="45" xr:uid="{00000000-0005-0000-0000-000003000000}"/>
    <cellStyle name="20 % - Akzent5 2" xfId="49" xr:uid="{00000000-0005-0000-0000-000004000000}"/>
    <cellStyle name="20 % - Akzent6 2" xfId="53" xr:uid="{00000000-0005-0000-0000-000005000000}"/>
    <cellStyle name="40 % - Akzent1 2" xfId="34" xr:uid="{00000000-0005-0000-0000-000006000000}"/>
    <cellStyle name="40 % - Akzent2 2" xfId="38" xr:uid="{00000000-0005-0000-0000-000007000000}"/>
    <cellStyle name="40 % - Akzent3 2" xfId="42" xr:uid="{00000000-0005-0000-0000-000008000000}"/>
    <cellStyle name="40 % - Akzent4 2" xfId="46" xr:uid="{00000000-0005-0000-0000-000009000000}"/>
    <cellStyle name="40 % - Akzent5 2" xfId="50" xr:uid="{00000000-0005-0000-0000-00000A000000}"/>
    <cellStyle name="40 % - Akzent6 2" xfId="54" xr:uid="{00000000-0005-0000-0000-00000B000000}"/>
    <cellStyle name="60 % - Akzent1 2" xfId="35" xr:uid="{00000000-0005-0000-0000-00000C000000}"/>
    <cellStyle name="60 % - Akzent2 2" xfId="39" xr:uid="{00000000-0005-0000-0000-00000D000000}"/>
    <cellStyle name="60 % - Akzent3 2" xfId="43" xr:uid="{00000000-0005-0000-0000-00000E000000}"/>
    <cellStyle name="60 % - Akzent4 2" xfId="47" xr:uid="{00000000-0005-0000-0000-00000F000000}"/>
    <cellStyle name="60 % - Akzent5 2" xfId="51" xr:uid="{00000000-0005-0000-0000-000010000000}"/>
    <cellStyle name="60 % - Akzent6 2" xfId="55" xr:uid="{00000000-0005-0000-0000-000011000000}"/>
    <cellStyle name="Akzent1 2" xfId="32" xr:uid="{00000000-0005-0000-0000-000012000000}"/>
    <cellStyle name="Akzent2 2" xfId="36" xr:uid="{00000000-0005-0000-0000-000013000000}"/>
    <cellStyle name="Akzent3 2" xfId="40" xr:uid="{00000000-0005-0000-0000-000014000000}"/>
    <cellStyle name="Akzent4 2" xfId="44" xr:uid="{00000000-0005-0000-0000-000015000000}"/>
    <cellStyle name="Akzent5 2" xfId="48" xr:uid="{00000000-0005-0000-0000-000016000000}"/>
    <cellStyle name="Akzent6 2" xfId="52" xr:uid="{00000000-0005-0000-0000-000017000000}"/>
    <cellStyle name="Ausgabe 2" xfId="24" xr:uid="{00000000-0005-0000-0000-000018000000}"/>
    <cellStyle name="Berechnung 2" xfId="25" xr:uid="{00000000-0005-0000-0000-000019000000}"/>
    <cellStyle name="Eingabe 2" xfId="23" xr:uid="{00000000-0005-0000-0000-00001A000000}"/>
    <cellStyle name="Ergebnis 2" xfId="31" xr:uid="{00000000-0005-0000-0000-00001B000000}"/>
    <cellStyle name="Erklärender Text 2" xfId="30" xr:uid="{00000000-0005-0000-0000-00001C000000}"/>
    <cellStyle name="Gut 2" xfId="20" xr:uid="{00000000-0005-0000-0000-00001D000000}"/>
    <cellStyle name="Hyperlink 2" xfId="57" xr:uid="{00000000-0005-0000-0000-00001E000000}"/>
    <cellStyle name="Komma" xfId="58" builtinId="3"/>
    <cellStyle name="Komma 2" xfId="11" xr:uid="{00000000-0005-0000-0000-00001F000000}"/>
    <cellStyle name="Neutral 2" xfId="22" xr:uid="{00000000-0005-0000-0000-000020000000}"/>
    <cellStyle name="Notiz 2" xfId="29" xr:uid="{00000000-0005-0000-0000-000021000000}"/>
    <cellStyle name="Prozent 2" xfId="10" xr:uid="{00000000-0005-0000-0000-000022000000}"/>
    <cellStyle name="Schlecht 2" xfId="21" xr:uid="{00000000-0005-0000-0000-000023000000}"/>
    <cellStyle name="Standard" xfId="0" builtinId="0"/>
    <cellStyle name="Standard 2" xfId="1" xr:uid="{00000000-0005-0000-0000-000025000000}"/>
    <cellStyle name="Standard 2 2" xfId="15" xr:uid="{00000000-0005-0000-0000-000026000000}"/>
    <cellStyle name="Standard 3" xfId="4" xr:uid="{00000000-0005-0000-0000-000027000000}"/>
    <cellStyle name="Standard 3 2" xfId="56" xr:uid="{00000000-0005-0000-0000-000028000000}"/>
    <cellStyle name="Standard 4" xfId="2" xr:uid="{00000000-0005-0000-0000-000029000000}"/>
    <cellStyle name="Standard 4 2" xfId="6" xr:uid="{00000000-0005-0000-0000-00002A000000}"/>
    <cellStyle name="Standard 5" xfId="3" xr:uid="{00000000-0005-0000-0000-00002B000000}"/>
    <cellStyle name="Standard 5 2" xfId="7" xr:uid="{00000000-0005-0000-0000-00002C000000}"/>
    <cellStyle name="Standard 6" xfId="8" xr:uid="{00000000-0005-0000-0000-00002D000000}"/>
    <cellStyle name="Standard 7" xfId="13" xr:uid="{00000000-0005-0000-0000-00002E000000}"/>
    <cellStyle name="Überschrift" xfId="12" builtinId="15" customBuiltin="1"/>
    <cellStyle name="Überschrift 1 2" xfId="16" xr:uid="{00000000-0005-0000-0000-000030000000}"/>
    <cellStyle name="Überschrift 2 2" xfId="17" xr:uid="{00000000-0005-0000-0000-000031000000}"/>
    <cellStyle name="Überschrift 3 2" xfId="18" xr:uid="{00000000-0005-0000-0000-000032000000}"/>
    <cellStyle name="Überschrift 4 2" xfId="19" xr:uid="{00000000-0005-0000-0000-000033000000}"/>
    <cellStyle name="Verknüpfte Zelle 2" xfId="26" xr:uid="{00000000-0005-0000-0000-000034000000}"/>
    <cellStyle name="Währung" xfId="5" builtinId="4"/>
    <cellStyle name="Währung 2" xfId="9" xr:uid="{00000000-0005-0000-0000-000036000000}"/>
    <cellStyle name="Währung 3" xfId="14" xr:uid="{00000000-0005-0000-0000-000037000000}"/>
    <cellStyle name="Warnender Text 2" xfId="28" xr:uid="{00000000-0005-0000-0000-000038000000}"/>
    <cellStyle name="Zelle überprüfen 2" xfId="27" xr:uid="{00000000-0005-0000-0000-000039000000}"/>
  </cellStyles>
  <dxfs count="1534">
    <dxf>
      <fill>
        <patternFill>
          <bgColor theme="9" tint="-0.24994659260841701"/>
        </patternFill>
      </fill>
    </dxf>
    <dxf>
      <fill>
        <patternFill>
          <bgColor rgb="FF92D050"/>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ont>
        <color rgb="FF006100"/>
      </font>
      <fill>
        <patternFill>
          <bgColor rgb="FFC6EFCE"/>
        </patternFill>
      </fill>
    </dxf>
    <dxf>
      <font>
        <color auto="1"/>
      </font>
      <border>
        <left style="thin">
          <color auto="1"/>
        </left>
        <right style="thin">
          <color auto="1"/>
        </right>
        <top style="thin">
          <color auto="1"/>
        </top>
        <bottom style="thin">
          <color auto="1"/>
        </bottom>
        <vertical/>
        <horizontal/>
      </border>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00B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00B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ill>
        <patternFill>
          <bgColor rgb="FF00B050"/>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theme="9" tint="-0.24994659260841701"/>
        </patternFill>
      </fill>
    </dxf>
    <dxf>
      <fill>
        <patternFill>
          <bgColor rgb="FF92D050"/>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rgb="FF92D050"/>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rgb="FF92D050"/>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4" tint="0.79998168889431442"/>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dxf>
    <dxf>
      <font>
        <color theme="0"/>
      </font>
    </dxf>
    <dxf>
      <font>
        <color theme="0"/>
      </font>
    </dxf>
    <dxf>
      <font>
        <color theme="0"/>
      </font>
    </dxf>
    <dxf>
      <fill>
        <patternFill>
          <bgColor theme="9" tint="-0.24994659260841701"/>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dxf>
    <dxf>
      <fill>
        <patternFill>
          <bgColor theme="9"/>
        </patternFill>
      </fill>
    </dxf>
    <dxf>
      <font>
        <color theme="0"/>
      </font>
    </dxf>
    <dxf>
      <fill>
        <patternFill>
          <bgColor theme="9" tint="-0.24994659260841701"/>
        </patternFill>
      </fill>
    </dxf>
    <dxf>
      <fill>
        <patternFill>
          <bgColor theme="9" tint="-0.24994659260841701"/>
        </patternFill>
      </fill>
    </dxf>
    <dxf>
      <font>
        <color auto="1"/>
      </font>
      <border>
        <left style="thin">
          <color auto="1"/>
        </left>
        <right style="thin">
          <color auto="1"/>
        </right>
        <top style="thin">
          <color auto="1"/>
        </top>
        <bottom style="thin">
          <color auto="1"/>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theme="9" tint="-0.24994659260841701"/>
        </patternFill>
      </fill>
    </dxf>
    <dxf>
      <fill>
        <patternFill>
          <bgColor theme="3" tint="0.79998168889431442"/>
        </patternFill>
      </fill>
    </dxf>
    <dxf>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dxf>
    <dxf>
      <font>
        <color theme="1"/>
      </font>
    </dxf>
    <dxf>
      <font>
        <color auto="1"/>
      </font>
    </dxf>
    <dxf>
      <fill>
        <patternFill>
          <bgColor theme="9" tint="-0.24994659260841701"/>
        </patternFill>
      </fill>
    </dxf>
    <dxf>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border>
        <left style="thin">
          <color auto="1"/>
        </left>
        <right style="thin">
          <color auto="1"/>
        </right>
        <top style="thin">
          <color auto="1"/>
        </top>
        <bottom style="thin">
          <color auto="1"/>
        </bottom>
      </border>
    </dxf>
    <dxf>
      <fill>
        <patternFill>
          <bgColor theme="3" tint="0.79998168889431442"/>
        </patternFill>
      </fill>
      <border>
        <left style="thin">
          <color auto="1"/>
        </left>
        <right style="thin">
          <color auto="1"/>
        </right>
        <top style="thin">
          <color auto="1"/>
        </top>
        <bottom style="thin">
          <color auto="1"/>
        </bottom>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patternType="lightGray"/>
      </fill>
    </dxf>
  </dxfs>
  <tableStyles count="0" defaultTableStyle="TableStyleMedium9" defaultPivotStyle="PivotStyleLight16"/>
  <colors>
    <mruColors>
      <color rgb="FFF4F7FA"/>
      <color rgb="FF66FF99"/>
      <color rgb="FFDCE6F1"/>
      <color rgb="FF99FF66"/>
      <color rgb="FFFBFDA9"/>
      <color rgb="FFD2F4A8"/>
      <color rgb="FFE6D364"/>
      <color rgb="FFF0F7AB"/>
      <color rgb="FFF3EAB3"/>
      <color rgb="FFF9F4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1.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CA91-0C39-42CD-BA7F-B03ED3634632}">
  <dimension ref="A1:G30"/>
  <sheetViews>
    <sheetView workbookViewId="0"/>
  </sheetViews>
  <sheetFormatPr baseColWidth="10" defaultColWidth="11.44140625" defaultRowHeight="14.55" x14ac:dyDescent="0.3"/>
  <cols>
    <col min="6" max="6" width="25.21875" customWidth="1"/>
    <col min="7" max="7" width="15.5546875" customWidth="1"/>
  </cols>
  <sheetData>
    <row r="1" spans="1:7" ht="15.8" x14ac:dyDescent="0.3">
      <c r="A1" s="449"/>
      <c r="B1" s="450"/>
      <c r="C1" s="450"/>
      <c r="D1" s="450"/>
      <c r="E1" s="450"/>
      <c r="F1" s="450"/>
      <c r="G1" s="450"/>
    </row>
    <row r="2" spans="1:7" ht="15.8" x14ac:dyDescent="0.3">
      <c r="A2" s="451"/>
      <c r="B2" s="450"/>
      <c r="C2" s="450"/>
      <c r="D2" s="450"/>
      <c r="E2" s="450"/>
      <c r="F2" s="450"/>
      <c r="G2" s="450"/>
    </row>
    <row r="3" spans="1:7" ht="15.8" x14ac:dyDescent="0.3">
      <c r="A3" s="451"/>
      <c r="B3" s="450"/>
      <c r="C3" s="450"/>
      <c r="D3" s="450"/>
      <c r="E3" s="450"/>
      <c r="F3" s="450"/>
      <c r="G3" s="450"/>
    </row>
    <row r="4" spans="1:7" ht="19.600000000000001" x14ac:dyDescent="0.3">
      <c r="A4" s="452"/>
      <c r="B4" s="453" t="s">
        <v>0</v>
      </c>
      <c r="C4" s="450"/>
      <c r="D4" s="450"/>
      <c r="E4" s="450"/>
      <c r="F4" s="450"/>
      <c r="G4" s="450"/>
    </row>
    <row r="5" spans="1:7" ht="19.600000000000001" x14ac:dyDescent="0.3">
      <c r="A5" s="452"/>
      <c r="B5" s="453" t="s">
        <v>1</v>
      </c>
      <c r="C5" s="450"/>
      <c r="D5" s="450"/>
      <c r="E5" s="450"/>
      <c r="F5" s="450"/>
      <c r="G5" s="450"/>
    </row>
    <row r="6" spans="1:7" ht="19.600000000000001" x14ac:dyDescent="0.3">
      <c r="A6" s="452"/>
      <c r="B6" s="900" t="str">
        <f>IF(Überblick!F2=0,"",Überblick!F2)</f>
        <v/>
      </c>
      <c r="C6" s="900"/>
      <c r="D6" s="900"/>
      <c r="E6" s="450"/>
      <c r="F6" s="450"/>
      <c r="G6" s="450"/>
    </row>
    <row r="7" spans="1:7" ht="19.600000000000001" x14ac:dyDescent="0.3">
      <c r="A7" s="454"/>
      <c r="B7" s="900"/>
      <c r="C7" s="900"/>
      <c r="D7" s="900"/>
      <c r="E7" s="450"/>
      <c r="F7" s="450"/>
      <c r="G7" s="450"/>
    </row>
    <row r="8" spans="1:7" ht="19.600000000000001" x14ac:dyDescent="0.3">
      <c r="A8" s="454"/>
      <c r="B8" s="450"/>
      <c r="C8" s="450"/>
      <c r="D8" s="450"/>
      <c r="E8" s="450"/>
      <c r="F8" s="450"/>
      <c r="G8" s="450"/>
    </row>
    <row r="9" spans="1:7" ht="19.600000000000001" x14ac:dyDescent="0.3">
      <c r="A9" s="454"/>
      <c r="B9" s="450"/>
      <c r="C9" s="450"/>
      <c r="D9" s="450"/>
      <c r="E9" s="450"/>
      <c r="F9" s="450"/>
      <c r="G9" s="450"/>
    </row>
    <row r="10" spans="1:7" ht="19.600000000000001" x14ac:dyDescent="0.3">
      <c r="A10" s="454"/>
      <c r="B10" s="450"/>
      <c r="C10" s="450"/>
      <c r="D10" s="450"/>
      <c r="E10" s="450"/>
      <c r="F10" s="450"/>
      <c r="G10" s="450"/>
    </row>
    <row r="11" spans="1:7" ht="19.600000000000001" x14ac:dyDescent="0.3">
      <c r="A11" s="454"/>
      <c r="B11" s="450"/>
      <c r="C11" s="450"/>
      <c r="D11" s="450"/>
      <c r="E11" s="450"/>
      <c r="F11" s="450"/>
      <c r="G11" s="450"/>
    </row>
    <row r="12" spans="1:7" ht="19.600000000000001" x14ac:dyDescent="0.3">
      <c r="A12" s="454"/>
      <c r="B12" s="450"/>
      <c r="C12" s="450"/>
      <c r="D12" s="450"/>
      <c r="E12" s="450"/>
      <c r="F12" s="450"/>
      <c r="G12" s="450"/>
    </row>
    <row r="13" spans="1:7" ht="19.600000000000001" x14ac:dyDescent="0.3">
      <c r="A13" s="450"/>
      <c r="B13" s="450"/>
      <c r="C13" s="454" t="s">
        <v>2</v>
      </c>
      <c r="D13" s="450"/>
      <c r="E13" s="454"/>
      <c r="F13" s="470">
        <f>Überblick!A1</f>
        <v>33789.782639999998</v>
      </c>
      <c r="G13" s="452" t="s">
        <v>3</v>
      </c>
    </row>
    <row r="14" spans="1:7" ht="19.600000000000001" x14ac:dyDescent="0.3">
      <c r="A14" s="450"/>
      <c r="B14" s="450"/>
      <c r="C14" s="450"/>
      <c r="D14" s="450"/>
      <c r="E14" s="454"/>
      <c r="F14" s="450"/>
      <c r="G14" s="450"/>
    </row>
    <row r="15" spans="1:7" ht="19.600000000000001" hidden="1" x14ac:dyDescent="0.3">
      <c r="A15" s="454"/>
      <c r="B15" s="450"/>
      <c r="C15" s="454" t="s">
        <v>4</v>
      </c>
      <c r="D15" s="450"/>
      <c r="E15" s="450"/>
      <c r="F15" s="479">
        <v>0</v>
      </c>
      <c r="G15" s="452" t="s">
        <v>5</v>
      </c>
    </row>
    <row r="16" spans="1:7" ht="19.600000000000001" hidden="1" x14ac:dyDescent="0.3">
      <c r="A16" s="450"/>
      <c r="B16" s="450"/>
      <c r="C16" s="450"/>
      <c r="D16" s="450"/>
      <c r="E16" s="454"/>
      <c r="F16" s="450"/>
      <c r="G16" s="450"/>
    </row>
    <row r="17" spans="1:7" ht="19.600000000000001" hidden="1" x14ac:dyDescent="0.3">
      <c r="A17" s="454"/>
      <c r="B17" s="450"/>
      <c r="C17" s="454" t="s">
        <v>6</v>
      </c>
      <c r="D17" s="450"/>
      <c r="E17" s="450"/>
      <c r="F17" s="470">
        <f>F13-(F13*F15/100)</f>
        <v>33789.782639999998</v>
      </c>
      <c r="G17" s="452" t="s">
        <v>3</v>
      </c>
    </row>
    <row r="18" spans="1:7" ht="19.600000000000001" x14ac:dyDescent="0.3">
      <c r="A18" s="454"/>
      <c r="B18" s="450"/>
      <c r="C18" s="454"/>
      <c r="D18" s="450"/>
      <c r="E18" s="450"/>
      <c r="F18" s="455"/>
      <c r="G18" s="452"/>
    </row>
    <row r="19" spans="1:7" ht="19.600000000000001" x14ac:dyDescent="0.3">
      <c r="A19" s="450"/>
      <c r="B19" s="450"/>
      <c r="C19" s="454" t="s">
        <v>7</v>
      </c>
      <c r="D19" s="450"/>
      <c r="E19" s="454"/>
      <c r="F19" s="470">
        <f>F13*0.19</f>
        <v>6420.0587015999999</v>
      </c>
      <c r="G19" s="452" t="s">
        <v>3</v>
      </c>
    </row>
    <row r="20" spans="1:7" ht="19.600000000000001" x14ac:dyDescent="0.3">
      <c r="A20" s="454"/>
      <c r="B20" s="450"/>
      <c r="C20" s="454" t="s">
        <v>8</v>
      </c>
      <c r="D20" s="450"/>
      <c r="E20" s="450"/>
      <c r="F20" s="458">
        <f>Überblick!G98</f>
        <v>0.19</v>
      </c>
      <c r="G20" s="452" t="s">
        <v>5</v>
      </c>
    </row>
    <row r="21" spans="1:7" ht="19.600000000000001" x14ac:dyDescent="0.3">
      <c r="A21" s="450"/>
      <c r="B21" s="450"/>
      <c r="C21" s="450"/>
      <c r="D21" s="450"/>
      <c r="E21" s="454"/>
      <c r="F21" s="450"/>
      <c r="G21" s="454"/>
    </row>
    <row r="22" spans="1:7" ht="19.600000000000001" x14ac:dyDescent="0.3">
      <c r="A22" s="450"/>
      <c r="B22" s="450"/>
      <c r="C22" s="454" t="s">
        <v>9</v>
      </c>
      <c r="D22" s="450"/>
      <c r="E22" s="454"/>
      <c r="F22" s="470">
        <f>F13+F19</f>
        <v>40209.841341599997</v>
      </c>
      <c r="G22" s="452" t="s">
        <v>3</v>
      </c>
    </row>
    <row r="23" spans="1:7" ht="19.600000000000001" x14ac:dyDescent="0.3">
      <c r="A23" s="454"/>
      <c r="B23" s="450"/>
      <c r="C23" s="454"/>
      <c r="D23" s="450"/>
      <c r="E23" s="450"/>
      <c r="F23" s="450"/>
      <c r="G23" s="450"/>
    </row>
    <row r="24" spans="1:7" ht="19.600000000000001" x14ac:dyDescent="0.3">
      <c r="A24" s="454"/>
      <c r="B24" s="450"/>
      <c r="C24" s="450"/>
      <c r="D24" s="450"/>
      <c r="E24" s="450"/>
      <c r="F24" s="450"/>
      <c r="G24" s="450"/>
    </row>
    <row r="25" spans="1:7" ht="19.600000000000001" x14ac:dyDescent="0.3">
      <c r="A25" s="454"/>
      <c r="B25" s="450"/>
      <c r="C25" s="450"/>
      <c r="D25" s="450"/>
      <c r="E25" s="450"/>
      <c r="F25" s="450"/>
      <c r="G25" s="450"/>
    </row>
    <row r="26" spans="1:7" ht="19.600000000000001" x14ac:dyDescent="0.3">
      <c r="A26" s="454"/>
      <c r="B26" s="450"/>
      <c r="C26" s="450"/>
      <c r="D26" s="450"/>
      <c r="E26" s="450"/>
      <c r="F26" s="450"/>
      <c r="G26" s="450"/>
    </row>
    <row r="27" spans="1:7" ht="19.600000000000001" x14ac:dyDescent="0.3">
      <c r="A27" s="454"/>
      <c r="B27" s="450"/>
      <c r="C27" s="450"/>
      <c r="D27" s="450"/>
      <c r="E27" s="450"/>
      <c r="F27" s="450"/>
      <c r="G27" s="450"/>
    </row>
    <row r="28" spans="1:7" ht="19.600000000000001" x14ac:dyDescent="0.3">
      <c r="A28" s="454"/>
      <c r="B28" s="450"/>
      <c r="C28" s="450"/>
      <c r="D28" s="450"/>
      <c r="E28" s="450"/>
      <c r="F28" s="450"/>
      <c r="G28" s="450"/>
    </row>
    <row r="29" spans="1:7" ht="15.8" hidden="1" x14ac:dyDescent="0.3">
      <c r="A29" s="449" t="s">
        <v>10</v>
      </c>
      <c r="B29" s="450"/>
      <c r="C29" s="450"/>
      <c r="D29" s="450"/>
      <c r="E29" s="450"/>
      <c r="F29" s="450"/>
      <c r="G29" s="450"/>
    </row>
    <row r="30" spans="1:7" ht="15.8" hidden="1" x14ac:dyDescent="0.3">
      <c r="A30" s="456" t="s">
        <v>11</v>
      </c>
      <c r="B30" s="457"/>
      <c r="C30" s="457"/>
      <c r="D30" s="450"/>
      <c r="E30" s="450"/>
      <c r="F30" s="450"/>
      <c r="G30" s="450"/>
    </row>
  </sheetData>
  <protectedRanges>
    <protectedRange sqref="F15" name="Bereich1"/>
  </protectedRanges>
  <mergeCells count="1">
    <mergeCell ref="B6:D7"/>
  </mergeCells>
  <conditionalFormatting sqref="A1:XFD5 A8:XFD1048576 A6:B6 A7 E6:XFD7">
    <cfRule type="expression" dxfId="1533" priority="1">
      <formula>CELL("Schutz",A1)=0</formula>
    </cfRule>
  </conditionalFormatting>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2E52A-A7AC-4BEB-9EFA-2E11998644DE}">
  <sheetPr codeName="Tabelle13">
    <tabColor rgb="FFFFC000"/>
  </sheetPr>
  <dimension ref="A1:Q155"/>
  <sheetViews>
    <sheetView workbookViewId="0"/>
  </sheetViews>
  <sheetFormatPr baseColWidth="10" defaultColWidth="11.44140625" defaultRowHeight="14.55" x14ac:dyDescent="0.3"/>
  <cols>
    <col min="1" max="1" width="25.21875" style="594" bestFit="1" customWidth="1"/>
    <col min="2" max="2" width="11.5546875" style="594" bestFit="1" customWidth="1"/>
    <col min="3" max="4" width="11.77734375" style="594" bestFit="1" customWidth="1"/>
    <col min="5" max="5" width="11.5546875" style="594" bestFit="1" customWidth="1"/>
    <col min="6" max="6" width="11.77734375" style="594" bestFit="1" customWidth="1"/>
    <col min="7" max="7" width="16" style="594" bestFit="1" customWidth="1"/>
    <col min="8" max="8" width="15" style="594" bestFit="1" customWidth="1"/>
    <col min="9" max="9" width="16" style="594" bestFit="1" customWidth="1"/>
    <col min="10" max="10" width="18.5546875" style="594" bestFit="1" customWidth="1"/>
    <col min="11" max="11" width="16" style="594" bestFit="1" customWidth="1"/>
    <col min="12" max="12" width="18.5546875" style="594" bestFit="1" customWidth="1"/>
    <col min="13" max="17" width="11.5546875"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6">
        <v>2547</v>
      </c>
      <c r="G6" s="607">
        <v>2990</v>
      </c>
      <c r="H6" s="605"/>
      <c r="I6" s="606">
        <v>2990</v>
      </c>
      <c r="J6" s="607">
        <v>3405</v>
      </c>
    </row>
    <row r="7" spans="1:13" x14ac:dyDescent="0.3">
      <c r="A7" s="610">
        <v>10000</v>
      </c>
      <c r="B7" s="605"/>
      <c r="C7" s="611">
        <v>3689</v>
      </c>
      <c r="D7" s="612">
        <v>4408</v>
      </c>
      <c r="E7" s="605"/>
      <c r="F7" s="611">
        <v>4408</v>
      </c>
      <c r="G7" s="612">
        <v>5174</v>
      </c>
      <c r="H7" s="605"/>
      <c r="I7" s="611">
        <v>5174</v>
      </c>
      <c r="J7" s="612">
        <v>5893</v>
      </c>
    </row>
    <row r="8" spans="1:13" x14ac:dyDescent="0.3">
      <c r="A8" s="610">
        <v>15000</v>
      </c>
      <c r="B8" s="605"/>
      <c r="C8" s="611">
        <v>5084</v>
      </c>
      <c r="D8" s="612">
        <v>6075</v>
      </c>
      <c r="E8" s="605"/>
      <c r="F8" s="611">
        <v>6075</v>
      </c>
      <c r="G8" s="612">
        <v>7131</v>
      </c>
      <c r="H8" s="605"/>
      <c r="I8" s="611">
        <v>7131</v>
      </c>
      <c r="J8" s="612">
        <v>8122</v>
      </c>
    </row>
    <row r="9" spans="1:13" x14ac:dyDescent="0.3">
      <c r="A9" s="610">
        <v>25000</v>
      </c>
      <c r="B9" s="605"/>
      <c r="C9" s="611">
        <v>7615</v>
      </c>
      <c r="D9" s="612">
        <v>9098</v>
      </c>
      <c r="E9" s="605"/>
      <c r="F9" s="611">
        <v>9098</v>
      </c>
      <c r="G9" s="612">
        <v>10681</v>
      </c>
      <c r="H9" s="605"/>
      <c r="I9" s="611">
        <v>10681</v>
      </c>
      <c r="J9" s="612">
        <v>12164</v>
      </c>
    </row>
    <row r="10" spans="1:13" x14ac:dyDescent="0.3">
      <c r="A10" s="610">
        <v>35000</v>
      </c>
      <c r="B10" s="605"/>
      <c r="C10" s="611">
        <v>9934</v>
      </c>
      <c r="D10" s="612">
        <v>11869</v>
      </c>
      <c r="E10" s="605"/>
      <c r="F10" s="611">
        <v>11869</v>
      </c>
      <c r="G10" s="612">
        <v>13934</v>
      </c>
      <c r="H10" s="605"/>
      <c r="I10" s="611">
        <v>13934</v>
      </c>
      <c r="J10" s="612">
        <v>15869</v>
      </c>
    </row>
    <row r="11" spans="1:13" x14ac:dyDescent="0.3">
      <c r="A11" s="610">
        <v>50000</v>
      </c>
      <c r="B11" s="605"/>
      <c r="C11" s="611">
        <v>13165</v>
      </c>
      <c r="D11" s="612">
        <v>15729</v>
      </c>
      <c r="E11" s="605"/>
      <c r="F11" s="611">
        <v>15729</v>
      </c>
      <c r="G11" s="612">
        <v>18465</v>
      </c>
      <c r="H11" s="605"/>
      <c r="I11" s="611">
        <v>18465</v>
      </c>
      <c r="J11" s="612">
        <v>21029</v>
      </c>
    </row>
    <row r="12" spans="1:13" x14ac:dyDescent="0.3">
      <c r="A12" s="610">
        <v>75000</v>
      </c>
      <c r="B12" s="605"/>
      <c r="C12" s="611">
        <v>18122</v>
      </c>
      <c r="D12" s="612">
        <v>21652</v>
      </c>
      <c r="E12" s="605"/>
      <c r="F12" s="611">
        <v>21652</v>
      </c>
      <c r="G12" s="612">
        <v>25418</v>
      </c>
      <c r="H12" s="605"/>
      <c r="I12" s="611">
        <v>25418</v>
      </c>
      <c r="J12" s="612">
        <v>28948</v>
      </c>
    </row>
    <row r="13" spans="1:13" x14ac:dyDescent="0.3">
      <c r="A13" s="610">
        <v>100000</v>
      </c>
      <c r="B13" s="605"/>
      <c r="C13" s="611">
        <v>22723</v>
      </c>
      <c r="D13" s="612">
        <v>27150</v>
      </c>
      <c r="E13" s="605"/>
      <c r="F13" s="611">
        <v>27150</v>
      </c>
      <c r="G13" s="612">
        <v>31872</v>
      </c>
      <c r="H13" s="605"/>
      <c r="I13" s="611">
        <v>31872</v>
      </c>
      <c r="J13" s="612">
        <v>36299</v>
      </c>
    </row>
    <row r="14" spans="1:13" x14ac:dyDescent="0.3">
      <c r="A14" s="610">
        <v>150000</v>
      </c>
      <c r="B14" s="605"/>
      <c r="C14" s="611">
        <v>31228</v>
      </c>
      <c r="D14" s="612">
        <v>37311</v>
      </c>
      <c r="E14" s="605"/>
      <c r="F14" s="611">
        <v>37311</v>
      </c>
      <c r="G14" s="612">
        <v>43800</v>
      </c>
      <c r="H14" s="605"/>
      <c r="I14" s="611">
        <v>43800</v>
      </c>
      <c r="J14" s="612">
        <v>49883</v>
      </c>
    </row>
    <row r="15" spans="1:13" x14ac:dyDescent="0.3">
      <c r="A15" s="610">
        <v>250000</v>
      </c>
      <c r="B15" s="605"/>
      <c r="C15" s="611">
        <v>46640</v>
      </c>
      <c r="D15" s="612">
        <v>55726</v>
      </c>
      <c r="E15" s="605"/>
      <c r="F15" s="611">
        <v>55726</v>
      </c>
      <c r="G15" s="612">
        <v>65418</v>
      </c>
      <c r="H15" s="605"/>
      <c r="I15" s="611">
        <v>65418</v>
      </c>
      <c r="J15" s="612">
        <v>74504</v>
      </c>
    </row>
    <row r="16" spans="1:13" x14ac:dyDescent="0.3">
      <c r="A16" s="610">
        <v>500000</v>
      </c>
      <c r="B16" s="605"/>
      <c r="C16" s="611">
        <v>80684</v>
      </c>
      <c r="D16" s="612">
        <v>96402</v>
      </c>
      <c r="E16" s="605"/>
      <c r="F16" s="611">
        <v>96402</v>
      </c>
      <c r="G16" s="612">
        <v>113168</v>
      </c>
      <c r="H16" s="605"/>
      <c r="I16" s="611">
        <v>113168</v>
      </c>
      <c r="J16" s="612">
        <v>128886</v>
      </c>
    </row>
    <row r="17" spans="1:10" x14ac:dyDescent="0.3">
      <c r="A17" s="610">
        <v>750000</v>
      </c>
      <c r="B17" s="605"/>
      <c r="C17" s="611">
        <v>111105</v>
      </c>
      <c r="D17" s="612">
        <v>132749</v>
      </c>
      <c r="E17" s="605"/>
      <c r="F17" s="611">
        <v>132749</v>
      </c>
      <c r="G17" s="612">
        <v>155836</v>
      </c>
      <c r="H17" s="605"/>
      <c r="I17" s="611">
        <v>155836</v>
      </c>
      <c r="J17" s="612">
        <v>177480</v>
      </c>
    </row>
    <row r="18" spans="1:10" x14ac:dyDescent="0.3">
      <c r="A18" s="610">
        <v>1000000</v>
      </c>
      <c r="B18" s="605"/>
      <c r="C18" s="611">
        <v>139347</v>
      </c>
      <c r="D18" s="612">
        <v>166493</v>
      </c>
      <c r="E18" s="605"/>
      <c r="F18" s="611">
        <v>166493</v>
      </c>
      <c r="G18" s="612">
        <v>195448</v>
      </c>
      <c r="H18" s="605"/>
      <c r="I18" s="611">
        <v>195448</v>
      </c>
      <c r="J18" s="612">
        <v>222594</v>
      </c>
    </row>
    <row r="19" spans="1:10" x14ac:dyDescent="0.3">
      <c r="A19" s="610">
        <v>1250000</v>
      </c>
      <c r="B19" s="605"/>
      <c r="C19" s="611">
        <v>166043</v>
      </c>
      <c r="D19" s="612">
        <v>198389</v>
      </c>
      <c r="E19" s="605"/>
      <c r="F19" s="611">
        <v>198389</v>
      </c>
      <c r="G19" s="612">
        <v>232891</v>
      </c>
      <c r="H19" s="605"/>
      <c r="I19" s="611">
        <v>232891</v>
      </c>
      <c r="J19" s="612">
        <v>265237</v>
      </c>
    </row>
    <row r="20" spans="1:10" x14ac:dyDescent="0.3">
      <c r="A20" s="610">
        <v>1500000</v>
      </c>
      <c r="B20" s="605"/>
      <c r="C20" s="611">
        <v>191545</v>
      </c>
      <c r="D20" s="612">
        <v>228859</v>
      </c>
      <c r="E20" s="605"/>
      <c r="F20" s="611">
        <v>228859</v>
      </c>
      <c r="G20" s="612">
        <v>268660</v>
      </c>
      <c r="H20" s="605"/>
      <c r="I20" s="611">
        <v>268660</v>
      </c>
      <c r="J20" s="612">
        <v>305974</v>
      </c>
    </row>
    <row r="21" spans="1:10" x14ac:dyDescent="0.3">
      <c r="A21" s="610">
        <v>2000000</v>
      </c>
      <c r="B21" s="605"/>
      <c r="C21" s="611">
        <v>239792</v>
      </c>
      <c r="D21" s="612">
        <v>286504</v>
      </c>
      <c r="E21" s="605"/>
      <c r="F21" s="611">
        <v>286504</v>
      </c>
      <c r="G21" s="612">
        <v>336331</v>
      </c>
      <c r="H21" s="605"/>
      <c r="I21" s="611">
        <v>336331</v>
      </c>
      <c r="J21" s="612">
        <v>383044</v>
      </c>
    </row>
    <row r="22" spans="1:10" x14ac:dyDescent="0.3">
      <c r="A22" s="610">
        <v>2500000</v>
      </c>
      <c r="B22" s="605"/>
      <c r="C22" s="611">
        <v>285649</v>
      </c>
      <c r="D22" s="612">
        <v>341295</v>
      </c>
      <c r="E22" s="605"/>
      <c r="F22" s="611">
        <v>341295</v>
      </c>
      <c r="G22" s="612">
        <v>400650</v>
      </c>
      <c r="H22" s="605"/>
      <c r="I22" s="611">
        <v>400650</v>
      </c>
      <c r="J22" s="612">
        <v>456296</v>
      </c>
    </row>
    <row r="23" spans="1:10" x14ac:dyDescent="0.3">
      <c r="A23" s="610">
        <v>3000000</v>
      </c>
      <c r="B23" s="605"/>
      <c r="C23" s="611">
        <v>329420</v>
      </c>
      <c r="D23" s="612">
        <v>393593</v>
      </c>
      <c r="E23" s="605"/>
      <c r="F23" s="611">
        <v>393593</v>
      </c>
      <c r="G23" s="612">
        <v>462044</v>
      </c>
      <c r="H23" s="605"/>
      <c r="I23" s="611">
        <v>462044</v>
      </c>
      <c r="J23" s="612">
        <v>526217</v>
      </c>
    </row>
    <row r="24" spans="1:10" x14ac:dyDescent="0.3">
      <c r="A24" s="610">
        <v>3500000</v>
      </c>
      <c r="B24" s="605"/>
      <c r="C24" s="611">
        <v>371491</v>
      </c>
      <c r="D24" s="612">
        <v>443859</v>
      </c>
      <c r="E24" s="605"/>
      <c r="F24" s="611">
        <v>443859</v>
      </c>
      <c r="G24" s="612">
        <v>521052</v>
      </c>
      <c r="H24" s="605"/>
      <c r="I24" s="611">
        <v>521052</v>
      </c>
      <c r="J24" s="612">
        <v>593420</v>
      </c>
    </row>
    <row r="25" spans="1:10" ht="15.2" thickBot="1" x14ac:dyDescent="0.35">
      <c r="A25" s="610">
        <v>4000000</v>
      </c>
      <c r="B25" s="614"/>
      <c r="C25" s="611">
        <v>412126</v>
      </c>
      <c r="D25" s="612">
        <v>492410</v>
      </c>
      <c r="E25" s="615"/>
      <c r="F25" s="611">
        <v>492410</v>
      </c>
      <c r="G25" s="612">
        <v>578046</v>
      </c>
      <c r="H25" s="605"/>
      <c r="I25" s="611">
        <v>578046</v>
      </c>
      <c r="J25" s="612">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'Lufttechnische Anlagen'!H8</f>
        <v>0</v>
      </c>
      <c r="H62" s="1648"/>
      <c r="I62" s="1647">
        <f>'Lufttechnische Anlagen'!L8</f>
        <v>0</v>
      </c>
      <c r="J62" s="1648"/>
      <c r="K62" s="1647">
        <f>'Lufttechnische Anlagen'!P8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'Lufttechnische Anlagen'!F15</f>
        <v>1</v>
      </c>
      <c r="H64" s="1463"/>
      <c r="J64" s="1643"/>
      <c r="K64" s="1643"/>
      <c r="L64" s="642"/>
      <c r="M64" s="645"/>
      <c r="N64" s="626"/>
      <c r="O64" s="626"/>
      <c r="P64" s="626"/>
      <c r="Q64" s="627"/>
    </row>
    <row r="65" spans="1:17" x14ac:dyDescent="0.3">
      <c r="A65" s="629"/>
      <c r="B65" s="1422" t="s">
        <v>317</v>
      </c>
      <c r="C65" s="1423"/>
      <c r="D65" s="1423"/>
      <c r="E65" s="1424"/>
      <c r="F65" s="644"/>
      <c r="G65" s="1462" t="str">
        <f>'Lufttechnische Anlagen'!F16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C70" s="709"/>
      <c r="D70" s="1397" t="s">
        <v>924</v>
      </c>
      <c r="E70" s="1425"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426"/>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759">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759">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759">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652"/>
      <c r="C75" s="652"/>
      <c r="D75" s="652"/>
      <c r="E75" s="603"/>
      <c r="F75" s="603"/>
      <c r="G75" s="653"/>
      <c r="H75" s="651"/>
      <c r="I75" s="641"/>
      <c r="J75" s="641"/>
      <c r="K75" s="641"/>
      <c r="L75" s="654"/>
      <c r="M75" s="641"/>
      <c r="N75" s="627"/>
      <c r="O75" s="627"/>
      <c r="P75" s="627"/>
      <c r="Q75" s="627"/>
    </row>
    <row r="76" spans="1:17" x14ac:dyDescent="0.3">
      <c r="A76" s="629"/>
      <c r="C76" s="709"/>
      <c r="D76" s="1397" t="s">
        <v>925</v>
      </c>
      <c r="E76" s="1425" t="s">
        <v>316</v>
      </c>
      <c r="F76" s="603"/>
      <c r="G76" s="647" t="s">
        <v>328</v>
      </c>
      <c r="H76" s="648">
        <f>IF(G62&lt;$A$6,0,IF(G62&gt;$A$44,0,INDEX($A$6:$A$44,MATCH(G62,$A$6:$A$44,1)+1,1)))</f>
        <v>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426"/>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759">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759">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759">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0</v>
      </c>
      <c r="H85" s="655">
        <f>VLOOKUP(G64,E72:H74,4)</f>
        <v>0</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0</v>
      </c>
      <c r="H86" s="655">
        <f>VLOOKUP(G64,E78:H80,4)</f>
        <v>0</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0</v>
      </c>
      <c r="H93" s="655">
        <f t="shared" si="3"/>
        <v>0</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0</v>
      </c>
      <c r="H94" s="655">
        <f>G88</f>
        <v>0</v>
      </c>
      <c r="I94" s="655">
        <f>I88</f>
        <v>0</v>
      </c>
      <c r="J94" s="655">
        <f>I88</f>
        <v>0</v>
      </c>
      <c r="K94" s="655">
        <f>K88</f>
        <v>0</v>
      </c>
      <c r="L94" s="655">
        <f>K88</f>
        <v>0</v>
      </c>
      <c r="M94" s="656"/>
    </row>
    <row r="95" spans="1:17" x14ac:dyDescent="0.3">
      <c r="A95" s="629"/>
      <c r="B95" s="1416" t="s">
        <v>336</v>
      </c>
      <c r="C95" s="1416"/>
      <c r="D95" s="1416"/>
      <c r="E95" s="1416"/>
      <c r="F95" s="660"/>
      <c r="G95" s="655">
        <f t="shared" ref="G95:L95" si="4">G87</f>
        <v>0</v>
      </c>
      <c r="H95" s="655">
        <f t="shared" si="4"/>
        <v>0</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0</v>
      </c>
      <c r="H96" s="655">
        <f>H76-H70</f>
        <v>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0</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IF('Lufttechnische Anlagen'!T39="ja",'Lufttechnische Anlagen'!J39,0)</f>
        <v>0</v>
      </c>
      <c r="D109" s="1668"/>
      <c r="E109" s="1669">
        <f>IF('Lufttechnische Anlagen'!T39="ja",'Lufttechnische Anlagen'!L54,0)</f>
        <v>0</v>
      </c>
      <c r="F109" s="1639"/>
      <c r="G109" s="681">
        <f>C109*1.1+E109</f>
        <v>0</v>
      </c>
    </row>
    <row r="110" spans="1:13" x14ac:dyDescent="0.3">
      <c r="B110" s="682">
        <v>2</v>
      </c>
      <c r="C110" s="1408">
        <f>IF('Lufttechnische Anlagen'!$T55="ja",'Lufttechnische Anlagen'!J55,0)</f>
        <v>0</v>
      </c>
      <c r="D110" s="1671"/>
      <c r="E110" s="1670">
        <f>IF('Lufttechnische Anlagen'!T55="ja",'Lufttechnische Anlagen'!L78,0)</f>
        <v>0</v>
      </c>
      <c r="F110" s="1409"/>
      <c r="G110" s="681">
        <f t="shared" ref="G110:G122" si="5">C110*1.1+E110</f>
        <v>0</v>
      </c>
    </row>
    <row r="111" spans="1:13" x14ac:dyDescent="0.3">
      <c r="B111" s="682">
        <v>3</v>
      </c>
      <c r="C111" s="1408">
        <f>IF('Lufttechnische Anlagen'!$T82="ja",'Lufttechnische Anlagen'!J82,0)</f>
        <v>0</v>
      </c>
      <c r="D111" s="1671"/>
      <c r="E111" s="1670">
        <f>IF('Lufttechnische Anlagen'!T82="ja",'Lufttechnische Anlagen'!L115,0)</f>
        <v>0</v>
      </c>
      <c r="F111" s="1409"/>
      <c r="G111" s="681">
        <f t="shared" si="5"/>
        <v>0</v>
      </c>
    </row>
    <row r="112" spans="1:13" x14ac:dyDescent="0.3">
      <c r="B112" s="682">
        <v>4</v>
      </c>
      <c r="C112" s="1408">
        <f>IF('Lufttechnische Anlagen'!$T119="ja",'Lufttechnische Anlagen'!J119,0)</f>
        <v>0</v>
      </c>
      <c r="D112" s="1671"/>
      <c r="E112" s="1670">
        <f>IF('Lufttechnische Anlagen'!T119="ja",'Lufttechnische Anlagen'!L127,0)</f>
        <v>0</v>
      </c>
      <c r="F112" s="1409"/>
      <c r="G112" s="681">
        <f t="shared" si="5"/>
        <v>0</v>
      </c>
    </row>
    <row r="113" spans="2:7" x14ac:dyDescent="0.3">
      <c r="B113" s="682" t="s">
        <v>351</v>
      </c>
      <c r="C113" s="1408">
        <f>IF('Lufttechnische Anlagen'!$T128="ja",'Lufttechnische Anlagen'!J128,0)</f>
        <v>0</v>
      </c>
      <c r="D113" s="1671"/>
      <c r="E113" s="1670">
        <f>IF('Lufttechnische Anlagen'!T128="ja",'Lufttechnische Anlagen'!R128+'Lufttechnische Anlagen'!R131,0)</f>
        <v>0</v>
      </c>
      <c r="F113" s="1409"/>
      <c r="G113" s="681">
        <f t="shared" si="5"/>
        <v>0</v>
      </c>
    </row>
    <row r="114" spans="2:7" x14ac:dyDescent="0.3">
      <c r="B114" s="682" t="s">
        <v>352</v>
      </c>
      <c r="C114" s="1408">
        <f>IF('Lufttechnische Anlagen'!$T133="ja",'Lufttechnische Anlagen'!J133,0)</f>
        <v>0</v>
      </c>
      <c r="D114" s="1671"/>
      <c r="E114" s="1670">
        <f>IF('Lufttechnische Anlagen'!T133="ja",'Lufttechnische Anlagen'!R133+'Lufttechnische Anlagen'!R136+'Lufttechnische Anlagen'!R139+'Lufttechnische Anlagen'!R142,0)</f>
        <v>0</v>
      </c>
      <c r="F114" s="1409"/>
      <c r="G114" s="681">
        <f t="shared" si="5"/>
        <v>0</v>
      </c>
    </row>
    <row r="115" spans="2:7" x14ac:dyDescent="0.3">
      <c r="B115" s="682" t="s">
        <v>353</v>
      </c>
      <c r="C115" s="1408">
        <f>IF('Lufttechnische Anlagen'!$T143="ja",'Lufttechnische Anlagen'!J143,0)</f>
        <v>0</v>
      </c>
      <c r="D115" s="1671"/>
      <c r="E115" s="1670">
        <f>IF('Lufttechnische Anlagen'!T143="ja",'Lufttechnische Anlagen'!R143,0)</f>
        <v>0</v>
      </c>
      <c r="F115" s="1409"/>
      <c r="G115" s="681">
        <f t="shared" si="5"/>
        <v>0</v>
      </c>
    </row>
    <row r="116" spans="2:7" x14ac:dyDescent="0.3">
      <c r="B116" s="682" t="s">
        <v>354</v>
      </c>
      <c r="C116" s="1408">
        <f>IF('Lufttechnische Anlagen'!$T144="ja",'Lufttechnische Anlagen'!J144,0)</f>
        <v>0</v>
      </c>
      <c r="D116" s="1671"/>
      <c r="E116" s="1670">
        <f>IF('Lufttechnische Anlagen'!T144="ja",'Lufttechnische Anlagen'!R144,0)</f>
        <v>0</v>
      </c>
      <c r="F116" s="1409"/>
      <c r="G116" s="681">
        <f t="shared" si="5"/>
        <v>0</v>
      </c>
    </row>
    <row r="117" spans="2:7" x14ac:dyDescent="0.3">
      <c r="B117" s="682" t="s">
        <v>355</v>
      </c>
      <c r="C117" s="1408">
        <f>IF('Lufttechnische Anlagen'!$T145="ja",'Lufttechnische Anlagen'!J145,0)</f>
        <v>0</v>
      </c>
      <c r="D117" s="1671"/>
      <c r="E117" s="1670">
        <f>IF('Lufttechnische Anlagen'!T145="ja",'Lufttechnische Anlagen'!R145+'Lufttechnische Anlagen'!R148,0)</f>
        <v>0</v>
      </c>
      <c r="F117" s="1409"/>
      <c r="G117" s="681">
        <f t="shared" si="5"/>
        <v>0</v>
      </c>
    </row>
    <row r="118" spans="2:7" x14ac:dyDescent="0.3">
      <c r="B118" s="682" t="s">
        <v>356</v>
      </c>
      <c r="C118" s="1408">
        <f>IF('Lufttechnische Anlagen'!$T150="ja",'Lufttechnische Anlagen'!J150,0)</f>
        <v>0</v>
      </c>
      <c r="D118" s="1671"/>
      <c r="E118" s="1670">
        <f>IF('Lufttechnische Anlagen'!T150="ja",'Lufttechnische Anlagen'!R150,0)</f>
        <v>0</v>
      </c>
      <c r="F118" s="1409"/>
      <c r="G118" s="681">
        <f t="shared" si="5"/>
        <v>0</v>
      </c>
    </row>
    <row r="119" spans="2:7" x14ac:dyDescent="0.3">
      <c r="B119" s="683">
        <v>6</v>
      </c>
      <c r="C119" s="1408">
        <f>IF('Lufttechnische Anlagen'!$T154="ja",'Lufttechnische Anlagen'!J154,0)</f>
        <v>0</v>
      </c>
      <c r="D119" s="1671"/>
      <c r="E119" s="1670">
        <f>IF('Lufttechnische Anlagen'!T154="ja",'Lufttechnische Anlagen'!L178,0)</f>
        <v>0</v>
      </c>
      <c r="F119" s="1409"/>
      <c r="G119" s="681">
        <f t="shared" si="5"/>
        <v>0</v>
      </c>
    </row>
    <row r="120" spans="2:7" x14ac:dyDescent="0.3">
      <c r="B120" s="683">
        <v>7</v>
      </c>
      <c r="C120" s="1408">
        <f>IF('Lufttechnische Anlagen'!$T179="ja",'Lufttechnische Anlagen'!J179,0)</f>
        <v>0</v>
      </c>
      <c r="D120" s="1671"/>
      <c r="E120" s="1670">
        <f>IF('Lufttechnische Anlagen'!T179="ja",'Lufttechnische Anlagen'!L193,0)</f>
        <v>0</v>
      </c>
      <c r="F120" s="1409"/>
      <c r="G120" s="681">
        <f t="shared" si="5"/>
        <v>0</v>
      </c>
    </row>
    <row r="121" spans="2:7" x14ac:dyDescent="0.3">
      <c r="B121" s="683">
        <v>8</v>
      </c>
      <c r="C121" s="1672">
        <f>IF('Lufttechnische Anlagen'!$T194="ja",'Lufttechnische Anlagen'!J194,0)</f>
        <v>0</v>
      </c>
      <c r="D121" s="1673"/>
      <c r="E121" s="1670">
        <f>IF('Lufttechnische Anlagen'!T194="ja",'Lufttechnische Anlagen'!L235,0)</f>
        <v>0</v>
      </c>
      <c r="F121" s="1409"/>
      <c r="G121" s="681">
        <f t="shared" si="5"/>
        <v>0</v>
      </c>
    </row>
    <row r="122" spans="2:7" ht="15.2" thickBot="1" x14ac:dyDescent="0.35">
      <c r="B122" s="684">
        <v>9</v>
      </c>
      <c r="C122" s="1674">
        <f>IF('Lufttechnische Anlagen'!$T236="ja",'Lufttechnische Anlagen'!J236,0)</f>
        <v>0</v>
      </c>
      <c r="D122" s="1675"/>
      <c r="E122" s="1676">
        <f>IF('Lufttechnische Anlagen'!T236="ja",'Lufttechnische Anlagen'!L245,0)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C123*'Lufttechnische Anlagen'!F23+C123</f>
        <v>0</v>
      </c>
      <c r="D125" s="1658"/>
      <c r="E125" s="1657">
        <f>'Lufttechnische Anlagen'!R245</f>
        <v>0</v>
      </c>
      <c r="F125" s="1658"/>
    </row>
    <row r="128" spans="2:7" x14ac:dyDescent="0.3">
      <c r="B128" s="594" t="s">
        <v>463</v>
      </c>
      <c r="D128" s="687">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742" t="s">
        <v>105</v>
      </c>
      <c r="C134" s="689" t="s">
        <v>285</v>
      </c>
      <c r="D134" s="690" t="s">
        <v>286</v>
      </c>
      <c r="E134" s="690" t="s">
        <v>287</v>
      </c>
      <c r="F134" s="690" t="s">
        <v>288</v>
      </c>
      <c r="G134" s="690" t="s">
        <v>289</v>
      </c>
      <c r="H134" s="690" t="s">
        <v>290</v>
      </c>
      <c r="I134" s="690" t="s">
        <v>291</v>
      </c>
      <c r="J134" s="690" t="s">
        <v>292</v>
      </c>
      <c r="K134" s="690" t="s">
        <v>293</v>
      </c>
      <c r="L134" s="690" t="s">
        <v>294</v>
      </c>
      <c r="M134" s="690" t="s">
        <v>295</v>
      </c>
      <c r="N134" s="690" t="s">
        <v>296</v>
      </c>
      <c r="O134" s="690" t="s">
        <v>297</v>
      </c>
      <c r="P134" s="690" t="s">
        <v>359</v>
      </c>
      <c r="Q134" s="691" t="s">
        <v>360</v>
      </c>
    </row>
    <row r="135" spans="2:17" x14ac:dyDescent="0.3">
      <c r="B135" s="773">
        <f>IF(Überblick!$H$53&gt;=1,1,"")</f>
        <v>1</v>
      </c>
      <c r="C135" s="698">
        <f>IF($B135='Lufttechnische Anlagen'!$U$39,'Lufttechnische Anlagen'!$J$39*'Lufttechnische Anlagen'!$F$23+'Lufttechnische Anlagen'!$J$39+'Lufttechnische Anlagen'!$L$54,0)</f>
        <v>0</v>
      </c>
      <c r="D135" s="698">
        <f>IF($B135='Lufttechnische Anlagen'!$U$55,'Lufttechnische Anlagen'!$J$55*'Lufttechnische Anlagen'!$F$23+'Lufttechnische Anlagen'!$J$55+'Lufttechnische Anlagen'!$L$78,0)</f>
        <v>0</v>
      </c>
      <c r="E135" s="698">
        <f>IF($B135='Lufttechnische Anlagen'!$U$82,'Lufttechnische Anlagen'!$J$82*'Lufttechnische Anlagen'!$F$23+'Lufttechnische Anlagen'!$J$82+'Lufttechnische Anlagen'!$L$115,0)</f>
        <v>0</v>
      </c>
      <c r="F135" s="698">
        <f>IF($B135='Lufttechnische Anlagen'!$U$119,'Lufttechnische Anlagen'!$J$119*'Lufttechnische Anlagen'!$F$23+'Lufttechnische Anlagen'!$J$119+'Lufttechnische Anlagen'!$L$127,0)</f>
        <v>0</v>
      </c>
      <c r="G135" s="698">
        <f>IF($B135='Lufttechnische Anlagen'!$U$128,'Lufttechnische Anlagen'!$J$128*'Lufttechnische Anlagen'!$F$23+'Lufttechnische Anlagen'!$J$128+'Lufttechnische Anlagen'!$R$128+'Lufttechnische Anlagen'!$R$131,0)</f>
        <v>0</v>
      </c>
      <c r="H135" s="698">
        <f>IF($B135='Lufttechnische Anlagen'!$U$133,'Lufttechnische Anlagen'!$J$133*'Lufttechnische Anlagen'!$F$23+'Lufttechnische Anlagen'!$J$133+'Lufttechnische Anlagen'!$R$133+'Lufttechnische Anlagen'!$R$136+'Lufttechnische Anlagen'!$R$139+'Lufttechnische Anlagen'!$R$142,0)</f>
        <v>0</v>
      </c>
      <c r="I135" s="698">
        <f>IF($B135='Lufttechnische Anlagen'!$U$143,'Lufttechnische Anlagen'!$J$143*'Lufttechnische Anlagen'!$F$23+'Lufttechnische Anlagen'!$J$143+'Lufttechnische Anlagen'!$R$143,0)</f>
        <v>0</v>
      </c>
      <c r="J135" s="698">
        <f>IF($B135='Lufttechnische Anlagen'!$U$144,'Lufttechnische Anlagen'!$J$144*'Lufttechnische Anlagen'!$F$23+'Lufttechnische Anlagen'!$J$144+'Lufttechnische Anlagen'!$R$144,0)</f>
        <v>0</v>
      </c>
      <c r="K135" s="698">
        <f>IF($B135='Lufttechnische Anlagen'!$U$145,'Lufttechnische Anlagen'!$J$145*'Lufttechnische Anlagen'!$F$23+'Lufttechnische Anlagen'!$J$145+'Lufttechnische Anlagen'!$R$145+'Lufttechnische Anlagen'!$R$148,0)</f>
        <v>0</v>
      </c>
      <c r="L135" s="698">
        <f>IF($B135='Lufttechnische Anlagen'!$U$150,'Lufttechnische Anlagen'!$J$150*'Lufttechnische Anlagen'!$F$23+'Lufttechnische Anlagen'!$J$150+'Lufttechnische Anlagen'!$R$150,0)</f>
        <v>0</v>
      </c>
      <c r="M135" s="698">
        <f>IF($B135='Lufttechnische Anlagen'!$U$154,'Lufttechnische Anlagen'!$J$154*'Lufttechnische Anlagen'!$F$23+'Lufttechnische Anlagen'!$J$154+'Lufttechnische Anlagen'!$L$178,0)</f>
        <v>0</v>
      </c>
      <c r="N135" s="698">
        <f>IF($B135='Lufttechnische Anlagen'!$U$179,'Lufttechnische Anlagen'!$J$179*'Lufttechnische Anlagen'!$F$23+'Lufttechnische Anlagen'!$J$179+'Lufttechnische Anlagen'!$L$193,0)</f>
        <v>0</v>
      </c>
      <c r="O135" s="698">
        <f>IF($B135='Lufttechnische Anlagen'!$U$194,'Lufttechnische Anlagen'!$J$194*'Lufttechnische Anlagen'!$F$23+'Lufttechnische Anlagen'!$J$194+'Lufttechnische Anlagen'!$L$235,0)</f>
        <v>0</v>
      </c>
      <c r="P135" s="698">
        <f>IF($B135='Lufttechnische Anlagen'!$U$236,'Lufttechnische Anlagen'!$J$236*'Lufttechnische Anlagen'!$F$23+'Lufttechnische Anlagen'!$J$236+'Lufttechnische Anlagen'!$L$245,0)</f>
        <v>0</v>
      </c>
      <c r="Q135" s="774">
        <f>SUM(C135:P135)</f>
        <v>0</v>
      </c>
    </row>
    <row r="136" spans="2:17" x14ac:dyDescent="0.3">
      <c r="B136" s="769">
        <f>IF(Überblick!$H$53&gt;=2,2,"")</f>
        <v>2</v>
      </c>
      <c r="C136" s="698">
        <f>IF($B136='Lufttechnische Anlagen'!$U$39,'Lufttechnische Anlagen'!$J$39*'Lufttechnische Anlagen'!$F$23+'Lufttechnische Anlagen'!$J$39+'Lufttechnische Anlagen'!$L$54,0)</f>
        <v>0</v>
      </c>
      <c r="D136" s="698">
        <f>IF($B136='Lufttechnische Anlagen'!$U$55,'Lufttechnische Anlagen'!$J$55*'Lufttechnische Anlagen'!$F$23+'Lufttechnische Anlagen'!$J$55+'Lufttechnische Anlagen'!$L$78,0)</f>
        <v>0</v>
      </c>
      <c r="E136" s="698">
        <f>IF($B136='Lufttechnische Anlagen'!$U$82,'Lufttechnische Anlagen'!$J$82*'Lufttechnische Anlagen'!$F$23+'Lufttechnische Anlagen'!$J$82+'Lufttechnische Anlagen'!$L$115,0)</f>
        <v>0</v>
      </c>
      <c r="F136" s="698">
        <f>IF($B136='Lufttechnische Anlagen'!$U$119,'Lufttechnische Anlagen'!$J$119*'Lufttechnische Anlagen'!$F$23+'Lufttechnische Anlagen'!$J$119+'Lufttechnische Anlagen'!$L$127,0)</f>
        <v>0</v>
      </c>
      <c r="G136" s="698">
        <f>IF($B136='Lufttechnische Anlagen'!$U$128,'Lufttechnische Anlagen'!$J$128*'Lufttechnische Anlagen'!$F$23+'Lufttechnische Anlagen'!$J$128+'Lufttechnische Anlagen'!$R$128+'Lufttechnische Anlagen'!$R$131,0)</f>
        <v>0</v>
      </c>
      <c r="H136" s="698">
        <f>IF($B136='Lufttechnische Anlagen'!$U$133,'Lufttechnische Anlagen'!$J$133*'Lufttechnische Anlagen'!$F$23+'Lufttechnische Anlagen'!$J$133+'Lufttechnische Anlagen'!$R$133+'Lufttechnische Anlagen'!$R$136+'Lufttechnische Anlagen'!$R$139+'Lufttechnische Anlagen'!$R$142,0)</f>
        <v>0</v>
      </c>
      <c r="I136" s="698">
        <f>IF($B136='Lufttechnische Anlagen'!$U$143,'Lufttechnische Anlagen'!$J$143*'Lufttechnische Anlagen'!$F$23+'Lufttechnische Anlagen'!$J$143+'Lufttechnische Anlagen'!$R$143,0)</f>
        <v>0</v>
      </c>
      <c r="J136" s="698">
        <f>IF($B136='Lufttechnische Anlagen'!$U$144,'Lufttechnische Anlagen'!$J$144*'Lufttechnische Anlagen'!$F$23+'Lufttechnische Anlagen'!$J$144+'Lufttechnische Anlagen'!$R$144,0)</f>
        <v>0</v>
      </c>
      <c r="K136" s="698">
        <f>IF($B136='Lufttechnische Anlagen'!$U$145,'Lufttechnische Anlagen'!$J$145*'Lufttechnische Anlagen'!$F$23+'Lufttechnische Anlagen'!$J$145+'Lufttechnische Anlagen'!$R$145+'Lufttechnische Anlagen'!$R$148,0)</f>
        <v>0</v>
      </c>
      <c r="L136" s="698">
        <f>IF($B136='Lufttechnische Anlagen'!$U$150,'Lufttechnische Anlagen'!$J$150*'Lufttechnische Anlagen'!$F$23+'Lufttechnische Anlagen'!$J$150+'Lufttechnische Anlagen'!$R$150,0)</f>
        <v>0</v>
      </c>
      <c r="M136" s="698">
        <f>IF($B136='Lufttechnische Anlagen'!$U$154,'Lufttechnische Anlagen'!$J$154*'Lufttechnische Anlagen'!$F$23+'Lufttechnische Anlagen'!$J$154+'Lufttechnische Anlagen'!$L$178,0)</f>
        <v>0</v>
      </c>
      <c r="N136" s="698">
        <f>IF($B136='Lufttechnische Anlagen'!$U$179,'Lufttechnische Anlagen'!$J$179*'Lufttechnische Anlagen'!$F$23+'Lufttechnische Anlagen'!$J$179+'Lufttechnische Anlagen'!$L$193,0)</f>
        <v>0</v>
      </c>
      <c r="O136" s="698">
        <f>IF($B136='Lufttechnische Anlagen'!$U$194,'Lufttechnische Anlagen'!$J$194*'Lufttechnische Anlagen'!$F$23+'Lufttechnische Anlagen'!$J$194+'Lufttechnische Anlagen'!$L$235,0)</f>
        <v>0</v>
      </c>
      <c r="P136" s="698">
        <f>IF($B136='Lufttechnische Anlagen'!$U$236,'Lufttechnische Anlagen'!$J$236*'Lufttechnische Anlagen'!$F$23+'Lufttechnische Anlagen'!$J$236+'Lufttechnische Anlagen'!$L$245,0)</f>
        <v>0</v>
      </c>
      <c r="Q136" s="774">
        <f t="shared" ref="Q136:Q142" si="6">SUM(C136:P136)</f>
        <v>0</v>
      </c>
    </row>
    <row r="137" spans="2:17" x14ac:dyDescent="0.3">
      <c r="B137" s="769">
        <f>IF(Überblick!$H$53&gt;=3,3,"")</f>
        <v>3</v>
      </c>
      <c r="C137" s="698">
        <f>IF($B137='Lufttechnische Anlagen'!$U$39,'Lufttechnische Anlagen'!$J$39*'Lufttechnische Anlagen'!$F$23+'Lufttechnische Anlagen'!$J$39+'Lufttechnische Anlagen'!$L$54,0)</f>
        <v>0</v>
      </c>
      <c r="D137" s="698">
        <f>IF($B137='Lufttechnische Anlagen'!$U$55,'Lufttechnische Anlagen'!$J$55*'Lufttechnische Anlagen'!$F$23+'Lufttechnische Anlagen'!$J$55+'Lufttechnische Anlagen'!$L$78,0)</f>
        <v>0</v>
      </c>
      <c r="E137" s="698">
        <f>IF($B137='Lufttechnische Anlagen'!$U$82,'Lufttechnische Anlagen'!$J$82*'Lufttechnische Anlagen'!$F$23+'Lufttechnische Anlagen'!$J$82+'Lufttechnische Anlagen'!$L$115,0)</f>
        <v>0</v>
      </c>
      <c r="F137" s="698">
        <f>IF($B137='Lufttechnische Anlagen'!$U$119,'Lufttechnische Anlagen'!$J$119*'Lufttechnische Anlagen'!$F$23+'Lufttechnische Anlagen'!$J$119+'Lufttechnische Anlagen'!$L$127,0)</f>
        <v>0</v>
      </c>
      <c r="G137" s="698">
        <f>IF($B137='Lufttechnische Anlagen'!$U$128,'Lufttechnische Anlagen'!$J$128*'Lufttechnische Anlagen'!$F$23+'Lufttechnische Anlagen'!$J$128+'Lufttechnische Anlagen'!$R$128+'Lufttechnische Anlagen'!$R$131,0)</f>
        <v>0</v>
      </c>
      <c r="H137" s="698">
        <f>IF($B137='Lufttechnische Anlagen'!$U$133,'Lufttechnische Anlagen'!$J$133*'Lufttechnische Anlagen'!$F$23+'Lufttechnische Anlagen'!$J$133+'Lufttechnische Anlagen'!$R$133+'Lufttechnische Anlagen'!$R$136+'Lufttechnische Anlagen'!$R$139+'Lufttechnische Anlagen'!$R$142,0)</f>
        <v>0</v>
      </c>
      <c r="I137" s="698">
        <f>IF($B137='Lufttechnische Anlagen'!$U$143,'Lufttechnische Anlagen'!$J$143*'Lufttechnische Anlagen'!$F$23+'Lufttechnische Anlagen'!$J$143+'Lufttechnische Anlagen'!$R$143,0)</f>
        <v>0</v>
      </c>
      <c r="J137" s="698">
        <f>IF($B137='Lufttechnische Anlagen'!$U$144,'Lufttechnische Anlagen'!$J$144*'Lufttechnische Anlagen'!$F$23+'Lufttechnische Anlagen'!$J$144+'Lufttechnische Anlagen'!$R$144,0)</f>
        <v>0</v>
      </c>
      <c r="K137" s="698">
        <f>IF($B137='Lufttechnische Anlagen'!$U$145,'Lufttechnische Anlagen'!$J$145*'Lufttechnische Anlagen'!$F$23+'Lufttechnische Anlagen'!$J$145+'Lufttechnische Anlagen'!$R$145+'Lufttechnische Anlagen'!$R$148,0)</f>
        <v>0</v>
      </c>
      <c r="L137" s="698">
        <f>IF($B137='Lufttechnische Anlagen'!$U$150,'Lufttechnische Anlagen'!$J$150*'Lufttechnische Anlagen'!$F$23+'Lufttechnische Anlagen'!$J$150+'Lufttechnische Anlagen'!$R$150,0)</f>
        <v>0</v>
      </c>
      <c r="M137" s="698">
        <f>IF($B137='Lufttechnische Anlagen'!$U$154,'Lufttechnische Anlagen'!$J$154*'Lufttechnische Anlagen'!$F$23+'Lufttechnische Anlagen'!$J$154+'Lufttechnische Anlagen'!$L$178,0)</f>
        <v>0</v>
      </c>
      <c r="N137" s="698">
        <f>IF($B137='Lufttechnische Anlagen'!$U$179,'Lufttechnische Anlagen'!$J$179*'Lufttechnische Anlagen'!$F$23+'Lufttechnische Anlagen'!$J$179+'Lufttechnische Anlagen'!$L$193,0)</f>
        <v>0</v>
      </c>
      <c r="O137" s="698">
        <f>IF($B137='Lufttechnische Anlagen'!$U$194,'Lufttechnische Anlagen'!$J$194*'Lufttechnische Anlagen'!$F$23+'Lufttechnische Anlagen'!$J$194+'Lufttechnische Anlagen'!$L$235,0)</f>
        <v>0</v>
      </c>
      <c r="P137" s="698">
        <f>IF($B137='Lufttechnische Anlagen'!$U$236,'Lufttechnische Anlagen'!$J$236*'Lufttechnische Anlagen'!$F$23+'Lufttechnische Anlagen'!$J$236+'Lufttechnische Anlagen'!$L$245,0)</f>
        <v>0</v>
      </c>
      <c r="Q137" s="774">
        <f t="shared" si="6"/>
        <v>0</v>
      </c>
    </row>
    <row r="138" spans="2:17" x14ac:dyDescent="0.3">
      <c r="B138" s="769">
        <f>IF(Überblick!$H$53&gt;=4,4,"")</f>
        <v>4</v>
      </c>
      <c r="C138" s="698">
        <f>IF($B138='Lufttechnische Anlagen'!$U$39,'Lufttechnische Anlagen'!$J$39*'Lufttechnische Anlagen'!$F$23+'Lufttechnische Anlagen'!$J$39+'Lufttechnische Anlagen'!$L$54,0)</f>
        <v>0</v>
      </c>
      <c r="D138" s="698">
        <f>IF($B138='Lufttechnische Anlagen'!$U$55,'Lufttechnische Anlagen'!$J$55*'Lufttechnische Anlagen'!$F$23+'Lufttechnische Anlagen'!$J$55+'Lufttechnische Anlagen'!$L$78,0)</f>
        <v>0</v>
      </c>
      <c r="E138" s="698">
        <f>IF($B138='Lufttechnische Anlagen'!$U$82,'Lufttechnische Anlagen'!$J$82*'Lufttechnische Anlagen'!$F$23+'Lufttechnische Anlagen'!$J$82+'Lufttechnische Anlagen'!$L$115,0)</f>
        <v>0</v>
      </c>
      <c r="F138" s="698">
        <f>IF($B138='Lufttechnische Anlagen'!$U$119,'Lufttechnische Anlagen'!$J$119*'Lufttechnische Anlagen'!$F$23+'Lufttechnische Anlagen'!$J$119+'Lufttechnische Anlagen'!$L$127,0)</f>
        <v>0</v>
      </c>
      <c r="G138" s="698">
        <f>IF($B138='Lufttechnische Anlagen'!$U$128,'Lufttechnische Anlagen'!$J$128*'Lufttechnische Anlagen'!$F$23+'Lufttechnische Anlagen'!$J$128+'Lufttechnische Anlagen'!$R$128+'Lufttechnische Anlagen'!$R$131,0)</f>
        <v>0</v>
      </c>
      <c r="H138" s="698">
        <f>IF($B138='Lufttechnische Anlagen'!$U$133,'Lufttechnische Anlagen'!$J$133*'Lufttechnische Anlagen'!$F$23+'Lufttechnische Anlagen'!$J$133+'Lufttechnische Anlagen'!$R$133+'Lufttechnische Anlagen'!$R$136+'Lufttechnische Anlagen'!$R$139+'Lufttechnische Anlagen'!$R$142,0)</f>
        <v>0</v>
      </c>
      <c r="I138" s="698">
        <f>IF($B138='Lufttechnische Anlagen'!$U$143,'Lufttechnische Anlagen'!$J$143*'Lufttechnische Anlagen'!$F$23+'Lufttechnische Anlagen'!$J$143+'Lufttechnische Anlagen'!$R$143,0)</f>
        <v>0</v>
      </c>
      <c r="J138" s="698">
        <f>IF($B138='Lufttechnische Anlagen'!$U$144,'Lufttechnische Anlagen'!$J$144*'Lufttechnische Anlagen'!$F$23+'Lufttechnische Anlagen'!$J$144+'Lufttechnische Anlagen'!$R$144,0)</f>
        <v>0</v>
      </c>
      <c r="K138" s="698">
        <f>IF($B138='Lufttechnische Anlagen'!$U$145,'Lufttechnische Anlagen'!$J$145*'Lufttechnische Anlagen'!$F$23+'Lufttechnische Anlagen'!$J$145+'Lufttechnische Anlagen'!$R$145+'Lufttechnische Anlagen'!$R$148,0)</f>
        <v>0</v>
      </c>
      <c r="L138" s="698">
        <f>IF($B138='Lufttechnische Anlagen'!$U$150,'Lufttechnische Anlagen'!$J$150*'Lufttechnische Anlagen'!$F$23+'Lufttechnische Anlagen'!$J$150+'Lufttechnische Anlagen'!$R$150,0)</f>
        <v>0</v>
      </c>
      <c r="M138" s="698">
        <f>IF($B138='Lufttechnische Anlagen'!$U$154,'Lufttechnische Anlagen'!$J$154*'Lufttechnische Anlagen'!$F$23+'Lufttechnische Anlagen'!$J$154+'Lufttechnische Anlagen'!$L$178,0)</f>
        <v>0</v>
      </c>
      <c r="N138" s="698">
        <f>IF($B138='Lufttechnische Anlagen'!$U$179,'Lufttechnische Anlagen'!$J$179*'Lufttechnische Anlagen'!$F$23+'Lufttechnische Anlagen'!$J$179+'Lufttechnische Anlagen'!$L$193,0)</f>
        <v>0</v>
      </c>
      <c r="O138" s="698">
        <f>IF($B138='Lufttechnische Anlagen'!$U$194,'Lufttechnische Anlagen'!$J$194*'Lufttechnische Anlagen'!$F$23+'Lufttechnische Anlagen'!$J$194+'Lufttechnische Anlagen'!$L$235,0)</f>
        <v>0</v>
      </c>
      <c r="P138" s="698">
        <f>IF($B138='Lufttechnische Anlagen'!$U$236,'Lufttechnische Anlagen'!$J$236*'Lufttechnische Anlagen'!$F$23+'Lufttechnische Anlagen'!$J$236+'Lufttechnische Anlagen'!$L$245,0)</f>
        <v>0</v>
      </c>
      <c r="Q138" s="774">
        <f t="shared" si="6"/>
        <v>0</v>
      </c>
    </row>
    <row r="139" spans="2:17" x14ac:dyDescent="0.3">
      <c r="B139" s="769">
        <f>IF(Überblick!$H$53&gt;=5,5,"")</f>
        <v>5</v>
      </c>
      <c r="C139" s="698">
        <f>IF($B139='Lufttechnische Anlagen'!$U$39,'Lufttechnische Anlagen'!$J$39*'Lufttechnische Anlagen'!$F$23+'Lufttechnische Anlagen'!$J$39+'Lufttechnische Anlagen'!$L$54,0)</f>
        <v>0</v>
      </c>
      <c r="D139" s="698">
        <f>IF($B139='Lufttechnische Anlagen'!$U$55,'Lufttechnische Anlagen'!$J$55*'Lufttechnische Anlagen'!$F$23+'Lufttechnische Anlagen'!$J$55+'Lufttechnische Anlagen'!$L$78,0)</f>
        <v>0</v>
      </c>
      <c r="E139" s="698">
        <f>IF($B139='Lufttechnische Anlagen'!$U$82,'Lufttechnische Anlagen'!$J$82*'Lufttechnische Anlagen'!$F$23+'Lufttechnische Anlagen'!$J$82+'Lufttechnische Anlagen'!$L$115,0)</f>
        <v>0</v>
      </c>
      <c r="F139" s="698">
        <f>IF($B139='Lufttechnische Anlagen'!$U$119,'Lufttechnische Anlagen'!$J$119*'Lufttechnische Anlagen'!$F$23+'Lufttechnische Anlagen'!$J$119+'Lufttechnische Anlagen'!$L$127,0)</f>
        <v>0</v>
      </c>
      <c r="G139" s="698">
        <f>IF($B139='Lufttechnische Anlagen'!$U$128,'Lufttechnische Anlagen'!$J$128*'Lufttechnische Anlagen'!$F$23+'Lufttechnische Anlagen'!$J$128+'Lufttechnische Anlagen'!$R$128+'Lufttechnische Anlagen'!$R$131,0)</f>
        <v>0</v>
      </c>
      <c r="H139" s="698">
        <f>IF($B139='Lufttechnische Anlagen'!$U$133,'Lufttechnische Anlagen'!$J$133*'Lufttechnische Anlagen'!$F$23+'Lufttechnische Anlagen'!$J$133+'Lufttechnische Anlagen'!$R$133+'Lufttechnische Anlagen'!$R$136+'Lufttechnische Anlagen'!$R$139+'Lufttechnische Anlagen'!$R$142,0)</f>
        <v>0</v>
      </c>
      <c r="I139" s="698">
        <f>IF($B139='Lufttechnische Anlagen'!$U$143,'Lufttechnische Anlagen'!$J$143*'Lufttechnische Anlagen'!$F$23+'Lufttechnische Anlagen'!$J$143+'Lufttechnische Anlagen'!$R$143,0)</f>
        <v>0</v>
      </c>
      <c r="J139" s="698">
        <f>IF($B139='Lufttechnische Anlagen'!$U$144,'Lufttechnische Anlagen'!$J$144*'Lufttechnische Anlagen'!$F$23+'Lufttechnische Anlagen'!$J$144+'Lufttechnische Anlagen'!$R$144,0)</f>
        <v>0</v>
      </c>
      <c r="K139" s="698">
        <f>IF($B139='Lufttechnische Anlagen'!$U$145,'Lufttechnische Anlagen'!$J$145*'Lufttechnische Anlagen'!$F$23+'Lufttechnische Anlagen'!$J$145+'Lufttechnische Anlagen'!$R$145+'Lufttechnische Anlagen'!$R$148,0)</f>
        <v>0</v>
      </c>
      <c r="L139" s="698">
        <f>IF($B139='Lufttechnische Anlagen'!$U$150,'Lufttechnische Anlagen'!$J$150*'Lufttechnische Anlagen'!$F$23+'Lufttechnische Anlagen'!$J$150+'Lufttechnische Anlagen'!$R$150,0)</f>
        <v>0</v>
      </c>
      <c r="M139" s="698">
        <f>IF($B139='Lufttechnische Anlagen'!$U$154,'Lufttechnische Anlagen'!$J$154*'Lufttechnische Anlagen'!$F$23+'Lufttechnische Anlagen'!$J$154+'Lufttechnische Anlagen'!$L$178,0)</f>
        <v>0</v>
      </c>
      <c r="N139" s="698">
        <f>IF($B139='Lufttechnische Anlagen'!$U$179,'Lufttechnische Anlagen'!$J$179*'Lufttechnische Anlagen'!$F$23+'Lufttechnische Anlagen'!$J$179+'Lufttechnische Anlagen'!$L$193,0)</f>
        <v>0</v>
      </c>
      <c r="O139" s="698">
        <f>IF($B139='Lufttechnische Anlagen'!$U$194,'Lufttechnische Anlagen'!$J$194*'Lufttechnische Anlagen'!$F$23+'Lufttechnische Anlagen'!$J$194+'Lufttechnische Anlagen'!$L$235,0)</f>
        <v>0</v>
      </c>
      <c r="P139" s="698">
        <f>IF($B139='Lufttechnische Anlagen'!$U$236,'Lufttechnische Anlagen'!$J$236*'Lufttechnische Anlagen'!$F$23+'Lufttechnische Anlagen'!$J$236+'Lufttechnische Anlagen'!$L$245,0)</f>
        <v>0</v>
      </c>
      <c r="Q139" s="774">
        <f t="shared" si="6"/>
        <v>0</v>
      </c>
    </row>
    <row r="140" spans="2:17" x14ac:dyDescent="0.3">
      <c r="B140" s="769">
        <f>IF(Überblick!$H$53&gt;=6,6,"")</f>
        <v>6</v>
      </c>
      <c r="C140" s="698">
        <f>IF($B140='Lufttechnische Anlagen'!$U$39,'Lufttechnische Anlagen'!$J$39*'Lufttechnische Anlagen'!$F$23+'Lufttechnische Anlagen'!$J$39+'Lufttechnische Anlagen'!$L$54,0)</f>
        <v>0</v>
      </c>
      <c r="D140" s="698">
        <f>IF($B140='Lufttechnische Anlagen'!$U$55,'Lufttechnische Anlagen'!$J$55*'Lufttechnische Anlagen'!$F$23+'Lufttechnische Anlagen'!$J$55+'Lufttechnische Anlagen'!$L$78,0)</f>
        <v>0</v>
      </c>
      <c r="E140" s="698">
        <f>IF($B140='Lufttechnische Anlagen'!$U$82,'Lufttechnische Anlagen'!$J$82*'Lufttechnische Anlagen'!$F$23+'Lufttechnische Anlagen'!$J$82+'Lufttechnische Anlagen'!$L$115,0)</f>
        <v>0</v>
      </c>
      <c r="F140" s="698">
        <f>IF($B140='Lufttechnische Anlagen'!$U$119,'Lufttechnische Anlagen'!$J$119*'Lufttechnische Anlagen'!$F$23+'Lufttechnische Anlagen'!$J$119+'Lufttechnische Anlagen'!$L$127,0)</f>
        <v>0</v>
      </c>
      <c r="G140" s="698">
        <f>IF($B140='Lufttechnische Anlagen'!$U$128,'Lufttechnische Anlagen'!$J$128*'Lufttechnische Anlagen'!$F$23+'Lufttechnische Anlagen'!$J$128+'Lufttechnische Anlagen'!$R$128+'Lufttechnische Anlagen'!$R$131,0)</f>
        <v>0</v>
      </c>
      <c r="H140" s="698">
        <f>IF($B140='Lufttechnische Anlagen'!$U$133,'Lufttechnische Anlagen'!$J$133*'Lufttechnische Anlagen'!$F$23+'Lufttechnische Anlagen'!$J$133+'Lufttechnische Anlagen'!$R$133+'Lufttechnische Anlagen'!$R$136+'Lufttechnische Anlagen'!$R$139+'Lufttechnische Anlagen'!$R$142,0)</f>
        <v>0</v>
      </c>
      <c r="I140" s="698">
        <f>IF($B140='Lufttechnische Anlagen'!$U$143,'Lufttechnische Anlagen'!$J$143*'Lufttechnische Anlagen'!$F$23+'Lufttechnische Anlagen'!$J$143+'Lufttechnische Anlagen'!$R$143,0)</f>
        <v>0</v>
      </c>
      <c r="J140" s="698">
        <f>IF($B140='Lufttechnische Anlagen'!$U$144,'Lufttechnische Anlagen'!$J$144*'Lufttechnische Anlagen'!$F$23+'Lufttechnische Anlagen'!$J$144+'Lufttechnische Anlagen'!$R$144,0)</f>
        <v>0</v>
      </c>
      <c r="K140" s="698">
        <f>IF($B140='Lufttechnische Anlagen'!$U$145,'Lufttechnische Anlagen'!$J$145*'Lufttechnische Anlagen'!$F$23+'Lufttechnische Anlagen'!$J$145+'Lufttechnische Anlagen'!$R$145+'Lufttechnische Anlagen'!$R$148,0)</f>
        <v>0</v>
      </c>
      <c r="L140" s="698">
        <f>IF($B140='Lufttechnische Anlagen'!$U$150,'Lufttechnische Anlagen'!$J$150*'Lufttechnische Anlagen'!$F$23+'Lufttechnische Anlagen'!$J$150+'Lufttechnische Anlagen'!$R$150,0)</f>
        <v>0</v>
      </c>
      <c r="M140" s="698">
        <f>IF($B140='Lufttechnische Anlagen'!$U$154,'Lufttechnische Anlagen'!$J$154*'Lufttechnische Anlagen'!$F$23+'Lufttechnische Anlagen'!$J$154+'Lufttechnische Anlagen'!$L$178,0)</f>
        <v>0</v>
      </c>
      <c r="N140" s="698">
        <f>IF($B140='Lufttechnische Anlagen'!$U$179,'Lufttechnische Anlagen'!$J$179*'Lufttechnische Anlagen'!$F$23+'Lufttechnische Anlagen'!$J$179+'Lufttechnische Anlagen'!$L$193,0)</f>
        <v>0</v>
      </c>
      <c r="O140" s="698">
        <f>IF($B140='Lufttechnische Anlagen'!$U$194,'Lufttechnische Anlagen'!$J$194*'Lufttechnische Anlagen'!$F$23+'Lufttechnische Anlagen'!$J$194+'Lufttechnische Anlagen'!$L$235,0)</f>
        <v>0</v>
      </c>
      <c r="P140" s="698">
        <f>IF($B140='Lufttechnische Anlagen'!$U$236,'Lufttechnische Anlagen'!$J$236*'Lufttechnische Anlagen'!$F$23+'Lufttechnische Anlagen'!$J$236+'Lufttechnische Anlagen'!$L$245,0)</f>
        <v>0</v>
      </c>
      <c r="Q140" s="774">
        <f t="shared" si="6"/>
        <v>0</v>
      </c>
    </row>
    <row r="141" spans="2:17" x14ac:dyDescent="0.3">
      <c r="B141" s="769" t="str">
        <f>IF(Überblick!$H$53&gt;=7,7,"")</f>
        <v/>
      </c>
      <c r="C141" s="698">
        <f>IF($B141='Lufttechnische Anlagen'!$U$39,'Lufttechnische Anlagen'!$J$39*'Lufttechnische Anlagen'!$F$23+'Lufttechnische Anlagen'!$J$39+'Lufttechnische Anlagen'!$L$54,0)</f>
        <v>0</v>
      </c>
      <c r="D141" s="698">
        <f>IF($B141='Lufttechnische Anlagen'!$U$55,'Lufttechnische Anlagen'!$J$55*'Lufttechnische Anlagen'!$F$23+'Lufttechnische Anlagen'!$J$55+'Lufttechnische Anlagen'!$L$78,0)</f>
        <v>0</v>
      </c>
      <c r="E141" s="698">
        <f>IF($B141='Lufttechnische Anlagen'!$U$82,'Lufttechnische Anlagen'!$J$82*'Lufttechnische Anlagen'!$F$23+'Lufttechnische Anlagen'!$J$82+'Lufttechnische Anlagen'!$L$115,0)</f>
        <v>0</v>
      </c>
      <c r="F141" s="698">
        <f>IF($B141='Lufttechnische Anlagen'!$U$119,'Lufttechnische Anlagen'!$J$119*'Lufttechnische Anlagen'!$F$23+'Lufttechnische Anlagen'!$J$119+'Lufttechnische Anlagen'!$L$127,0)</f>
        <v>0</v>
      </c>
      <c r="G141" s="698">
        <f>IF($B141='Lufttechnische Anlagen'!$U$128,'Lufttechnische Anlagen'!$J$128*'Lufttechnische Anlagen'!$F$23+'Lufttechnische Anlagen'!$J$128+'Lufttechnische Anlagen'!$R$128+'Lufttechnische Anlagen'!$R$131,0)</f>
        <v>0</v>
      </c>
      <c r="H141" s="698">
        <f>IF($B141='Lufttechnische Anlagen'!$U$133,'Lufttechnische Anlagen'!$J$133*'Lufttechnische Anlagen'!$F$23+'Lufttechnische Anlagen'!$J$133+'Lufttechnische Anlagen'!$R$133+'Lufttechnische Anlagen'!$R$136+'Lufttechnische Anlagen'!$R$139+'Lufttechnische Anlagen'!$R$142,0)</f>
        <v>0</v>
      </c>
      <c r="I141" s="698">
        <f>IF($B141='Lufttechnische Anlagen'!$U$143,'Lufttechnische Anlagen'!$J$143*'Lufttechnische Anlagen'!$F$23+'Lufttechnische Anlagen'!$J$143+'Lufttechnische Anlagen'!$R$143,0)</f>
        <v>0</v>
      </c>
      <c r="J141" s="698">
        <f>IF($B141='Lufttechnische Anlagen'!$U$144,'Lufttechnische Anlagen'!$J$144*'Lufttechnische Anlagen'!$F$23+'Lufttechnische Anlagen'!$J$144+'Lufttechnische Anlagen'!$R$144,0)</f>
        <v>0</v>
      </c>
      <c r="K141" s="698">
        <f>IF($B141='Lufttechnische Anlagen'!$U$145,'Lufttechnische Anlagen'!$J$145*'Lufttechnische Anlagen'!$F$23+'Lufttechnische Anlagen'!$J$145+'Lufttechnische Anlagen'!$R$145+'Lufttechnische Anlagen'!$R$148,0)</f>
        <v>0</v>
      </c>
      <c r="L141" s="698">
        <f>IF($B141='Lufttechnische Anlagen'!$U$150,'Lufttechnische Anlagen'!$J$150*'Lufttechnische Anlagen'!$F$23+'Lufttechnische Anlagen'!$J$150+'Lufttechnische Anlagen'!$R$150,0)</f>
        <v>0</v>
      </c>
      <c r="M141" s="698">
        <f>IF($B141='Lufttechnische Anlagen'!$U$154,'Lufttechnische Anlagen'!$J$154*'Lufttechnische Anlagen'!$F$23+'Lufttechnische Anlagen'!$J$154+'Lufttechnische Anlagen'!$L$178,0)</f>
        <v>0</v>
      </c>
      <c r="N141" s="698">
        <f>IF($B141='Lufttechnische Anlagen'!$U$179,'Lufttechnische Anlagen'!$J$179*'Lufttechnische Anlagen'!$F$23+'Lufttechnische Anlagen'!$J$179+'Lufttechnische Anlagen'!$L$193,0)</f>
        <v>0</v>
      </c>
      <c r="O141" s="698">
        <f>IF($B141='Lufttechnische Anlagen'!$U$194,'Lufttechnische Anlagen'!$J$194*'Lufttechnische Anlagen'!$F$23+'Lufttechnische Anlagen'!$J$194+'Lufttechnische Anlagen'!$L$235,0)</f>
        <v>0</v>
      </c>
      <c r="P141" s="698">
        <f>IF($B141='Lufttechnische Anlagen'!$U$236,'Lufttechnische Anlagen'!$J$236*'Lufttechnische Anlagen'!$F$23+'Lufttechnische Anlagen'!$J$236+'Lufttechnische Anlagen'!$L$245,0)</f>
        <v>0</v>
      </c>
      <c r="Q141" s="774">
        <f t="shared" si="6"/>
        <v>0</v>
      </c>
    </row>
    <row r="142" spans="2:17" ht="15.2" thickBot="1" x14ac:dyDescent="0.35">
      <c r="B142" s="776" t="str">
        <f>IF(Überblick!$H$53&gt;=8,8,"")</f>
        <v/>
      </c>
      <c r="C142" s="698">
        <f>IF($B142='Lufttechnische Anlagen'!$U$39,'Lufttechnische Anlagen'!$J$39*'Lufttechnische Anlagen'!$F$23+'Lufttechnische Anlagen'!$J$39+'Lufttechnische Anlagen'!$L$54,0)</f>
        <v>0</v>
      </c>
      <c r="D142" s="698">
        <f>IF($B142='Lufttechnische Anlagen'!$U$55,'Lufttechnische Anlagen'!$J$55*'Lufttechnische Anlagen'!$F$23+'Lufttechnische Anlagen'!$J$55+'Lufttechnische Anlagen'!$L$78,0)</f>
        <v>0</v>
      </c>
      <c r="E142" s="698">
        <f>IF($B142='Lufttechnische Anlagen'!$U$82,'Lufttechnische Anlagen'!$J$82*'Lufttechnische Anlagen'!$F$23+'Lufttechnische Anlagen'!$J$82+'Lufttechnische Anlagen'!$L$115,0)</f>
        <v>0</v>
      </c>
      <c r="F142" s="698">
        <f>IF($B142='Lufttechnische Anlagen'!$U$119,'Lufttechnische Anlagen'!$J$119*'Lufttechnische Anlagen'!$F$23+'Lufttechnische Anlagen'!$J$119+'Lufttechnische Anlagen'!$L$127,0)</f>
        <v>0</v>
      </c>
      <c r="G142" s="698">
        <f>IF($B142='Lufttechnische Anlagen'!$U$128,'Lufttechnische Anlagen'!$J$128*'Lufttechnische Anlagen'!$F$23+'Lufttechnische Anlagen'!$J$128+'Lufttechnische Anlagen'!$R$128+'Lufttechnische Anlagen'!$R$131,0)</f>
        <v>0</v>
      </c>
      <c r="H142" s="698">
        <f>IF($B142='Lufttechnische Anlagen'!$U$133,'Lufttechnische Anlagen'!$J$133*'Lufttechnische Anlagen'!$F$23+'Lufttechnische Anlagen'!$J$133+'Lufttechnische Anlagen'!$R$133+'Lufttechnische Anlagen'!$R$136+'Lufttechnische Anlagen'!$R$139+'Lufttechnische Anlagen'!$R$142,0)</f>
        <v>0</v>
      </c>
      <c r="I142" s="698">
        <f>IF($B142='Lufttechnische Anlagen'!$U$143,'Lufttechnische Anlagen'!$J$143*'Lufttechnische Anlagen'!$F$23+'Lufttechnische Anlagen'!$J$143+'Lufttechnische Anlagen'!$R$143,0)</f>
        <v>0</v>
      </c>
      <c r="J142" s="698">
        <f>IF($B142='Lufttechnische Anlagen'!$U$144,'Lufttechnische Anlagen'!$J$144*'Lufttechnische Anlagen'!$F$23+'Lufttechnische Anlagen'!$J$144+'Lufttechnische Anlagen'!$R$144,0)</f>
        <v>0</v>
      </c>
      <c r="K142" s="698">
        <f>IF($B142='Lufttechnische Anlagen'!$U$145,'Lufttechnische Anlagen'!$J$145*'Lufttechnische Anlagen'!$F$23+'Lufttechnische Anlagen'!$J$145+'Lufttechnische Anlagen'!$R$145+'Lufttechnische Anlagen'!$R$148,0)</f>
        <v>0</v>
      </c>
      <c r="L142" s="698">
        <f>IF($B142='Lufttechnische Anlagen'!$U$150,'Lufttechnische Anlagen'!$J$150*'Lufttechnische Anlagen'!$F$23+'Lufttechnische Anlagen'!$J$150+'Lufttechnische Anlagen'!$R$150,0)</f>
        <v>0</v>
      </c>
      <c r="M142" s="698">
        <f>IF($B142='Lufttechnische Anlagen'!$U$154,'Lufttechnische Anlagen'!$J$154*'Lufttechnische Anlagen'!$F$23+'Lufttechnische Anlagen'!$J$154+'Lufttechnische Anlagen'!$L$178,0)</f>
        <v>0</v>
      </c>
      <c r="N142" s="698">
        <f>IF($B142='Lufttechnische Anlagen'!$U$179,'Lufttechnische Anlagen'!$J$179*'Lufttechnische Anlagen'!$F$23+'Lufttechnische Anlagen'!$J$179+'Lufttechnische Anlagen'!$L$193,0)</f>
        <v>0</v>
      </c>
      <c r="O142" s="698">
        <f>IF($B142='Lufttechnische Anlagen'!$U$194,'Lufttechnische Anlagen'!$J$194*'Lufttechnische Anlagen'!$F$23+'Lufttechnische Anlagen'!$J$194+'Lufttechnische Anlagen'!$L$235,0)</f>
        <v>0</v>
      </c>
      <c r="P142" s="698">
        <f>IF($B142='Lufttechnische Anlagen'!$U$236,'Lufttechnische Anlagen'!$J$236*'Lufttechnische Anlagen'!$F$23+'Lufttechnische Anlagen'!$J$236+'Lufttechnische Anlagen'!$L$245,0)</f>
        <v>0</v>
      </c>
      <c r="Q142" s="774">
        <f t="shared" si="6"/>
        <v>0</v>
      </c>
    </row>
    <row r="143" spans="2:17" ht="15.2" thickBot="1" x14ac:dyDescent="0.35">
      <c r="B143" s="776">
        <v>9</v>
      </c>
      <c r="C143" s="698">
        <f>IF($B143='Lufttechnische Anlagen'!$U$39,'Lufttechnische Anlagen'!$J$39*'Lufttechnische Anlagen'!$F$23+'Lufttechnische Anlagen'!$J$39+'Lufttechnische Anlagen'!$L$54,0)</f>
        <v>0</v>
      </c>
      <c r="D143" s="698">
        <f>IF($B143='Lufttechnische Anlagen'!$U$55,'Lufttechnische Anlagen'!$J$55*'Lufttechnische Anlagen'!$F$23+'Lufttechnische Anlagen'!$J$55+'Lufttechnische Anlagen'!$L$78,0)</f>
        <v>0</v>
      </c>
      <c r="E143" s="698">
        <f>IF($B143='Lufttechnische Anlagen'!$U$82,'Lufttechnische Anlagen'!$J$82*'Lufttechnische Anlagen'!$F$23+'Lufttechnische Anlagen'!$J$82+'Lufttechnische Anlagen'!$L$115,0)</f>
        <v>0</v>
      </c>
      <c r="F143" s="698">
        <f>IF($B143='Lufttechnische Anlagen'!$U$119,'Lufttechnische Anlagen'!$J$119*'Lufttechnische Anlagen'!$F$23+'Lufttechnische Anlagen'!$J$119+'Lufttechnische Anlagen'!$L$127,0)</f>
        <v>0</v>
      </c>
      <c r="G143" s="698">
        <f>IF($B143='Lufttechnische Anlagen'!$U$128,'Lufttechnische Anlagen'!$J$128*'Lufttechnische Anlagen'!$F$23+'Lufttechnische Anlagen'!$J$128+'Lufttechnische Anlagen'!$R$128+'Lufttechnische Anlagen'!$R$131,0)</f>
        <v>0</v>
      </c>
      <c r="H143" s="698">
        <f>IF($B143='Lufttechnische Anlagen'!$U$133,'Lufttechnische Anlagen'!$J$133*'Lufttechnische Anlagen'!$F$23+'Lufttechnische Anlagen'!$J$133+'Lufttechnische Anlagen'!$R$133+'Lufttechnische Anlagen'!$R$136+'Lufttechnische Anlagen'!$R$139+'Lufttechnische Anlagen'!$R$142,0)</f>
        <v>0</v>
      </c>
      <c r="I143" s="698">
        <f>IF($B143='Lufttechnische Anlagen'!$U$143,'Lufttechnische Anlagen'!$J$143*'Lufttechnische Anlagen'!$F$23+'Lufttechnische Anlagen'!$J$143+'Lufttechnische Anlagen'!$R$143,0)</f>
        <v>0</v>
      </c>
      <c r="J143" s="698">
        <f>IF($B143='Lufttechnische Anlagen'!$U$144,'Lufttechnische Anlagen'!$J$144*'Lufttechnische Anlagen'!$F$23+'Lufttechnische Anlagen'!$J$144+'Lufttechnische Anlagen'!$R$144,0)</f>
        <v>0</v>
      </c>
      <c r="K143" s="698">
        <f>IF($B143='Lufttechnische Anlagen'!$U$145,'Lufttechnische Anlagen'!$J$145*'Lufttechnische Anlagen'!$F$23+'Lufttechnische Anlagen'!$J$145+'Lufttechnische Anlagen'!$R$145+'Lufttechnische Anlagen'!$R$148,0)</f>
        <v>0</v>
      </c>
      <c r="L143" s="698">
        <f>IF($B143='Lufttechnische Anlagen'!$U$150,'Lufttechnische Anlagen'!$J$150*'Lufttechnische Anlagen'!$F$23+'Lufttechnische Anlagen'!$J$150+'Lufttechnische Anlagen'!$R$150,0)</f>
        <v>0</v>
      </c>
      <c r="M143" s="698">
        <f>IF($B143='Lufttechnische Anlagen'!$U$154,'Lufttechnische Anlagen'!$J$154*'Lufttechnische Anlagen'!$F$23+'Lufttechnische Anlagen'!$J$154+'Lufttechnische Anlagen'!$L$178,0)</f>
        <v>0</v>
      </c>
      <c r="N143" s="698">
        <f>IF($B143='Lufttechnische Anlagen'!$U$179,'Lufttechnische Anlagen'!$J$179*'Lufttechnische Anlagen'!$F$23+'Lufttechnische Anlagen'!$J$179+'Lufttechnische Anlagen'!$L$193,0)</f>
        <v>0</v>
      </c>
      <c r="O143" s="698">
        <f>IF($B143='Lufttechnische Anlagen'!$U$194,'Lufttechnische Anlagen'!$J$194*'Lufttechnische Anlagen'!$F$23+'Lufttechnische Anlagen'!$J$194+'Lufttechnische Anlagen'!$L$235,0)</f>
        <v>0</v>
      </c>
      <c r="P143" s="698">
        <f>IF($B143='Lufttechnische Anlagen'!$U$236,'Lufttechnische Anlagen'!$J$236*'Lufttechnische Anlagen'!$F$23+'Lufttechnische Anlagen'!$J$236+'Lufttechnische Anlagen'!$L$245,0)</f>
        <v>0</v>
      </c>
      <c r="Q143" s="774">
        <f t="shared" ref="Q143" si="7">SUM(C143:P143)</f>
        <v>0</v>
      </c>
    </row>
    <row r="155" spans="2:4" x14ac:dyDescent="0.3">
      <c r="B155" s="705"/>
      <c r="C155" s="706"/>
      <c r="D155" s="707"/>
    </row>
  </sheetData>
  <mergeCells count="84">
    <mergeCell ref="B26:B44"/>
    <mergeCell ref="E26:E44"/>
    <mergeCell ref="H26:H44"/>
    <mergeCell ref="A2:A5"/>
    <mergeCell ref="C2:D2"/>
    <mergeCell ref="F2:G2"/>
    <mergeCell ref="I2:J2"/>
    <mergeCell ref="C3:D3"/>
    <mergeCell ref="F3:G3"/>
    <mergeCell ref="I3:J3"/>
    <mergeCell ref="C5:D5"/>
    <mergeCell ref="F5:G5"/>
    <mergeCell ref="I5:J5"/>
    <mergeCell ref="G50:H50"/>
    <mergeCell ref="J50:K50"/>
    <mergeCell ref="G52:G54"/>
    <mergeCell ref="G56:G60"/>
    <mergeCell ref="B62:E62"/>
    <mergeCell ref="G62:H62"/>
    <mergeCell ref="I62:J62"/>
    <mergeCell ref="K62:L62"/>
    <mergeCell ref="E76:E77"/>
    <mergeCell ref="B64:E64"/>
    <mergeCell ref="G64:H64"/>
    <mergeCell ref="J64:K64"/>
    <mergeCell ref="B65:E65"/>
    <mergeCell ref="G65:H65"/>
    <mergeCell ref="J65:K65"/>
    <mergeCell ref="G69:H69"/>
    <mergeCell ref="I69:J69"/>
    <mergeCell ref="K69:L69"/>
    <mergeCell ref="E70:E71"/>
    <mergeCell ref="D76:D80"/>
    <mergeCell ref="D70:D74"/>
    <mergeCell ref="I104:J104"/>
    <mergeCell ref="K104:L104"/>
    <mergeCell ref="B105:E105"/>
    <mergeCell ref="B85:E85"/>
    <mergeCell ref="B86:E86"/>
    <mergeCell ref="B87:E87"/>
    <mergeCell ref="B88:E88"/>
    <mergeCell ref="B93:E93"/>
    <mergeCell ref="B94:E94"/>
    <mergeCell ref="C110:D110"/>
    <mergeCell ref="E110:F110"/>
    <mergeCell ref="B95:E95"/>
    <mergeCell ref="B96:E96"/>
    <mergeCell ref="G104:H104"/>
    <mergeCell ref="C107:F107"/>
    <mergeCell ref="C108:D108"/>
    <mergeCell ref="E108:F108"/>
    <mergeCell ref="C109:D109"/>
    <mergeCell ref="E109:F109"/>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E132:F132"/>
    <mergeCell ref="C123:D123"/>
    <mergeCell ref="E123:F123"/>
    <mergeCell ref="C125:D125"/>
    <mergeCell ref="E125:F125"/>
    <mergeCell ref="C130:D130"/>
    <mergeCell ref="E130:F130"/>
  </mergeCells>
  <conditionalFormatting sqref="A6:A44">
    <cfRule type="colorScale" priority="7">
      <colorScale>
        <cfvo type="min"/>
        <cfvo type="percentile" val="50"/>
        <cfvo type="max"/>
        <color rgb="FF63BE7B"/>
        <color rgb="FFFFEB84"/>
        <color rgb="FFF8696B"/>
      </colorScale>
    </cfRule>
  </conditionalFormatting>
  <conditionalFormatting sqref="C6:C44">
    <cfRule type="colorScale" priority="6">
      <colorScale>
        <cfvo type="min"/>
        <cfvo type="percentile" val="50"/>
        <cfvo type="max"/>
        <color rgb="FF63BE7B"/>
        <color rgb="FFFFEB84"/>
        <color rgb="FFF8696B"/>
      </colorScale>
    </cfRule>
  </conditionalFormatting>
  <conditionalFormatting sqref="D6:D44">
    <cfRule type="colorScale" priority="5">
      <colorScale>
        <cfvo type="min"/>
        <cfvo type="percentile" val="50"/>
        <cfvo type="max"/>
        <color rgb="FF63BE7B"/>
        <color rgb="FFFFEB84"/>
        <color rgb="FFF8696B"/>
      </colorScale>
    </cfRule>
  </conditionalFormatting>
  <conditionalFormatting sqref="F6:F44">
    <cfRule type="colorScale" priority="4">
      <colorScale>
        <cfvo type="min"/>
        <cfvo type="percentile" val="50"/>
        <cfvo type="max"/>
        <color rgb="FF63BE7B"/>
        <color rgb="FFFFEB84"/>
        <color rgb="FFF8696B"/>
      </colorScale>
    </cfRule>
  </conditionalFormatting>
  <conditionalFormatting sqref="G6:G44">
    <cfRule type="colorScale" priority="3">
      <colorScale>
        <cfvo type="min"/>
        <cfvo type="percentile" val="50"/>
        <cfvo type="max"/>
        <color rgb="FF63BE7B"/>
        <color rgb="FFFFEB84"/>
        <color rgb="FFF8696B"/>
      </colorScale>
    </cfRule>
  </conditionalFormatting>
  <conditionalFormatting sqref="I6:I44">
    <cfRule type="colorScale" priority="2">
      <colorScale>
        <cfvo type="min"/>
        <cfvo type="percentile" val="50"/>
        <cfvo type="max"/>
        <color rgb="FF63BE7B"/>
        <color rgb="FFFFEB84"/>
        <color rgb="FFF8696B"/>
      </colorScale>
    </cfRule>
  </conditionalFormatting>
  <conditionalFormatting sqref="J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3D6A7-5B66-4D93-B365-B936827F15C2}">
  <sheetPr codeName="Tabelle10">
    <tabColor rgb="FFFFC000"/>
  </sheetPr>
  <dimension ref="A1:AK294"/>
  <sheetViews>
    <sheetView zoomScale="55" zoomScaleNormal="55" workbookViewId="0">
      <selection activeCell="G3" sqref="G3:L3"/>
    </sheetView>
  </sheetViews>
  <sheetFormatPr baseColWidth="10" defaultColWidth="11.44140625" defaultRowHeight="13.9" x14ac:dyDescent="0.25"/>
  <cols>
    <col min="1" max="1" width="9.21875" style="41" customWidth="1"/>
    <col min="2" max="21" width="9.21875" style="39" customWidth="1"/>
    <col min="22" max="22" width="9.21875" style="72" customWidth="1"/>
    <col min="23" max="28" width="11.44140625" style="72"/>
    <col min="29" max="31" width="11.44140625" style="68"/>
    <col min="32" max="16384" width="11.44140625" style="39"/>
  </cols>
  <sheetData>
    <row r="1" spans="1:34" x14ac:dyDescent="0.25">
      <c r="A1" s="493" t="str">
        <f>Überblick!X104</f>
        <v/>
      </c>
      <c r="B1" s="188" t="str">
        <f>IF(Überblick!B2=Überblick!L4,Starkstrom!Q1,Starkstrom!Q2)</f>
        <v>Honorarangebot - Starkstromanlagen</v>
      </c>
      <c r="Q1" s="185" t="s">
        <v>478</v>
      </c>
      <c r="T1" s="963" t="str">
        <f>'Hochbauplanung '!T1</f>
        <v>Version: 27.06.2023</v>
      </c>
      <c r="U1" s="963"/>
    </row>
    <row r="2" spans="1:34" x14ac:dyDescent="0.25">
      <c r="A2" s="491"/>
      <c r="Q2" s="185" t="s">
        <v>479</v>
      </c>
      <c r="R2" s="535" t="s">
        <v>110</v>
      </c>
      <c r="S2" s="1389" t="str">
        <f>IF(Überblick!Q2=0,"",Überblick!Q2)</f>
        <v/>
      </c>
      <c r="T2" s="1389"/>
      <c r="U2" s="1389"/>
    </row>
    <row r="3" spans="1:34" x14ac:dyDescent="0.25">
      <c r="A3" s="491" t="s">
        <v>112</v>
      </c>
      <c r="B3" s="40" t="s">
        <v>452</v>
      </c>
      <c r="F3" s="895"/>
      <c r="G3" s="883" t="s">
        <v>998</v>
      </c>
      <c r="H3" s="878"/>
      <c r="I3" s="878"/>
      <c r="J3" s="878"/>
      <c r="K3" s="878"/>
      <c r="L3" s="878"/>
      <c r="R3" s="535" t="s">
        <v>24</v>
      </c>
      <c r="S3" s="1389" t="str">
        <f>IF(Überblick!G29=0,"",Überblick!G29)</f>
        <v>Breite Strasse, 10178 Berlin-Mitte, zw. Neumannsgasse und Scharrenstrasse</v>
      </c>
      <c r="T3" s="1389"/>
      <c r="U3" s="1389"/>
    </row>
    <row r="4" spans="1:34" ht="14.55" thickBot="1" x14ac:dyDescent="0.3">
      <c r="A4" s="491"/>
      <c r="R4" s="535" t="s">
        <v>17</v>
      </c>
      <c r="S4" s="1389" t="str">
        <f>IF(Überblick!D19=0,"",Überblick!D19)</f>
        <v/>
      </c>
      <c r="T4" s="1389"/>
      <c r="U4" s="1389"/>
    </row>
    <row r="5" spans="1:3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34"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3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34" ht="14.55" thickBot="1" x14ac:dyDescent="0.3">
      <c r="A8" s="491"/>
      <c r="B8" s="1599" t="s">
        <v>366</v>
      </c>
      <c r="C8" s="1600"/>
      <c r="D8" s="1600"/>
      <c r="E8" s="1601"/>
      <c r="F8" s="1205">
        <f>H8*1.19</f>
        <v>0</v>
      </c>
      <c r="G8" s="1237"/>
      <c r="H8" s="1219"/>
      <c r="I8" s="1220"/>
      <c r="J8" s="1205">
        <f>L8*1.19</f>
        <v>0</v>
      </c>
      <c r="K8" s="1206"/>
      <c r="L8" s="1207"/>
      <c r="M8" s="1208"/>
      <c r="N8" s="1205">
        <f>P8*1.19</f>
        <v>0</v>
      </c>
      <c r="O8" s="1206"/>
      <c r="P8" s="1207"/>
      <c r="Q8" s="1208"/>
      <c r="R8" s="96">
        <f>H8+L8+P8</f>
        <v>0</v>
      </c>
      <c r="S8" s="96">
        <f>IF((R8+AB245)&gt;0,1,0)</f>
        <v>0</v>
      </c>
      <c r="T8" s="96"/>
      <c r="U8" s="96"/>
      <c r="V8" s="96"/>
      <c r="W8" s="96"/>
      <c r="X8" s="96"/>
    </row>
    <row r="9" spans="1:34" x14ac:dyDescent="0.25">
      <c r="A9" s="491"/>
      <c r="B9" s="49"/>
      <c r="C9" s="49"/>
      <c r="D9" s="49"/>
      <c r="E9" s="49"/>
      <c r="F9" s="1138" t="str">
        <f>IF(H8&gt;'Berechnung Starkstrom'!$A$25,$R$9,"")</f>
        <v/>
      </c>
      <c r="G9" s="1138"/>
      <c r="H9" s="1138"/>
      <c r="I9" s="1138"/>
      <c r="J9" s="1138" t="str">
        <f>IF(L8&gt;'Berechnung Starkstrom'!$A$25,$R$9,"")</f>
        <v/>
      </c>
      <c r="K9" s="1138"/>
      <c r="L9" s="1138"/>
      <c r="M9" s="1138"/>
      <c r="N9" s="1138" t="str">
        <f>IF(P8&gt;'Berechnung Starkstrom'!$A$25,$R$9,"")</f>
        <v/>
      </c>
      <c r="O9" s="1138"/>
      <c r="P9" s="1138"/>
      <c r="Q9" s="1138"/>
      <c r="R9" s="96" t="s">
        <v>124</v>
      </c>
      <c r="S9" s="96"/>
      <c r="T9" s="96"/>
      <c r="U9" s="96"/>
      <c r="V9" s="96"/>
      <c r="W9" s="96"/>
      <c r="X9" s="96"/>
      <c r="AF9" s="68"/>
      <c r="AG9" s="68"/>
      <c r="AH9" s="68"/>
    </row>
    <row r="10" spans="1:3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c r="AF10" s="68"/>
      <c r="AG10" s="68"/>
      <c r="AH10" s="68"/>
    </row>
    <row r="11" spans="1:3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c r="AF11" s="68"/>
      <c r="AG11" s="68"/>
      <c r="AH11" s="68"/>
    </row>
    <row r="12" spans="1:34" x14ac:dyDescent="0.25">
      <c r="A12" s="491"/>
      <c r="B12" s="39" t="s">
        <v>130</v>
      </c>
      <c r="R12" s="72"/>
      <c r="S12" s="72"/>
      <c r="T12" s="72"/>
      <c r="U12" s="72"/>
    </row>
    <row r="13" spans="1:34" x14ac:dyDescent="0.25">
      <c r="A13" s="491"/>
      <c r="B13" s="39" t="s">
        <v>131</v>
      </c>
      <c r="R13" s="72"/>
      <c r="S13" s="72"/>
      <c r="T13" s="72"/>
      <c r="U13" s="72"/>
    </row>
    <row r="14" spans="1:34" ht="14.55" thickBot="1" x14ac:dyDescent="0.3">
      <c r="A14" s="491"/>
      <c r="B14" s="40"/>
      <c r="G14" s="54"/>
      <c r="H14" s="41"/>
      <c r="I14" s="57"/>
      <c r="J14" s="54"/>
      <c r="K14" s="54"/>
      <c r="L14" s="57"/>
      <c r="M14" s="58"/>
      <c r="N14" s="58"/>
      <c r="O14" s="59"/>
      <c r="R14" s="72"/>
      <c r="S14" s="351"/>
      <c r="T14" s="96"/>
      <c r="U14" s="72"/>
    </row>
    <row r="15" spans="1:3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3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row>
    <row r="19" spans="1:24" ht="14.55" thickBot="1" x14ac:dyDescent="0.3">
      <c r="A19" s="491"/>
      <c r="B19" s="40"/>
      <c r="C19" s="40"/>
      <c r="D19" s="40"/>
      <c r="E19" s="69"/>
      <c r="F19" s="1596">
        <f>'Berechnung Starkstrom'!H105</f>
        <v>0</v>
      </c>
      <c r="G19" s="1597"/>
      <c r="H19" s="1597"/>
      <c r="I19" s="1598"/>
      <c r="J19" s="1596" t="str">
        <f>IF('Berechnung Starkstrom'!J105=0,"Kostenschätzung liegt noch nicht vor",'Berechnung Starkstrom'!J105)</f>
        <v>Kostenschätzung liegt noch nicht vor</v>
      </c>
      <c r="K19" s="1597"/>
      <c r="L19" s="1597"/>
      <c r="M19" s="1598"/>
      <c r="N19" s="1596" t="str">
        <f>IF('Berechnung Starkstrom'!L105=0,"Kostenberechnung liegt noch nicht vor",'Berechnung Starkstrom'!L105)</f>
        <v>Kostenberechnung liegt noch nicht vor</v>
      </c>
      <c r="O19" s="1597"/>
      <c r="P19" s="1597"/>
      <c r="Q19" s="1598"/>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0</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480</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37" ht="14.55" thickBot="1" x14ac:dyDescent="0.3">
      <c r="A34" s="1516"/>
      <c r="B34" s="1129"/>
      <c r="C34" s="1130"/>
      <c r="D34" s="1130"/>
      <c r="E34" s="1130"/>
      <c r="F34" s="1130"/>
      <c r="G34" s="1130"/>
      <c r="H34" s="1133"/>
      <c r="I34" s="1136"/>
      <c r="J34" s="1521"/>
      <c r="K34" s="1522"/>
      <c r="L34" s="176"/>
      <c r="M34" s="115"/>
      <c r="N34" s="115"/>
      <c r="O34" s="115"/>
      <c r="P34" s="116"/>
      <c r="Q34" s="116"/>
      <c r="R34" s="838"/>
      <c r="S34" s="117"/>
      <c r="T34" s="117"/>
      <c r="U34" s="118"/>
      <c r="V34" s="81"/>
      <c r="W34" s="81"/>
    </row>
    <row r="35" spans="1:37" ht="15" customHeight="1" thickBot="1" x14ac:dyDescent="0.3">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608"/>
      <c r="T35" s="1605" t="s">
        <v>156</v>
      </c>
      <c r="U35" s="1371" t="s">
        <v>157</v>
      </c>
      <c r="Y35" s="73" t="s">
        <v>5</v>
      </c>
      <c r="Z35" s="72" t="s">
        <v>374</v>
      </c>
      <c r="AA35" s="81"/>
      <c r="AB35" s="81"/>
      <c r="AC35" s="118"/>
      <c r="AF35" s="68"/>
      <c r="AG35" s="68"/>
      <c r="AH35" s="68"/>
      <c r="AI35" s="68"/>
      <c r="AJ35" s="68"/>
      <c r="AK35" s="68"/>
    </row>
    <row r="36" spans="1:37"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c r="AF36" s="68"/>
      <c r="AG36" s="68"/>
      <c r="AH36" s="68"/>
      <c r="AI36" s="68"/>
      <c r="AJ36" s="68"/>
      <c r="AK36" s="68"/>
    </row>
    <row r="37" spans="1:37"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c r="AF37" s="68"/>
      <c r="AG37" s="68"/>
      <c r="AH37" s="68"/>
      <c r="AI37" s="68"/>
      <c r="AJ37" s="68"/>
      <c r="AK37" s="68"/>
    </row>
    <row r="38" spans="1:37" ht="14.55" thickBot="1" x14ac:dyDescent="0.3">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149"/>
      <c r="AC38" s="119"/>
      <c r="AF38" s="68"/>
      <c r="AG38" s="68"/>
      <c r="AH38" s="68"/>
      <c r="AI38" s="68"/>
      <c r="AJ38" s="68"/>
      <c r="AK38" s="68"/>
    </row>
    <row r="39" spans="1:37" ht="15.95" customHeight="1" thickBot="1" x14ac:dyDescent="0.3">
      <c r="A39" s="1516"/>
      <c r="B39" s="1497" t="s">
        <v>375</v>
      </c>
      <c r="C39" s="1498"/>
      <c r="D39" s="1498"/>
      <c r="E39" s="1498"/>
      <c r="F39" s="1498"/>
      <c r="G39" s="1499"/>
      <c r="H39" s="1194" t="s">
        <v>100</v>
      </c>
      <c r="I39" s="1016">
        <f>Z54</f>
        <v>0</v>
      </c>
      <c r="J39" s="1027">
        <f>I35*I39</f>
        <v>0</v>
      </c>
      <c r="K39" s="1028"/>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78">
        <f>IF(Q39="ja",1,0)</f>
        <v>0</v>
      </c>
      <c r="AF39" s="68"/>
      <c r="AG39" s="68"/>
      <c r="AH39" s="68"/>
      <c r="AI39" s="68"/>
      <c r="AJ39" s="68"/>
      <c r="AK39" s="68"/>
    </row>
    <row r="40" spans="1:37" ht="15" customHeight="1"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78">
        <f t="shared" ref="AB40:AB103" si="0">IF(Q40="ja",1,0)</f>
        <v>0</v>
      </c>
      <c r="AF40" s="68"/>
      <c r="AG40" s="68"/>
      <c r="AH40" s="68"/>
      <c r="AI40" s="68"/>
      <c r="AJ40" s="68"/>
      <c r="AK40" s="68"/>
    </row>
    <row r="41" spans="1:37" ht="15" customHeight="1"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78">
        <f t="shared" si="0"/>
        <v>0</v>
      </c>
      <c r="AF41" s="68"/>
      <c r="AG41" s="68"/>
      <c r="AH41" s="68"/>
      <c r="AI41" s="68"/>
      <c r="AJ41" s="68"/>
      <c r="AK41" s="68"/>
    </row>
    <row r="42" spans="1:37" ht="15" customHeight="1" thickBot="1" x14ac:dyDescent="0.3">
      <c r="A42" s="1516"/>
      <c r="B42" s="1493" t="s">
        <v>377</v>
      </c>
      <c r="C42" s="1317"/>
      <c r="D42" s="1317"/>
      <c r="E42" s="1317"/>
      <c r="F42" s="1317"/>
      <c r="G42" s="1494"/>
      <c r="H42" s="982" t="s">
        <v>100</v>
      </c>
      <c r="I42" s="1017"/>
      <c r="J42" s="1029"/>
      <c r="K42" s="1030"/>
      <c r="L42" s="1544"/>
      <c r="M42" s="1545"/>
      <c r="N42" s="1545"/>
      <c r="O42" s="1545"/>
      <c r="P42" s="1545"/>
      <c r="Q42" s="978"/>
      <c r="R42" s="972"/>
      <c r="S42" s="973"/>
      <c r="T42" s="1543"/>
      <c r="U42" s="1337"/>
      <c r="Y42" s="74">
        <v>3.0000000000000001E-3</v>
      </c>
      <c r="Z42" s="77">
        <f>IF(H42="ja",Y42,0)</f>
        <v>0</v>
      </c>
      <c r="AA42" s="78"/>
      <c r="AB42" s="78">
        <f t="shared" si="0"/>
        <v>0</v>
      </c>
      <c r="AF42" s="68"/>
      <c r="AG42" s="68"/>
      <c r="AH42" s="68"/>
      <c r="AI42" s="68"/>
      <c r="AJ42" s="68"/>
      <c r="AK42" s="68"/>
    </row>
    <row r="43" spans="1:37" ht="15" customHeight="1"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78">
        <f t="shared" si="0"/>
        <v>0</v>
      </c>
      <c r="AF43" s="68"/>
      <c r="AG43" s="68"/>
      <c r="AH43" s="68"/>
      <c r="AI43" s="68"/>
      <c r="AJ43" s="68"/>
      <c r="AK43" s="68"/>
    </row>
    <row r="44" spans="1:37" ht="15.95" customHeight="1" thickBot="1" x14ac:dyDescent="0.3">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78">
        <f t="shared" si="0"/>
        <v>0</v>
      </c>
      <c r="AF44" s="68"/>
      <c r="AG44" s="68"/>
      <c r="AH44" s="68"/>
      <c r="AI44" s="68"/>
      <c r="AJ44" s="68"/>
      <c r="AK44" s="68"/>
    </row>
    <row r="45" spans="1:37" ht="15" customHeight="1" thickBot="1" x14ac:dyDescent="0.3">
      <c r="A45" s="1516"/>
      <c r="B45" s="1493" t="s">
        <v>171</v>
      </c>
      <c r="C45" s="1317"/>
      <c r="D45" s="1317"/>
      <c r="E45" s="1317"/>
      <c r="F45" s="1317"/>
      <c r="G45" s="1494"/>
      <c r="H45" s="1191" t="s">
        <v>100</v>
      </c>
      <c r="I45" s="1017"/>
      <c r="J45" s="1029"/>
      <c r="K45" s="1030"/>
      <c r="L45" s="1544"/>
      <c r="M45" s="1545"/>
      <c r="N45" s="1545"/>
      <c r="O45" s="1545"/>
      <c r="P45" s="1545"/>
      <c r="Q45" s="978"/>
      <c r="R45" s="972"/>
      <c r="S45" s="973"/>
      <c r="T45" s="1543"/>
      <c r="U45" s="1337"/>
      <c r="Y45" s="74">
        <v>2E-3</v>
      </c>
      <c r="Z45" s="77">
        <f>IF(H45="ja",Y45,0)</f>
        <v>0</v>
      </c>
      <c r="AA45" s="78"/>
      <c r="AB45" s="78">
        <f t="shared" si="0"/>
        <v>0</v>
      </c>
      <c r="AF45" s="68"/>
      <c r="AG45" s="68"/>
      <c r="AH45" s="68"/>
      <c r="AI45" s="68"/>
      <c r="AJ45" s="68"/>
      <c r="AK45" s="68"/>
    </row>
    <row r="46" spans="1:37" ht="15" customHeight="1"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78">
        <f t="shared" si="0"/>
        <v>0</v>
      </c>
      <c r="AF46" s="68"/>
      <c r="AG46" s="68"/>
      <c r="AH46" s="68"/>
      <c r="AI46" s="68"/>
      <c r="AJ46" s="68"/>
      <c r="AK46" s="68"/>
    </row>
    <row r="47" spans="1:37" ht="15.95" customHeight="1" thickBot="1" x14ac:dyDescent="0.3">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78">
        <f t="shared" si="0"/>
        <v>0</v>
      </c>
      <c r="AF47" s="68"/>
      <c r="AG47" s="68"/>
      <c r="AH47" s="68"/>
      <c r="AI47" s="68"/>
      <c r="AJ47" s="68"/>
      <c r="AK47" s="68"/>
    </row>
    <row r="48" spans="1:37" ht="15" customHeight="1"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78">
        <f t="shared" si="0"/>
        <v>0</v>
      </c>
      <c r="AF48" s="68"/>
      <c r="AG48" s="68"/>
      <c r="AH48" s="68"/>
      <c r="AI48" s="68"/>
      <c r="AJ48" s="68"/>
      <c r="AK48" s="68"/>
    </row>
    <row r="49" spans="1:37" ht="15" customHeight="1" thickBot="1" x14ac:dyDescent="0.3">
      <c r="A49" s="1516"/>
      <c r="B49" s="1493"/>
      <c r="C49" s="1317"/>
      <c r="D49" s="1317"/>
      <c r="E49" s="1317"/>
      <c r="F49" s="1317"/>
      <c r="G49" s="1494"/>
      <c r="H49" s="1191"/>
      <c r="I49" s="1017"/>
      <c r="J49" s="1029"/>
      <c r="K49" s="1030"/>
      <c r="L49" s="1532" t="s">
        <v>380</v>
      </c>
      <c r="M49" s="1533"/>
      <c r="N49" s="1533"/>
      <c r="O49" s="1533"/>
      <c r="P49" s="1533"/>
      <c r="Q49" s="329" t="s">
        <v>100</v>
      </c>
      <c r="R49" s="972"/>
      <c r="S49" s="973"/>
      <c r="T49" s="1543"/>
      <c r="U49" s="1337"/>
      <c r="V49" s="72">
        <f>IF(AND(Q49="ja",R49=""),1,0)</f>
        <v>0</v>
      </c>
      <c r="Y49" s="74"/>
      <c r="Z49" s="77"/>
      <c r="AA49" s="78"/>
      <c r="AB49" s="78">
        <f t="shared" si="0"/>
        <v>0</v>
      </c>
      <c r="AF49" s="68"/>
      <c r="AG49" s="68"/>
      <c r="AH49" s="68"/>
      <c r="AI49" s="68"/>
      <c r="AJ49" s="68"/>
      <c r="AK49" s="68"/>
    </row>
    <row r="50" spans="1:37" ht="15" customHeight="1" thickBot="1" x14ac:dyDescent="0.3">
      <c r="A50" s="1516"/>
      <c r="B50" s="1493"/>
      <c r="C50" s="1317"/>
      <c r="D50" s="1317"/>
      <c r="E50" s="1317"/>
      <c r="F50" s="1317"/>
      <c r="G50" s="1494"/>
      <c r="H50" s="1191"/>
      <c r="I50" s="1017"/>
      <c r="J50" s="1029"/>
      <c r="K50" s="1030"/>
      <c r="L50" s="1532" t="s">
        <v>381</v>
      </c>
      <c r="M50" s="1533"/>
      <c r="N50" s="1533"/>
      <c r="O50" s="1533"/>
      <c r="P50" s="1533"/>
      <c r="Q50" s="329" t="s">
        <v>100</v>
      </c>
      <c r="R50" s="972"/>
      <c r="S50" s="973"/>
      <c r="T50" s="1543"/>
      <c r="U50" s="1337"/>
      <c r="V50" s="72">
        <f>IF(AND(Q50="ja",R50=""),1,0)</f>
        <v>0</v>
      </c>
      <c r="Y50" s="74"/>
      <c r="Z50" s="77"/>
      <c r="AA50" s="78"/>
      <c r="AB50" s="78">
        <f t="shared" si="0"/>
        <v>0</v>
      </c>
      <c r="AF50" s="68"/>
      <c r="AG50" s="68"/>
      <c r="AH50" s="68"/>
      <c r="AI50" s="68"/>
      <c r="AJ50" s="68"/>
      <c r="AK50" s="68"/>
    </row>
    <row r="51" spans="1:37" ht="15.95" customHeight="1" thickBot="1" x14ac:dyDescent="0.3">
      <c r="A51" s="1516"/>
      <c r="B51" s="1493"/>
      <c r="C51" s="1317"/>
      <c r="D51" s="1317"/>
      <c r="E51" s="1317"/>
      <c r="F51" s="1317"/>
      <c r="G51" s="1494"/>
      <c r="H51" s="1191"/>
      <c r="I51" s="1017"/>
      <c r="J51" s="1029"/>
      <c r="K51" s="1030"/>
      <c r="L51" s="1544" t="s">
        <v>382</v>
      </c>
      <c r="M51" s="1545"/>
      <c r="N51" s="1545"/>
      <c r="O51" s="1545"/>
      <c r="P51" s="1545"/>
      <c r="Q51" s="978" t="s">
        <v>100</v>
      </c>
      <c r="R51" s="972"/>
      <c r="S51" s="973"/>
      <c r="T51" s="1543"/>
      <c r="U51" s="1337"/>
      <c r="V51" s="72">
        <f>IF(AND(Q51="ja",R51=""),1,0)</f>
        <v>0</v>
      </c>
      <c r="Y51" s="74"/>
      <c r="Z51" s="77"/>
      <c r="AA51" s="78"/>
      <c r="AB51" s="78">
        <f t="shared" si="0"/>
        <v>0</v>
      </c>
      <c r="AF51" s="68"/>
      <c r="AG51" s="68"/>
      <c r="AH51" s="68"/>
      <c r="AI51" s="68"/>
      <c r="AJ51" s="68"/>
      <c r="AK51" s="68"/>
    </row>
    <row r="52" spans="1:37" ht="15" customHeight="1"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78">
        <f t="shared" si="0"/>
        <v>0</v>
      </c>
      <c r="AF52" s="68"/>
      <c r="AG52" s="68"/>
      <c r="AH52" s="68"/>
      <c r="AI52" s="68"/>
      <c r="AJ52" s="68"/>
      <c r="AK52" s="68"/>
    </row>
    <row r="53" spans="1:37" ht="15.95" customHeight="1" thickBot="1" x14ac:dyDescent="0.3">
      <c r="A53" s="1516"/>
      <c r="B53" s="1592"/>
      <c r="C53" s="1593"/>
      <c r="D53" s="1593"/>
      <c r="E53" s="1593"/>
      <c r="F53" s="1593"/>
      <c r="G53" s="1594"/>
      <c r="H53" s="1192"/>
      <c r="I53" s="1018"/>
      <c r="J53" s="1031"/>
      <c r="K53" s="1032"/>
      <c r="L53" s="1546" t="s">
        <v>383</v>
      </c>
      <c r="M53" s="1547"/>
      <c r="N53" s="1547"/>
      <c r="O53" s="1547"/>
      <c r="P53" s="1547"/>
      <c r="Q53" s="330" t="s">
        <v>100</v>
      </c>
      <c r="R53" s="976"/>
      <c r="S53" s="977"/>
      <c r="T53" s="1543"/>
      <c r="U53" s="1337"/>
      <c r="V53" s="72">
        <f>IF(AND(Q53="ja",R53=""),1,0)</f>
        <v>0</v>
      </c>
      <c r="Y53" s="74"/>
      <c r="Z53" s="77"/>
      <c r="AA53" s="78"/>
      <c r="AB53" s="78">
        <f t="shared" si="0"/>
        <v>0</v>
      </c>
      <c r="AF53" s="68"/>
      <c r="AG53" s="68"/>
      <c r="AH53" s="68"/>
      <c r="AI53" s="68"/>
      <c r="AJ53" s="68"/>
      <c r="AK53" s="68"/>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0</v>
      </c>
      <c r="AA54" s="77"/>
      <c r="AB54" s="78">
        <f t="shared" si="0"/>
        <v>0</v>
      </c>
      <c r="AF54" s="68"/>
      <c r="AG54" s="68"/>
      <c r="AH54" s="68"/>
      <c r="AI54" s="68"/>
      <c r="AJ54" s="68"/>
      <c r="AK54" s="68"/>
    </row>
    <row r="55" spans="1:37" ht="15.95" customHeight="1" thickBot="1" x14ac:dyDescent="0.3">
      <c r="A55" s="1516"/>
      <c r="B55" s="1497" t="s">
        <v>384</v>
      </c>
      <c r="C55" s="1498"/>
      <c r="D55" s="1498"/>
      <c r="E55" s="1498"/>
      <c r="F55" s="1498"/>
      <c r="G55" s="1498"/>
      <c r="H55" s="1194" t="s">
        <v>100</v>
      </c>
      <c r="I55" s="1016">
        <f>Z78</f>
        <v>0</v>
      </c>
      <c r="J55" s="1027">
        <f>I35*I55</f>
        <v>0</v>
      </c>
      <c r="K55" s="1028"/>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0</v>
      </c>
      <c r="AA55" s="78"/>
      <c r="AB55" s="78">
        <f t="shared" si="0"/>
        <v>0</v>
      </c>
      <c r="AF55" s="68"/>
      <c r="AG55" s="68"/>
      <c r="AH55" s="68"/>
      <c r="AI55" s="68"/>
      <c r="AJ55" s="68"/>
      <c r="AK55" s="68"/>
    </row>
    <row r="56" spans="1:37" ht="15" customHeight="1" thickBot="1" x14ac:dyDescent="0.3">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78">
        <f t="shared" si="0"/>
        <v>0</v>
      </c>
      <c r="AF56" s="68"/>
      <c r="AG56" s="68"/>
      <c r="AH56" s="68"/>
      <c r="AI56" s="68"/>
      <c r="AJ56" s="68"/>
      <c r="AK56" s="68"/>
    </row>
    <row r="57" spans="1:37" s="70" customFormat="1" ht="15" customHeight="1" thickBot="1" x14ac:dyDescent="0.3">
      <c r="A57" s="1516"/>
      <c r="B57" s="1487" t="s">
        <v>385</v>
      </c>
      <c r="C57" s="1488"/>
      <c r="D57" s="1488"/>
      <c r="E57" s="1488"/>
      <c r="F57" s="1488"/>
      <c r="G57" s="1489"/>
      <c r="H57" s="1583" t="s">
        <v>100</v>
      </c>
      <c r="I57" s="1017"/>
      <c r="J57" s="1029"/>
      <c r="K57" s="1030"/>
      <c r="L57" s="984"/>
      <c r="M57" s="985"/>
      <c r="N57" s="985"/>
      <c r="O57" s="985"/>
      <c r="P57" s="985"/>
      <c r="Q57" s="1548"/>
      <c r="R57" s="972"/>
      <c r="S57" s="973"/>
      <c r="T57" s="1543"/>
      <c r="U57" s="1337"/>
      <c r="V57" s="339"/>
      <c r="W57" s="339"/>
      <c r="X57" s="339"/>
      <c r="Y57" s="340">
        <v>5.2499999999999998E-2</v>
      </c>
      <c r="Z57" s="77">
        <f>IF(H57="ja",Y57,0)</f>
        <v>0</v>
      </c>
      <c r="AA57" s="78"/>
      <c r="AB57" s="78">
        <f t="shared" si="0"/>
        <v>0</v>
      </c>
      <c r="AC57" s="341"/>
      <c r="AD57" s="341"/>
      <c r="AE57" s="341"/>
      <c r="AF57" s="341"/>
      <c r="AG57" s="341"/>
      <c r="AH57" s="341"/>
      <c r="AI57" s="341"/>
      <c r="AJ57" s="341"/>
      <c r="AK57" s="341"/>
    </row>
    <row r="58" spans="1:37" s="70" customFormat="1" ht="15" customHeight="1" thickBot="1" x14ac:dyDescent="0.3">
      <c r="A58" s="1516"/>
      <c r="B58" s="1493"/>
      <c r="C58" s="1317"/>
      <c r="D58" s="1317"/>
      <c r="E58" s="1317"/>
      <c r="F58" s="1317"/>
      <c r="G58" s="1494"/>
      <c r="H58" s="1584"/>
      <c r="I58" s="1017"/>
      <c r="J58" s="1029"/>
      <c r="K58" s="1030"/>
      <c r="L58" s="984"/>
      <c r="M58" s="985"/>
      <c r="N58" s="985"/>
      <c r="O58" s="985"/>
      <c r="P58" s="985"/>
      <c r="Q58" s="1548" t="s">
        <v>100</v>
      </c>
      <c r="R58" s="972"/>
      <c r="S58" s="973"/>
      <c r="T58" s="1543"/>
      <c r="U58" s="1337"/>
      <c r="V58" s="72">
        <f>IF(AND(Q58="ja",R58=""),1,0)</f>
        <v>0</v>
      </c>
      <c r="W58" s="339"/>
      <c r="X58" s="339"/>
      <c r="Y58" s="340"/>
      <c r="Z58" s="207"/>
      <c r="AA58" s="78"/>
      <c r="AB58" s="78">
        <f t="shared" si="0"/>
        <v>0</v>
      </c>
      <c r="AC58" s="341"/>
      <c r="AD58" s="341"/>
      <c r="AE58" s="341"/>
      <c r="AF58" s="341"/>
      <c r="AG58" s="341"/>
      <c r="AH58" s="341"/>
      <c r="AI58" s="341"/>
      <c r="AJ58" s="341"/>
      <c r="AK58" s="341"/>
    </row>
    <row r="59" spans="1:37" s="70" customFormat="1" ht="15" customHeight="1" thickBot="1" x14ac:dyDescent="0.3">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78">
        <f t="shared" si="0"/>
        <v>0</v>
      </c>
      <c r="AC59" s="341"/>
      <c r="AD59" s="341"/>
      <c r="AE59" s="341"/>
      <c r="AF59" s="341"/>
      <c r="AG59" s="341"/>
      <c r="AH59" s="341"/>
      <c r="AI59" s="341"/>
      <c r="AJ59" s="341"/>
      <c r="AK59" s="341"/>
    </row>
    <row r="60" spans="1:37" s="70" customFormat="1" ht="15" customHeight="1" thickBot="1" x14ac:dyDescent="0.3">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78">
        <f t="shared" si="0"/>
        <v>0</v>
      </c>
      <c r="AC60" s="341"/>
      <c r="AD60" s="341"/>
      <c r="AE60" s="341"/>
      <c r="AF60" s="341"/>
      <c r="AG60" s="341"/>
      <c r="AH60" s="341"/>
      <c r="AI60" s="341"/>
      <c r="AJ60" s="341"/>
      <c r="AK60" s="341"/>
    </row>
    <row r="61" spans="1:37" ht="15" customHeight="1" thickBot="1" x14ac:dyDescent="0.3">
      <c r="A61" s="1516"/>
      <c r="B61" s="1493"/>
      <c r="C61" s="1317"/>
      <c r="D61" s="1317"/>
      <c r="E61" s="1317"/>
      <c r="F61" s="1317"/>
      <c r="G61" s="1494"/>
      <c r="H61" s="1584"/>
      <c r="I61" s="1017"/>
      <c r="J61" s="1029"/>
      <c r="K61" s="1030"/>
      <c r="L61" s="984"/>
      <c r="M61" s="985"/>
      <c r="N61" s="985"/>
      <c r="O61" s="985"/>
      <c r="P61" s="985"/>
      <c r="Q61" s="1548" t="s">
        <v>100</v>
      </c>
      <c r="R61" s="972"/>
      <c r="S61" s="973"/>
      <c r="T61" s="1543"/>
      <c r="U61" s="1337"/>
      <c r="V61" s="72">
        <f>IF(AND(Q61="ja",R61=""),1,0)</f>
        <v>0</v>
      </c>
      <c r="Y61" s="340"/>
      <c r="Z61" s="77"/>
      <c r="AA61" s="78"/>
      <c r="AB61" s="78">
        <f t="shared" si="0"/>
        <v>0</v>
      </c>
      <c r="AF61" s="68"/>
      <c r="AG61" s="68"/>
      <c r="AH61" s="68"/>
      <c r="AI61" s="68"/>
      <c r="AJ61" s="68"/>
      <c r="AK61" s="68"/>
    </row>
    <row r="62" spans="1:37" ht="15" customHeight="1" thickBot="1" x14ac:dyDescent="0.3">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78">
        <f t="shared" si="0"/>
        <v>0</v>
      </c>
      <c r="AF62" s="68"/>
      <c r="AG62" s="68"/>
      <c r="AH62" s="68"/>
      <c r="AI62" s="68"/>
      <c r="AJ62" s="68"/>
      <c r="AK62" s="68"/>
    </row>
    <row r="63" spans="1:37" ht="15" customHeight="1" thickBot="1" x14ac:dyDescent="0.3">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78">
        <f t="shared" si="0"/>
        <v>0</v>
      </c>
      <c r="AF63" s="68"/>
      <c r="AG63" s="68"/>
      <c r="AH63" s="68"/>
      <c r="AI63" s="68"/>
      <c r="AJ63" s="68"/>
      <c r="AK63" s="68"/>
    </row>
    <row r="64" spans="1:37" ht="15" customHeight="1" thickBot="1" x14ac:dyDescent="0.3">
      <c r="A64" s="1516"/>
      <c r="B64" s="1490"/>
      <c r="C64" s="1491"/>
      <c r="D64" s="1491"/>
      <c r="E64" s="1491"/>
      <c r="F64" s="1491"/>
      <c r="G64" s="1492"/>
      <c r="H64" s="1585"/>
      <c r="I64" s="1017"/>
      <c r="J64" s="1029"/>
      <c r="K64" s="1030"/>
      <c r="L64" s="984"/>
      <c r="M64" s="985"/>
      <c r="N64" s="985"/>
      <c r="O64" s="985"/>
      <c r="P64" s="985"/>
      <c r="Q64" s="1548" t="s">
        <v>100</v>
      </c>
      <c r="R64" s="972"/>
      <c r="S64" s="973"/>
      <c r="T64" s="1543"/>
      <c r="U64" s="1337"/>
      <c r="V64" s="72">
        <f>IF(AND(Q64="ja",R64=""),1,0)</f>
        <v>0</v>
      </c>
      <c r="Y64" s="340"/>
      <c r="Z64" s="77"/>
      <c r="AA64" s="78"/>
      <c r="AB64" s="78">
        <f t="shared" si="0"/>
        <v>0</v>
      </c>
      <c r="AF64" s="68"/>
      <c r="AG64" s="68"/>
      <c r="AH64" s="68"/>
      <c r="AI64" s="68"/>
      <c r="AJ64" s="68"/>
      <c r="AK64" s="68"/>
    </row>
    <row r="65" spans="1:37" ht="15" customHeight="1" thickBot="1" x14ac:dyDescent="0.3">
      <c r="A65" s="1516"/>
      <c r="B65" s="1487" t="s">
        <v>386</v>
      </c>
      <c r="C65" s="1488"/>
      <c r="D65" s="1488"/>
      <c r="E65" s="1488"/>
      <c r="F65" s="1488"/>
      <c r="G65" s="1489"/>
      <c r="H65" s="981" t="s">
        <v>100</v>
      </c>
      <c r="I65" s="1017"/>
      <c r="J65" s="1029"/>
      <c r="K65" s="1030"/>
      <c r="L65" s="984"/>
      <c r="M65" s="985"/>
      <c r="N65" s="985"/>
      <c r="O65" s="985"/>
      <c r="P65" s="985"/>
      <c r="Q65" s="1548"/>
      <c r="R65" s="972"/>
      <c r="S65" s="973"/>
      <c r="T65" s="1543"/>
      <c r="U65" s="1337"/>
      <c r="V65" s="339"/>
      <c r="Y65" s="74">
        <v>0.01</v>
      </c>
      <c r="Z65" s="77">
        <f>IF(H65="ja",Y65,0)</f>
        <v>0</v>
      </c>
      <c r="AA65" s="78"/>
      <c r="AB65" s="78">
        <f t="shared" si="0"/>
        <v>0</v>
      </c>
      <c r="AF65" s="68"/>
      <c r="AG65" s="68"/>
      <c r="AH65" s="68"/>
      <c r="AI65" s="68"/>
      <c r="AJ65" s="68"/>
      <c r="AK65" s="68"/>
    </row>
    <row r="66" spans="1:37" ht="15" customHeight="1" thickBot="1" x14ac:dyDescent="0.3">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78">
        <f t="shared" si="0"/>
        <v>0</v>
      </c>
      <c r="AF66" s="68"/>
      <c r="AG66" s="68"/>
      <c r="AH66" s="68"/>
      <c r="AI66" s="68"/>
      <c r="AJ66" s="68"/>
      <c r="AK66" s="68"/>
    </row>
    <row r="67" spans="1:37" ht="15" customHeight="1" thickBot="1" x14ac:dyDescent="0.3">
      <c r="A67" s="1516"/>
      <c r="B67" s="1487" t="s">
        <v>387</v>
      </c>
      <c r="C67" s="1488"/>
      <c r="D67" s="1488"/>
      <c r="E67" s="1488"/>
      <c r="F67" s="1488"/>
      <c r="G67" s="1489"/>
      <c r="H67" s="981" t="s">
        <v>100</v>
      </c>
      <c r="I67" s="1017"/>
      <c r="J67" s="1029"/>
      <c r="K67" s="1030"/>
      <c r="L67" s="984"/>
      <c r="M67" s="985"/>
      <c r="N67" s="985"/>
      <c r="O67" s="985"/>
      <c r="P67" s="985"/>
      <c r="Q67" s="1548" t="s">
        <v>100</v>
      </c>
      <c r="R67" s="972"/>
      <c r="S67" s="973"/>
      <c r="T67" s="1543"/>
      <c r="U67" s="1337"/>
      <c r="V67" s="72">
        <f>IF(AND(Q67="ja",R67=""),1,0)</f>
        <v>0</v>
      </c>
      <c r="Y67" s="74">
        <v>8.0000000000000002E-3</v>
      </c>
      <c r="Z67" s="77">
        <f>IF(H67="ja",Y67,0)</f>
        <v>0</v>
      </c>
      <c r="AA67" s="78"/>
      <c r="AB67" s="78">
        <f t="shared" si="0"/>
        <v>0</v>
      </c>
      <c r="AF67" s="68"/>
      <c r="AG67" s="68"/>
      <c r="AH67" s="68"/>
      <c r="AI67" s="68"/>
      <c r="AJ67" s="68"/>
      <c r="AK67" s="68"/>
    </row>
    <row r="68" spans="1:37" ht="15" customHeight="1" thickBot="1" x14ac:dyDescent="0.3">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78">
        <f t="shared" si="0"/>
        <v>0</v>
      </c>
      <c r="AF68" s="68"/>
      <c r="AG68" s="68"/>
      <c r="AH68" s="68"/>
      <c r="AI68" s="68"/>
      <c r="AJ68" s="68"/>
      <c r="AK68" s="68"/>
    </row>
    <row r="69" spans="1:37" ht="15" customHeight="1" thickBot="1" x14ac:dyDescent="0.3">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78">
        <f t="shared" si="0"/>
        <v>0</v>
      </c>
      <c r="AF69" s="68"/>
      <c r="AG69" s="68"/>
      <c r="AH69" s="68"/>
      <c r="AI69" s="68"/>
      <c r="AJ69" s="68"/>
      <c r="AK69" s="68"/>
    </row>
    <row r="70" spans="1:37" ht="15" customHeight="1" thickBot="1" x14ac:dyDescent="0.3">
      <c r="A70" s="1516"/>
      <c r="B70" s="1490"/>
      <c r="C70" s="1491"/>
      <c r="D70" s="1491"/>
      <c r="E70" s="1491"/>
      <c r="F70" s="1491"/>
      <c r="G70" s="1492"/>
      <c r="H70" s="983"/>
      <c r="I70" s="1017"/>
      <c r="J70" s="1029"/>
      <c r="K70" s="1030"/>
      <c r="L70" s="984"/>
      <c r="M70" s="985"/>
      <c r="N70" s="985"/>
      <c r="O70" s="985"/>
      <c r="P70" s="985"/>
      <c r="Q70" s="1548" t="s">
        <v>100</v>
      </c>
      <c r="R70" s="972"/>
      <c r="S70" s="973"/>
      <c r="T70" s="1543"/>
      <c r="U70" s="1337"/>
      <c r="V70" s="72">
        <f>IF(AND(Q70="ja",R70=""),1,0)</f>
        <v>0</v>
      </c>
      <c r="Y70" s="74"/>
      <c r="Z70" s="77"/>
      <c r="AA70" s="78"/>
      <c r="AB70" s="78">
        <f t="shared" si="0"/>
        <v>0</v>
      </c>
      <c r="AF70" s="68"/>
      <c r="AG70" s="68"/>
      <c r="AH70" s="68"/>
      <c r="AI70" s="68"/>
      <c r="AJ70" s="68"/>
      <c r="AK70" s="68"/>
    </row>
    <row r="71" spans="1:37" ht="15" customHeight="1" thickBot="1" x14ac:dyDescent="0.3">
      <c r="A71" s="1516"/>
      <c r="B71" s="1487" t="s">
        <v>388</v>
      </c>
      <c r="C71" s="1488"/>
      <c r="D71" s="1488"/>
      <c r="E71" s="1488"/>
      <c r="F71" s="1488"/>
      <c r="G71" s="1489"/>
      <c r="H71" s="981" t="s">
        <v>100</v>
      </c>
      <c r="I71" s="1017"/>
      <c r="J71" s="1029"/>
      <c r="K71" s="1030"/>
      <c r="L71" s="984"/>
      <c r="M71" s="985"/>
      <c r="N71" s="985"/>
      <c r="O71" s="985"/>
      <c r="P71" s="985"/>
      <c r="Q71" s="1548"/>
      <c r="R71" s="972"/>
      <c r="S71" s="973"/>
      <c r="T71" s="1543"/>
      <c r="U71" s="1337"/>
      <c r="V71" s="339"/>
      <c r="Y71" s="74">
        <v>2E-3</v>
      </c>
      <c r="Z71" s="77">
        <f>IF(H71="ja",Y71,0)</f>
        <v>0</v>
      </c>
      <c r="AA71" s="78"/>
      <c r="AB71" s="78">
        <f t="shared" si="0"/>
        <v>0</v>
      </c>
      <c r="AF71" s="68"/>
      <c r="AG71" s="68"/>
      <c r="AH71" s="68"/>
      <c r="AI71" s="68"/>
      <c r="AJ71" s="68"/>
      <c r="AK71" s="68"/>
    </row>
    <row r="72" spans="1:37" ht="15" customHeight="1" thickBot="1" x14ac:dyDescent="0.3">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78">
        <f t="shared" si="0"/>
        <v>0</v>
      </c>
      <c r="AF72" s="68"/>
      <c r="AG72" s="68"/>
      <c r="AH72" s="68"/>
      <c r="AI72" s="68"/>
      <c r="AJ72" s="68"/>
      <c r="AK72" s="68"/>
    </row>
    <row r="73" spans="1:37" ht="15" customHeight="1" thickBot="1" x14ac:dyDescent="0.3">
      <c r="A73" s="1516"/>
      <c r="B73" s="1490"/>
      <c r="C73" s="1491"/>
      <c r="D73" s="1491"/>
      <c r="E73" s="1491"/>
      <c r="F73" s="1491"/>
      <c r="G73" s="1492"/>
      <c r="H73" s="983"/>
      <c r="I73" s="1017"/>
      <c r="J73" s="1029"/>
      <c r="K73" s="1030"/>
      <c r="L73" s="984"/>
      <c r="M73" s="985"/>
      <c r="N73" s="985"/>
      <c r="O73" s="985"/>
      <c r="P73" s="985"/>
      <c r="Q73" s="1548" t="s">
        <v>100</v>
      </c>
      <c r="R73" s="972"/>
      <c r="S73" s="973"/>
      <c r="T73" s="1543"/>
      <c r="U73" s="1337"/>
      <c r="V73" s="72">
        <f>IF(AND(Q73="ja",R73=""),1,0)</f>
        <v>0</v>
      </c>
      <c r="Y73" s="74"/>
      <c r="Z73" s="77"/>
      <c r="AA73" s="78"/>
      <c r="AB73" s="78">
        <f t="shared" si="0"/>
        <v>0</v>
      </c>
      <c r="AF73" s="68"/>
      <c r="AG73" s="68"/>
      <c r="AH73" s="68"/>
      <c r="AI73" s="68"/>
      <c r="AJ73" s="68"/>
      <c r="AK73" s="68"/>
    </row>
    <row r="74" spans="1:37" ht="15" customHeight="1" thickBot="1" x14ac:dyDescent="0.3">
      <c r="A74" s="1516"/>
      <c r="B74" s="1487" t="s">
        <v>389</v>
      </c>
      <c r="C74" s="1488"/>
      <c r="D74" s="1488"/>
      <c r="E74" s="1488"/>
      <c r="F74" s="1488"/>
      <c r="G74" s="1489"/>
      <c r="H74" s="981" t="s">
        <v>100</v>
      </c>
      <c r="I74" s="1017"/>
      <c r="J74" s="1029"/>
      <c r="K74" s="1030"/>
      <c r="L74" s="984"/>
      <c r="M74" s="985"/>
      <c r="N74" s="985"/>
      <c r="O74" s="985"/>
      <c r="P74" s="985"/>
      <c r="Q74" s="1548"/>
      <c r="R74" s="972"/>
      <c r="S74" s="973"/>
      <c r="T74" s="1543"/>
      <c r="U74" s="1337"/>
      <c r="Y74" s="74">
        <v>7.0000000000000001E-3</v>
      </c>
      <c r="Z74" s="77">
        <f>IF(H74="ja",Y74,0)</f>
        <v>0</v>
      </c>
      <c r="AA74" s="78"/>
      <c r="AB74" s="78">
        <f t="shared" si="0"/>
        <v>0</v>
      </c>
      <c r="AF74" s="68"/>
      <c r="AG74" s="68"/>
      <c r="AH74" s="68"/>
      <c r="AI74" s="68"/>
      <c r="AJ74" s="68"/>
      <c r="AK74" s="68"/>
    </row>
    <row r="75" spans="1:37" ht="15" customHeight="1" thickBot="1" x14ac:dyDescent="0.3">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78">
        <f t="shared" si="0"/>
        <v>0</v>
      </c>
      <c r="AF75" s="68"/>
      <c r="AG75" s="68"/>
      <c r="AH75" s="68"/>
      <c r="AI75" s="68"/>
      <c r="AJ75" s="68"/>
      <c r="AK75" s="68"/>
    </row>
    <row r="76" spans="1:37" ht="15" customHeight="1" thickBot="1" x14ac:dyDescent="0.3">
      <c r="A76" s="1516"/>
      <c r="B76" s="1487" t="s">
        <v>171</v>
      </c>
      <c r="C76" s="1488"/>
      <c r="D76" s="1488"/>
      <c r="E76" s="1488"/>
      <c r="F76" s="1488"/>
      <c r="G76" s="1489"/>
      <c r="H76" s="981" t="s">
        <v>100</v>
      </c>
      <c r="I76" s="1017"/>
      <c r="J76" s="1029"/>
      <c r="K76" s="1030"/>
      <c r="L76" s="1539"/>
      <c r="M76" s="1540"/>
      <c r="N76" s="1540"/>
      <c r="O76" s="1540"/>
      <c r="P76" s="1540"/>
      <c r="Q76" s="1548" t="s">
        <v>100</v>
      </c>
      <c r="R76" s="972"/>
      <c r="S76" s="973"/>
      <c r="T76" s="1543"/>
      <c r="U76" s="1337"/>
      <c r="V76" s="72">
        <f>IF(AND(Q76="ja",R76=""),1,0)</f>
        <v>0</v>
      </c>
      <c r="Y76" s="74">
        <v>2.5000000000000001E-3</v>
      </c>
      <c r="Z76" s="77">
        <f>IF(H76="ja",Y76,0)</f>
        <v>0</v>
      </c>
      <c r="AA76" s="78"/>
      <c r="AB76" s="78">
        <f t="shared" si="0"/>
        <v>0</v>
      </c>
      <c r="AF76" s="68"/>
      <c r="AG76" s="68"/>
      <c r="AH76" s="68"/>
      <c r="AI76" s="68"/>
      <c r="AJ76" s="68"/>
      <c r="AK76" s="68"/>
    </row>
    <row r="77" spans="1:37" ht="15" customHeight="1" thickBot="1" x14ac:dyDescent="0.3">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78">
        <f t="shared" si="0"/>
        <v>0</v>
      </c>
      <c r="AF77" s="68"/>
      <c r="AG77" s="68"/>
      <c r="AH77" s="68"/>
      <c r="AI77" s="68"/>
      <c r="AJ77" s="68"/>
      <c r="AK77" s="68"/>
    </row>
    <row r="78" spans="1:37" ht="15.95" customHeight="1" thickBot="1" x14ac:dyDescent="0.3">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552"/>
      <c r="S78" s="1553"/>
      <c r="T78" s="1567"/>
      <c r="U78" s="1610"/>
      <c r="Y78" s="74"/>
      <c r="Z78" s="152">
        <f>SUM(Z55:Z76)</f>
        <v>0</v>
      </c>
      <c r="AA78" s="77"/>
      <c r="AB78" s="78">
        <f t="shared" si="0"/>
        <v>0</v>
      </c>
      <c r="AF78" s="68"/>
      <c r="AG78" s="68"/>
      <c r="AH78" s="68"/>
      <c r="AI78" s="68"/>
      <c r="AJ78" s="68"/>
      <c r="AK78" s="68"/>
    </row>
    <row r="79" spans="1:37" ht="14.55" thickBot="1" x14ac:dyDescent="0.3">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78">
        <f t="shared" si="0"/>
        <v>0</v>
      </c>
      <c r="AF79" s="68"/>
      <c r="AG79" s="68"/>
      <c r="AH79" s="68"/>
      <c r="AI79" s="68"/>
      <c r="AJ79" s="68"/>
      <c r="AK79" s="68"/>
    </row>
    <row r="80" spans="1:37" ht="14.55" thickBot="1" x14ac:dyDescent="0.3">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78">
        <f t="shared" si="0"/>
        <v>0</v>
      </c>
      <c r="AF80" s="68"/>
      <c r="AG80" s="68"/>
      <c r="AH80" s="68"/>
      <c r="AI80" s="68"/>
      <c r="AJ80" s="68"/>
      <c r="AK80" s="68"/>
    </row>
    <row r="81" spans="1:37"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78">
        <f t="shared" si="0"/>
        <v>0</v>
      </c>
      <c r="AF81" s="68"/>
      <c r="AG81" s="68"/>
      <c r="AH81" s="68"/>
      <c r="AI81" s="68"/>
      <c r="AJ81" s="68"/>
      <c r="AK81" s="68"/>
    </row>
    <row r="82" spans="1:37" ht="15" customHeight="1" thickBot="1" x14ac:dyDescent="0.3">
      <c r="A82" s="1516"/>
      <c r="B82" s="1497" t="s">
        <v>391</v>
      </c>
      <c r="C82" s="1498"/>
      <c r="D82" s="1498"/>
      <c r="E82" s="1498"/>
      <c r="F82" s="1498"/>
      <c r="G82" s="1499"/>
      <c r="H82" s="1194" t="s">
        <v>100</v>
      </c>
      <c r="I82" s="1016">
        <f>Z115</f>
        <v>0</v>
      </c>
      <c r="J82" s="1027">
        <f>I78*I82</f>
        <v>0</v>
      </c>
      <c r="K82" s="1028"/>
      <c r="L82" s="987" t="s">
        <v>392</v>
      </c>
      <c r="M82" s="988"/>
      <c r="N82" s="988"/>
      <c r="O82" s="988"/>
      <c r="P82" s="988"/>
      <c r="Q82" s="1548" t="s">
        <v>100</v>
      </c>
      <c r="R82" s="972"/>
      <c r="S82" s="973"/>
      <c r="T82" s="1257" t="str">
        <f>IFERROR(IF((VLOOKUP(U82,Überblick!$M$125:$N$133,2))="ja","ja","nein"),"")</f>
        <v/>
      </c>
      <c r="U82" s="1337"/>
      <c r="V82" s="72">
        <f>IF(AND(Q82="ja",R82=""),1,0)</f>
        <v>0</v>
      </c>
      <c r="Y82" s="74">
        <v>5.5E-2</v>
      </c>
      <c r="Z82" s="77">
        <f>IF(H82="ja",Y82,0)</f>
        <v>0</v>
      </c>
      <c r="AA82" s="78"/>
      <c r="AB82" s="78">
        <f t="shared" si="0"/>
        <v>0</v>
      </c>
      <c r="AF82" s="68"/>
      <c r="AG82" s="68"/>
      <c r="AH82" s="68"/>
      <c r="AI82" s="68"/>
      <c r="AJ82" s="68"/>
      <c r="AK82" s="68"/>
    </row>
    <row r="83" spans="1:37" ht="15" customHeight="1" thickBot="1" x14ac:dyDescent="0.3">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78">
        <f t="shared" si="0"/>
        <v>0</v>
      </c>
      <c r="AF83" s="68"/>
      <c r="AG83" s="68"/>
      <c r="AH83" s="68"/>
      <c r="AI83" s="68"/>
      <c r="AJ83" s="68"/>
      <c r="AK83" s="68"/>
    </row>
    <row r="84" spans="1:37" ht="15" customHeight="1" thickBot="1" x14ac:dyDescent="0.3">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78">
        <f t="shared" si="0"/>
        <v>0</v>
      </c>
      <c r="AF84" s="68"/>
      <c r="AG84" s="68"/>
      <c r="AH84" s="68"/>
      <c r="AI84" s="68"/>
      <c r="AJ84" s="68"/>
      <c r="AK84" s="68"/>
    </row>
    <row r="85" spans="1:37" ht="15" customHeight="1" thickBot="1" x14ac:dyDescent="0.3">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78">
        <f t="shared" si="0"/>
        <v>0</v>
      </c>
      <c r="AF85" s="68"/>
      <c r="AG85" s="68"/>
      <c r="AH85" s="68"/>
      <c r="AI85" s="68"/>
      <c r="AJ85" s="68"/>
      <c r="AK85" s="68"/>
    </row>
    <row r="86" spans="1:37" ht="15" customHeight="1" thickBot="1" x14ac:dyDescent="0.3">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78">
        <f t="shared" si="0"/>
        <v>0</v>
      </c>
      <c r="AF86" s="68"/>
      <c r="AG86" s="68"/>
      <c r="AH86" s="68"/>
      <c r="AI86" s="68"/>
      <c r="AJ86" s="68"/>
      <c r="AK86" s="68"/>
    </row>
    <row r="87" spans="1:37" ht="15" customHeight="1" thickBot="1" x14ac:dyDescent="0.3">
      <c r="A87" s="1516"/>
      <c r="B87" s="1103" t="s">
        <v>394</v>
      </c>
      <c r="C87" s="1104"/>
      <c r="D87" s="1104"/>
      <c r="E87" s="1104"/>
      <c r="F87" s="1104"/>
      <c r="G87" s="1105"/>
      <c r="H87" s="314" t="s">
        <v>100</v>
      </c>
      <c r="I87" s="1017"/>
      <c r="J87" s="1029"/>
      <c r="K87" s="1030"/>
      <c r="L87" s="984"/>
      <c r="M87" s="985"/>
      <c r="N87" s="985"/>
      <c r="O87" s="985"/>
      <c r="P87" s="985"/>
      <c r="Q87" s="1548"/>
      <c r="R87" s="972"/>
      <c r="S87" s="973"/>
      <c r="T87" s="1258"/>
      <c r="U87" s="1337"/>
      <c r="Y87" s="74">
        <v>2.5000000000000001E-3</v>
      </c>
      <c r="Z87" s="77">
        <f>IF(H87="ja",Y87,0)</f>
        <v>0</v>
      </c>
      <c r="AA87" s="78"/>
      <c r="AB87" s="78">
        <f t="shared" si="0"/>
        <v>0</v>
      </c>
      <c r="AF87" s="68"/>
      <c r="AG87" s="68"/>
      <c r="AH87" s="68"/>
      <c r="AI87" s="68"/>
      <c r="AJ87" s="68"/>
      <c r="AK87" s="68"/>
    </row>
    <row r="88" spans="1:37" ht="15" customHeight="1" thickBot="1" x14ac:dyDescent="0.3">
      <c r="A88" s="1516"/>
      <c r="B88" s="1487" t="s">
        <v>395</v>
      </c>
      <c r="C88" s="1488"/>
      <c r="D88" s="1488"/>
      <c r="E88" s="1488"/>
      <c r="F88" s="1488"/>
      <c r="G88" s="1489"/>
      <c r="H88" s="981" t="s">
        <v>100</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0</v>
      </c>
      <c r="AA88" s="78"/>
      <c r="AB88" s="78">
        <f t="shared" si="0"/>
        <v>0</v>
      </c>
      <c r="AF88" s="68"/>
      <c r="AG88" s="68"/>
      <c r="AH88" s="68"/>
      <c r="AI88" s="68"/>
      <c r="AJ88" s="68"/>
      <c r="AK88" s="68"/>
    </row>
    <row r="89" spans="1:37" ht="15" customHeight="1" thickBot="1" x14ac:dyDescent="0.3">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78">
        <f t="shared" si="0"/>
        <v>0</v>
      </c>
      <c r="AF89" s="68"/>
      <c r="AG89" s="68"/>
      <c r="AH89" s="68"/>
      <c r="AI89" s="68"/>
      <c r="AJ89" s="68"/>
      <c r="AK89" s="68"/>
    </row>
    <row r="90" spans="1:37" ht="15" customHeight="1" thickBot="1" x14ac:dyDescent="0.3">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78">
        <f t="shared" si="0"/>
        <v>0</v>
      </c>
      <c r="AF90" s="68"/>
      <c r="AG90" s="68"/>
      <c r="AH90" s="68"/>
      <c r="AI90" s="68"/>
      <c r="AJ90" s="68"/>
      <c r="AK90" s="68"/>
    </row>
    <row r="91" spans="1:37" ht="15" customHeight="1" thickBot="1" x14ac:dyDescent="0.3">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78">
        <f t="shared" si="0"/>
        <v>0</v>
      </c>
      <c r="AF91" s="68"/>
      <c r="AG91" s="68"/>
      <c r="AH91" s="68"/>
      <c r="AI91" s="68"/>
      <c r="AJ91" s="68"/>
      <c r="AK91" s="68"/>
    </row>
    <row r="92" spans="1:37" ht="15" customHeight="1" thickBot="1" x14ac:dyDescent="0.3">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78">
        <f t="shared" si="0"/>
        <v>0</v>
      </c>
      <c r="AF92" s="68"/>
      <c r="AG92" s="68"/>
      <c r="AH92" s="68"/>
      <c r="AI92" s="68"/>
      <c r="AJ92" s="68"/>
      <c r="AK92" s="68"/>
    </row>
    <row r="93" spans="1:37" ht="15" customHeight="1" thickBot="1" x14ac:dyDescent="0.3">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78">
        <f t="shared" si="0"/>
        <v>0</v>
      </c>
      <c r="AF93" s="68"/>
      <c r="AG93" s="68"/>
      <c r="AH93" s="68"/>
      <c r="AI93" s="68"/>
      <c r="AJ93" s="68"/>
      <c r="AK93" s="68"/>
    </row>
    <row r="94" spans="1:37" ht="15" customHeight="1" thickBot="1" x14ac:dyDescent="0.3">
      <c r="A94" s="1516"/>
      <c r="B94" s="1493"/>
      <c r="C94" s="1317"/>
      <c r="D94" s="1317"/>
      <c r="E94" s="1317"/>
      <c r="F94" s="1317"/>
      <c r="G94" s="1494"/>
      <c r="H94" s="982"/>
      <c r="I94" s="1017"/>
      <c r="J94" s="1029"/>
      <c r="K94" s="1030"/>
      <c r="L94" s="984" t="s">
        <v>192</v>
      </c>
      <c r="M94" s="985"/>
      <c r="N94" s="985"/>
      <c r="O94" s="985"/>
      <c r="P94" s="985"/>
      <c r="Q94" s="1548" t="s">
        <v>100</v>
      </c>
      <c r="R94" s="972"/>
      <c r="S94" s="973"/>
      <c r="T94" s="1258"/>
      <c r="U94" s="1337"/>
      <c r="V94" s="72">
        <f>IF(AND(Q94="ja",R94=""),1,0)</f>
        <v>0</v>
      </c>
      <c r="Y94" s="74"/>
      <c r="Z94" s="77"/>
      <c r="AA94" s="78"/>
      <c r="AB94" s="78">
        <f t="shared" si="0"/>
        <v>0</v>
      </c>
      <c r="AF94" s="68"/>
      <c r="AG94" s="68"/>
      <c r="AH94" s="68"/>
      <c r="AI94" s="68"/>
      <c r="AJ94" s="68"/>
      <c r="AK94" s="68"/>
    </row>
    <row r="95" spans="1:37" ht="15" customHeight="1" thickBot="1" x14ac:dyDescent="0.3">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78">
        <f t="shared" si="0"/>
        <v>0</v>
      </c>
      <c r="AF95" s="68"/>
      <c r="AG95" s="68"/>
      <c r="AH95" s="68"/>
      <c r="AI95" s="68"/>
      <c r="AJ95" s="68"/>
      <c r="AK95" s="68"/>
    </row>
    <row r="96" spans="1:37" ht="15" customHeight="1" thickBot="1" x14ac:dyDescent="0.3">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78">
        <f t="shared" si="0"/>
        <v>0</v>
      </c>
      <c r="AF96" s="68"/>
      <c r="AG96" s="68"/>
      <c r="AH96" s="68"/>
      <c r="AI96" s="68"/>
      <c r="AJ96" s="68"/>
      <c r="AK96" s="68"/>
    </row>
    <row r="97" spans="1:37" ht="15" customHeight="1" thickBot="1" x14ac:dyDescent="0.3">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78">
        <f t="shared" si="0"/>
        <v>0</v>
      </c>
      <c r="AF97" s="68"/>
      <c r="AG97" s="68"/>
      <c r="AH97" s="68"/>
      <c r="AI97" s="68"/>
      <c r="AJ97" s="68"/>
      <c r="AK97" s="68"/>
    </row>
    <row r="98" spans="1:37" ht="15" customHeight="1" thickBot="1" x14ac:dyDescent="0.3">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78">
        <f t="shared" si="0"/>
        <v>0</v>
      </c>
      <c r="AF98" s="68"/>
      <c r="AG98" s="68"/>
      <c r="AH98" s="68"/>
      <c r="AI98" s="68"/>
      <c r="AJ98" s="68"/>
      <c r="AK98" s="68"/>
    </row>
    <row r="99" spans="1:37" ht="15" customHeight="1" thickBot="1" x14ac:dyDescent="0.3">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78">
        <f t="shared" si="0"/>
        <v>0</v>
      </c>
      <c r="AF99" s="68"/>
      <c r="AG99" s="68"/>
      <c r="AH99" s="68"/>
      <c r="AI99" s="68"/>
      <c r="AJ99" s="68"/>
      <c r="AK99" s="68"/>
    </row>
    <row r="100" spans="1:37" ht="15" customHeight="1" thickBot="1" x14ac:dyDescent="0.3">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78">
        <f t="shared" si="0"/>
        <v>0</v>
      </c>
      <c r="AF100" s="68"/>
      <c r="AG100" s="68"/>
      <c r="AH100" s="68"/>
      <c r="AI100" s="68"/>
      <c r="AJ100" s="68"/>
      <c r="AK100" s="68"/>
    </row>
    <row r="101" spans="1:37" ht="15" customHeight="1" thickBot="1" x14ac:dyDescent="0.3">
      <c r="A101" s="1516"/>
      <c r="B101" s="1487" t="s">
        <v>398</v>
      </c>
      <c r="C101" s="1488"/>
      <c r="D101" s="1488"/>
      <c r="E101" s="1488"/>
      <c r="F101" s="1488"/>
      <c r="G101" s="1489"/>
      <c r="H101" s="981" t="s">
        <v>100</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0</v>
      </c>
      <c r="AA101" s="78"/>
      <c r="AB101" s="78">
        <f t="shared" si="0"/>
        <v>0</v>
      </c>
      <c r="AF101" s="68"/>
      <c r="AG101" s="68"/>
      <c r="AH101" s="68"/>
      <c r="AI101" s="68"/>
      <c r="AJ101" s="68"/>
      <c r="AK101" s="68"/>
    </row>
    <row r="102" spans="1:37" ht="15" customHeight="1" thickBot="1" x14ac:dyDescent="0.3">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78">
        <f t="shared" si="0"/>
        <v>0</v>
      </c>
      <c r="AF102" s="68"/>
      <c r="AG102" s="68"/>
      <c r="AH102" s="68"/>
      <c r="AI102" s="68"/>
      <c r="AJ102" s="68"/>
      <c r="AK102" s="68"/>
    </row>
    <row r="103" spans="1:37" ht="15" customHeight="1" thickBot="1" x14ac:dyDescent="0.3">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78">
        <f t="shared" si="0"/>
        <v>0</v>
      </c>
      <c r="AF103" s="68"/>
      <c r="AG103" s="68"/>
      <c r="AH103" s="68"/>
      <c r="AI103" s="68"/>
      <c r="AJ103" s="68"/>
      <c r="AK103" s="68"/>
    </row>
    <row r="104" spans="1:37" ht="15" customHeight="1" thickBot="1" x14ac:dyDescent="0.3">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78">
        <f t="shared" ref="AB104:AB167" si="1">IF(Q104="ja",1,0)</f>
        <v>0</v>
      </c>
      <c r="AF104" s="68"/>
      <c r="AG104" s="68"/>
      <c r="AH104" s="68"/>
      <c r="AI104" s="68"/>
      <c r="AJ104" s="68"/>
      <c r="AK104" s="68"/>
    </row>
    <row r="105" spans="1:37" ht="15" customHeight="1" thickBot="1" x14ac:dyDescent="0.3">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78">
        <f t="shared" si="1"/>
        <v>0</v>
      </c>
      <c r="AF105" s="68"/>
      <c r="AG105" s="68"/>
      <c r="AH105" s="68"/>
      <c r="AI105" s="68"/>
      <c r="AJ105" s="68"/>
      <c r="AK105" s="68"/>
    </row>
    <row r="106" spans="1:37" ht="15" customHeight="1" thickBot="1" x14ac:dyDescent="0.3">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78">
        <f t="shared" si="1"/>
        <v>0</v>
      </c>
      <c r="AF106" s="68"/>
      <c r="AG106" s="68"/>
      <c r="AH106" s="68"/>
      <c r="AI106" s="68"/>
      <c r="AJ106" s="68"/>
      <c r="AK106" s="68"/>
    </row>
    <row r="107" spans="1:37" ht="15" customHeight="1" thickBot="1" x14ac:dyDescent="0.3">
      <c r="A107" s="1516"/>
      <c r="B107" s="1487" t="s">
        <v>399</v>
      </c>
      <c r="C107" s="1488"/>
      <c r="D107" s="1488"/>
      <c r="E107" s="1488"/>
      <c r="F107" s="1488"/>
      <c r="G107" s="1489"/>
      <c r="H107" s="981" t="s">
        <v>100</v>
      </c>
      <c r="I107" s="1017"/>
      <c r="J107" s="1029"/>
      <c r="K107" s="1030"/>
      <c r="L107" s="984"/>
      <c r="M107" s="985"/>
      <c r="N107" s="985"/>
      <c r="O107" s="985"/>
      <c r="P107" s="985"/>
      <c r="Q107" s="1548" t="s">
        <v>100</v>
      </c>
      <c r="R107" s="972"/>
      <c r="S107" s="973"/>
      <c r="T107" s="1258"/>
      <c r="U107" s="1337"/>
      <c r="V107" s="72">
        <f>IF(AND(Q107="ja",R107=""),1,0)</f>
        <v>0</v>
      </c>
      <c r="Y107" s="74">
        <v>1.5E-3</v>
      </c>
      <c r="Z107" s="77">
        <f>IF(H107="ja",Y107,0)</f>
        <v>0</v>
      </c>
      <c r="AA107" s="78"/>
      <c r="AB107" s="78">
        <f t="shared" si="1"/>
        <v>0</v>
      </c>
      <c r="AF107" s="68"/>
      <c r="AG107" s="68"/>
      <c r="AH107" s="68"/>
      <c r="AI107" s="68"/>
      <c r="AJ107" s="68"/>
      <c r="AK107" s="68"/>
    </row>
    <row r="108" spans="1:37" ht="15" customHeight="1" thickBot="1" x14ac:dyDescent="0.3">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78">
        <f t="shared" si="1"/>
        <v>0</v>
      </c>
      <c r="AF108" s="68"/>
      <c r="AG108" s="68"/>
      <c r="AH108" s="68"/>
      <c r="AI108" s="68"/>
      <c r="AJ108" s="68"/>
      <c r="AK108" s="68"/>
    </row>
    <row r="109" spans="1:37" ht="15" customHeight="1" thickBot="1" x14ac:dyDescent="0.3">
      <c r="A109" s="1516"/>
      <c r="B109" s="1487" t="s">
        <v>400</v>
      </c>
      <c r="C109" s="1488"/>
      <c r="D109" s="1488"/>
      <c r="E109" s="1488"/>
      <c r="F109" s="1488"/>
      <c r="G109" s="1489"/>
      <c r="H109" s="981" t="s">
        <v>100</v>
      </c>
      <c r="I109" s="1017"/>
      <c r="J109" s="1029"/>
      <c r="K109" s="1030"/>
      <c r="L109" s="984"/>
      <c r="M109" s="985"/>
      <c r="N109" s="985"/>
      <c r="O109" s="985"/>
      <c r="P109" s="985"/>
      <c r="Q109" s="1548"/>
      <c r="R109" s="972"/>
      <c r="S109" s="973"/>
      <c r="T109" s="1258"/>
      <c r="U109" s="1337"/>
      <c r="V109" s="339"/>
      <c r="Y109" s="74">
        <v>6.4999999999999997E-3</v>
      </c>
      <c r="Z109" s="77">
        <f>IF(H109="ja",Y109,0)</f>
        <v>0</v>
      </c>
      <c r="AA109" s="78"/>
      <c r="AB109" s="78">
        <f t="shared" si="1"/>
        <v>0</v>
      </c>
      <c r="AF109" s="68"/>
      <c r="AG109" s="68"/>
      <c r="AH109" s="68"/>
      <c r="AI109" s="68"/>
      <c r="AJ109" s="68"/>
      <c r="AK109" s="68"/>
    </row>
    <row r="110" spans="1:37" ht="15" customHeight="1" thickBot="1" x14ac:dyDescent="0.3">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78">
        <f t="shared" si="1"/>
        <v>0</v>
      </c>
      <c r="AF110" s="68"/>
      <c r="AG110" s="68"/>
      <c r="AH110" s="68"/>
      <c r="AI110" s="68"/>
      <c r="AJ110" s="68"/>
      <c r="AK110" s="68"/>
    </row>
    <row r="111" spans="1:37" ht="15" customHeight="1" thickBot="1" x14ac:dyDescent="0.3">
      <c r="A111" s="1516"/>
      <c r="B111" s="1487" t="s">
        <v>401</v>
      </c>
      <c r="C111" s="1488"/>
      <c r="D111" s="1488"/>
      <c r="E111" s="1488"/>
      <c r="F111" s="1488"/>
      <c r="G111" s="1489"/>
      <c r="H111" s="981" t="s">
        <v>100</v>
      </c>
      <c r="I111" s="1017"/>
      <c r="J111" s="1029"/>
      <c r="K111" s="1030"/>
      <c r="L111" s="984"/>
      <c r="M111" s="985"/>
      <c r="N111" s="985"/>
      <c r="O111" s="985"/>
      <c r="P111" s="985"/>
      <c r="Q111" s="1548"/>
      <c r="R111" s="972"/>
      <c r="S111" s="973"/>
      <c r="T111" s="1258"/>
      <c r="U111" s="1337"/>
      <c r="Y111" s="74">
        <v>1E-3</v>
      </c>
      <c r="Z111" s="77">
        <f>IF(H111="ja",Y111,0)</f>
        <v>0</v>
      </c>
      <c r="AA111" s="78"/>
      <c r="AB111" s="78">
        <f t="shared" si="1"/>
        <v>0</v>
      </c>
      <c r="AF111" s="68"/>
      <c r="AG111" s="68"/>
      <c r="AH111" s="68"/>
      <c r="AI111" s="68"/>
      <c r="AJ111" s="68"/>
      <c r="AK111" s="68"/>
    </row>
    <row r="112" spans="1:37" ht="15" customHeight="1" thickBot="1" x14ac:dyDescent="0.3">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78">
        <f t="shared" si="1"/>
        <v>0</v>
      </c>
      <c r="AF112" s="68"/>
      <c r="AG112" s="68"/>
      <c r="AH112" s="68"/>
      <c r="AI112" s="68"/>
      <c r="AJ112" s="68"/>
      <c r="AK112" s="68"/>
    </row>
    <row r="113" spans="1:37" ht="15" customHeight="1" thickBot="1" x14ac:dyDescent="0.3">
      <c r="A113" s="1516"/>
      <c r="B113" s="1487" t="s">
        <v>171</v>
      </c>
      <c r="C113" s="1488"/>
      <c r="D113" s="1488"/>
      <c r="E113" s="1488"/>
      <c r="F113" s="1488"/>
      <c r="G113" s="1489"/>
      <c r="H113" s="981" t="s">
        <v>100</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0</v>
      </c>
      <c r="AA113" s="78"/>
      <c r="AB113" s="78">
        <f t="shared" si="1"/>
        <v>0</v>
      </c>
      <c r="AF113" s="68"/>
      <c r="AG113" s="68"/>
      <c r="AH113" s="68"/>
      <c r="AI113" s="68"/>
      <c r="AJ113" s="68"/>
      <c r="AK113" s="68"/>
    </row>
    <row r="114" spans="1:37" ht="15" customHeight="1" thickBot="1" x14ac:dyDescent="0.3">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78">
        <f t="shared" si="1"/>
        <v>0</v>
      </c>
      <c r="AF114" s="68"/>
      <c r="AG114" s="68"/>
      <c r="AH114" s="68"/>
      <c r="AI114" s="68"/>
      <c r="AJ114" s="68"/>
      <c r="AK114" s="68"/>
    </row>
    <row r="115" spans="1:37"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552"/>
      <c r="S115" s="1553"/>
      <c r="T115" s="1567"/>
      <c r="U115" s="1567"/>
      <c r="Y115" s="74"/>
      <c r="Z115" s="152">
        <f>SUM(Z82:Z113)</f>
        <v>0</v>
      </c>
      <c r="AA115" s="78"/>
      <c r="AB115" s="78">
        <f t="shared" si="1"/>
        <v>0</v>
      </c>
      <c r="AF115" s="68"/>
      <c r="AG115" s="68"/>
      <c r="AH115" s="68"/>
      <c r="AI115" s="68"/>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550"/>
      <c r="R116" s="1554"/>
      <c r="S116" s="1555"/>
      <c r="T116" s="1568"/>
      <c r="U116" s="1568"/>
      <c r="AA116" s="78"/>
      <c r="AB116" s="78">
        <f t="shared" si="1"/>
        <v>0</v>
      </c>
      <c r="AF116" s="68"/>
      <c r="AG116" s="68"/>
      <c r="AH116" s="68"/>
      <c r="AI116" s="68"/>
      <c r="AJ116" s="68"/>
      <c r="AK116" s="68"/>
    </row>
    <row r="117" spans="1:37"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556"/>
      <c r="S117" s="1557"/>
      <c r="T117" s="1568"/>
      <c r="U117" s="1569"/>
      <c r="AA117" s="78"/>
      <c r="AB117" s="78">
        <f t="shared" si="1"/>
        <v>0</v>
      </c>
      <c r="AF117" s="68"/>
      <c r="AG117" s="68"/>
      <c r="AH117" s="68"/>
      <c r="AI117" s="68"/>
      <c r="AJ117" s="68"/>
      <c r="AK117" s="68"/>
    </row>
    <row r="118" spans="1:37"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78">
        <f t="shared" si="1"/>
        <v>0</v>
      </c>
      <c r="AF118" s="68"/>
      <c r="AG118" s="68"/>
      <c r="AH118" s="68"/>
      <c r="AI118" s="68"/>
      <c r="AJ118" s="68"/>
      <c r="AK118" s="68"/>
    </row>
    <row r="119" spans="1:37" ht="15" customHeight="1" thickBot="1" x14ac:dyDescent="0.3">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78">
        <f t="shared" si="1"/>
        <v>0</v>
      </c>
      <c r="AF119" s="68"/>
      <c r="AG119" s="68"/>
      <c r="AH119" s="68"/>
      <c r="AI119" s="68"/>
      <c r="AJ119" s="68"/>
      <c r="AK119" s="68"/>
    </row>
    <row r="120" spans="1:37" ht="15" customHeight="1" thickBot="1" x14ac:dyDescent="0.3">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78">
        <f t="shared" si="1"/>
        <v>0</v>
      </c>
      <c r="AF120" s="68"/>
      <c r="AG120" s="68"/>
      <c r="AH120" s="68"/>
      <c r="AI120" s="68"/>
      <c r="AJ120" s="68"/>
      <c r="AK120" s="68"/>
    </row>
    <row r="121" spans="1:37" ht="15" customHeight="1" thickBot="1" x14ac:dyDescent="0.3">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78">
        <f t="shared" si="1"/>
        <v>0</v>
      </c>
      <c r="AF121" s="68"/>
      <c r="AG121" s="68"/>
      <c r="AH121" s="68"/>
      <c r="AI121" s="68"/>
      <c r="AJ121" s="68"/>
      <c r="AK121" s="68"/>
    </row>
    <row r="122" spans="1:37" ht="15" customHeight="1" thickBot="1" x14ac:dyDescent="0.3">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78">
        <f t="shared" si="1"/>
        <v>0</v>
      </c>
      <c r="AF122" s="68"/>
      <c r="AG122" s="68"/>
      <c r="AH122" s="68"/>
      <c r="AI122" s="68"/>
      <c r="AJ122" s="68"/>
      <c r="AK122" s="68"/>
    </row>
    <row r="123" spans="1:37" ht="15" customHeight="1" thickBot="1" x14ac:dyDescent="0.3">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78">
        <f t="shared" si="1"/>
        <v>0</v>
      </c>
      <c r="AF123" s="68"/>
      <c r="AG123" s="68"/>
      <c r="AH123" s="68"/>
      <c r="AI123" s="68"/>
      <c r="AJ123" s="68"/>
      <c r="AK123" s="68"/>
    </row>
    <row r="124" spans="1:37" ht="15" customHeight="1" thickBot="1" x14ac:dyDescent="0.3">
      <c r="A124" s="1516"/>
      <c r="B124" s="1487" t="s">
        <v>403</v>
      </c>
      <c r="C124" s="1488"/>
      <c r="D124" s="1488"/>
      <c r="E124" s="1488"/>
      <c r="F124" s="1488"/>
      <c r="G124" s="1489"/>
      <c r="H124" s="981" t="s">
        <v>100</v>
      </c>
      <c r="I124" s="1017"/>
      <c r="J124" s="1029"/>
      <c r="K124" s="1030"/>
      <c r="L124" s="984"/>
      <c r="M124" s="985"/>
      <c r="N124" s="985"/>
      <c r="O124" s="985"/>
      <c r="P124" s="985"/>
      <c r="Q124" s="1548"/>
      <c r="R124" s="972"/>
      <c r="S124" s="973"/>
      <c r="T124" s="1258"/>
      <c r="U124" s="1337"/>
      <c r="Y124" s="74">
        <v>2.5000000000000001E-3</v>
      </c>
      <c r="Z124" s="77">
        <f>IF(H124="ja",Y124,0)</f>
        <v>0</v>
      </c>
      <c r="AA124" s="77"/>
      <c r="AB124" s="78">
        <f t="shared" si="1"/>
        <v>0</v>
      </c>
      <c r="AF124" s="68"/>
      <c r="AG124" s="68"/>
      <c r="AH124" s="68"/>
      <c r="AI124" s="68"/>
      <c r="AJ124" s="68"/>
      <c r="AK124" s="68"/>
    </row>
    <row r="125" spans="1:37" ht="15" customHeight="1" thickBot="1" x14ac:dyDescent="0.3">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78">
        <f t="shared" si="1"/>
        <v>0</v>
      </c>
      <c r="AF125" s="68"/>
      <c r="AG125" s="68"/>
      <c r="AH125" s="68"/>
      <c r="AI125" s="68"/>
      <c r="AJ125" s="68"/>
      <c r="AK125" s="68"/>
    </row>
    <row r="126" spans="1:37" ht="15" customHeight="1" thickBot="1" x14ac:dyDescent="0.3">
      <c r="A126" s="1516"/>
      <c r="B126" s="1490"/>
      <c r="C126" s="1491"/>
      <c r="D126" s="1491"/>
      <c r="E126" s="1491"/>
      <c r="F126" s="1491"/>
      <c r="G126" s="1492"/>
      <c r="H126" s="983"/>
      <c r="I126" s="1018"/>
      <c r="J126" s="1031"/>
      <c r="K126" s="1032"/>
      <c r="L126" s="1559"/>
      <c r="M126" s="1560"/>
      <c r="N126" s="1560"/>
      <c r="O126" s="1560"/>
      <c r="P126" s="1560"/>
      <c r="Q126" s="1548"/>
      <c r="R126" s="972"/>
      <c r="S126" s="973"/>
      <c r="T126" s="1259"/>
      <c r="U126" s="1337"/>
      <c r="V126" s="339"/>
      <c r="Y126" s="74"/>
      <c r="Z126" s="77"/>
      <c r="AA126" s="78"/>
      <c r="AB126" s="78">
        <f t="shared" si="1"/>
        <v>0</v>
      </c>
      <c r="AF126" s="68"/>
      <c r="AG126" s="68"/>
      <c r="AH126" s="68"/>
      <c r="AI126" s="68"/>
      <c r="AJ126" s="68"/>
      <c r="AK126" s="68"/>
    </row>
    <row r="127" spans="1:37"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78">
        <f t="shared" si="1"/>
        <v>0</v>
      </c>
      <c r="AF127" s="68"/>
      <c r="AG127" s="68"/>
      <c r="AH127" s="68"/>
      <c r="AI127" s="68"/>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78">
        <f t="shared" si="1"/>
        <v>0</v>
      </c>
      <c r="AF128" s="68"/>
      <c r="AG128" s="68"/>
      <c r="AH128" s="68"/>
      <c r="AI128" s="68"/>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78">
        <f t="shared" si="1"/>
        <v>0</v>
      </c>
      <c r="AF129" s="68"/>
      <c r="AG129" s="68"/>
      <c r="AH129" s="68"/>
      <c r="AI129" s="68"/>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78">
        <f t="shared" si="1"/>
        <v>0</v>
      </c>
      <c r="AF130" s="68"/>
      <c r="AG130" s="68"/>
      <c r="AH130" s="68"/>
      <c r="AI130" s="68"/>
      <c r="AJ130" s="68"/>
      <c r="AK130" s="68"/>
    </row>
    <row r="131" spans="1:37" ht="14.25" customHeight="1" x14ac:dyDescent="0.25">
      <c r="A131" s="1523"/>
      <c r="B131" s="1493"/>
      <c r="C131" s="1317"/>
      <c r="D131" s="1317"/>
      <c r="E131" s="1317"/>
      <c r="F131" s="1317"/>
      <c r="G131" s="1494"/>
      <c r="H131" s="982"/>
      <c r="I131" s="1663"/>
      <c r="J131" s="1528"/>
      <c r="K131" s="1529"/>
      <c r="L131" s="1539" t="s">
        <v>406</v>
      </c>
      <c r="M131" s="1540"/>
      <c r="N131" s="1540"/>
      <c r="O131" s="1540"/>
      <c r="P131" s="1540"/>
      <c r="Q131" s="978" t="s">
        <v>100</v>
      </c>
      <c r="R131" s="972"/>
      <c r="S131" s="973"/>
      <c r="T131" s="1621"/>
      <c r="U131" s="1372"/>
      <c r="V131" s="72">
        <f>IF(AND(Q131="ja",R131=""),1,0)</f>
        <v>0</v>
      </c>
      <c r="Y131" s="74"/>
      <c r="Z131" s="77"/>
      <c r="AA131" s="78"/>
      <c r="AB131" s="78">
        <f t="shared" si="1"/>
        <v>0</v>
      </c>
      <c r="AF131" s="68"/>
      <c r="AG131" s="68"/>
      <c r="AH131" s="68"/>
      <c r="AI131" s="68"/>
      <c r="AJ131" s="68"/>
      <c r="AK131" s="68"/>
    </row>
    <row r="132" spans="1:37" ht="14.25" customHeight="1" x14ac:dyDescent="0.25">
      <c r="A132" s="1523"/>
      <c r="B132" s="1490"/>
      <c r="C132" s="1491"/>
      <c r="D132" s="1491"/>
      <c r="E132" s="1491"/>
      <c r="F132" s="1491"/>
      <c r="G132" s="1492"/>
      <c r="H132" s="983"/>
      <c r="I132" s="1663"/>
      <c r="J132" s="1528"/>
      <c r="K132" s="1529"/>
      <c r="L132" s="1539"/>
      <c r="M132" s="1540"/>
      <c r="N132" s="1540"/>
      <c r="O132" s="1540"/>
      <c r="P132" s="1540"/>
      <c r="Q132" s="978"/>
      <c r="R132" s="972"/>
      <c r="S132" s="973"/>
      <c r="T132" s="1621"/>
      <c r="U132" s="1372"/>
      <c r="Y132" s="74"/>
      <c r="Z132" s="77"/>
      <c r="AA132" s="78"/>
      <c r="AB132" s="78">
        <f t="shared" si="1"/>
        <v>0</v>
      </c>
      <c r="AF132" s="68"/>
      <c r="AG132" s="68"/>
      <c r="AH132" s="68"/>
      <c r="AI132" s="68"/>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78">
        <f t="shared" si="1"/>
        <v>0</v>
      </c>
      <c r="AF133" s="68"/>
      <c r="AG133" s="68"/>
      <c r="AH133" s="68"/>
      <c r="AI133" s="68"/>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78">
        <f t="shared" si="1"/>
        <v>0</v>
      </c>
      <c r="AF134" s="68"/>
      <c r="AG134" s="68"/>
      <c r="AH134" s="68"/>
      <c r="AI134" s="68"/>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78">
        <f t="shared" si="1"/>
        <v>0</v>
      </c>
      <c r="AF135" s="68"/>
      <c r="AG135" s="68"/>
      <c r="AH135" s="68"/>
      <c r="AI135" s="68"/>
      <c r="AJ135" s="68"/>
      <c r="AK135" s="68"/>
    </row>
    <row r="136" spans="1:37"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972"/>
      <c r="S136" s="973"/>
      <c r="T136" s="1621"/>
      <c r="U136" s="1372"/>
      <c r="V136" s="72">
        <f>IF(AND(Q136="ja",R136=""),1,0)</f>
        <v>0</v>
      </c>
      <c r="AA136" s="78"/>
      <c r="AB136" s="78">
        <f t="shared" si="1"/>
        <v>0</v>
      </c>
      <c r="AF136" s="68"/>
      <c r="AG136" s="68"/>
      <c r="AH136" s="68"/>
      <c r="AI136" s="68"/>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78">
        <f t="shared" si="1"/>
        <v>0</v>
      </c>
      <c r="AF137" s="68"/>
      <c r="AG137" s="68"/>
      <c r="AH137" s="68"/>
      <c r="AI137" s="68"/>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78">
        <f t="shared" si="1"/>
        <v>0</v>
      </c>
      <c r="AF138" s="68"/>
      <c r="AG138" s="68"/>
      <c r="AH138" s="68"/>
      <c r="AI138" s="68"/>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78">
        <f t="shared" si="1"/>
        <v>0</v>
      </c>
      <c r="AF139" s="68"/>
      <c r="AG139" s="68"/>
      <c r="AH139" s="68"/>
      <c r="AI139" s="68"/>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78">
        <f t="shared" si="1"/>
        <v>0</v>
      </c>
      <c r="AF140" s="68"/>
      <c r="AG140" s="68"/>
      <c r="AH140" s="68"/>
      <c r="AI140" s="68"/>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78">
        <f t="shared" si="1"/>
        <v>0</v>
      </c>
      <c r="AF141" s="68"/>
      <c r="AG141" s="68"/>
      <c r="AH141" s="68"/>
      <c r="AI141" s="68"/>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78">
        <f t="shared" si="1"/>
        <v>0</v>
      </c>
      <c r="AF142" s="68"/>
      <c r="AG142" s="68"/>
      <c r="AH142" s="68"/>
      <c r="AI142" s="68"/>
      <c r="AJ142" s="68"/>
      <c r="AK142" s="68"/>
    </row>
    <row r="143" spans="1:37" x14ac:dyDescent="0.25">
      <c r="A143" s="496" t="s">
        <v>210</v>
      </c>
      <c r="B143" s="1103" t="s">
        <v>409</v>
      </c>
      <c r="C143" s="1104"/>
      <c r="D143" s="1104"/>
      <c r="E143" s="1104"/>
      <c r="F143" s="1104"/>
      <c r="G143" s="1105"/>
      <c r="H143" s="314" t="s">
        <v>100</v>
      </c>
      <c r="I143" s="328">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78">
        <f t="shared" si="1"/>
        <v>0</v>
      </c>
      <c r="AF143" s="68"/>
      <c r="AG143" s="68"/>
      <c r="AH143" s="68"/>
      <c r="AI143" s="68"/>
      <c r="AJ143" s="68"/>
      <c r="AK143" s="68"/>
    </row>
    <row r="144" spans="1:37" x14ac:dyDescent="0.25">
      <c r="A144" s="496" t="s">
        <v>212</v>
      </c>
      <c r="B144" s="1103" t="s">
        <v>410</v>
      </c>
      <c r="C144" s="1104"/>
      <c r="D144" s="1104"/>
      <c r="E144" s="1104"/>
      <c r="F144" s="1104"/>
      <c r="G144" s="1105"/>
      <c r="H144" s="314" t="s">
        <v>100</v>
      </c>
      <c r="I144" s="328">
        <f>Z144</f>
        <v>0</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0</v>
      </c>
      <c r="AA144" s="78"/>
      <c r="AB144" s="78">
        <f t="shared" si="1"/>
        <v>0</v>
      </c>
      <c r="AF144" s="68"/>
      <c r="AG144" s="68"/>
      <c r="AH144" s="68"/>
      <c r="AI144" s="68"/>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78">
        <f t="shared" si="1"/>
        <v>0</v>
      </c>
      <c r="AF145" s="68"/>
      <c r="AG145" s="68"/>
      <c r="AH145" s="68"/>
      <c r="AI145" s="68"/>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78">
        <f t="shared" si="1"/>
        <v>0</v>
      </c>
      <c r="AF146" s="68"/>
      <c r="AG146" s="68"/>
      <c r="AH146" s="68"/>
      <c r="AI146" s="68"/>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78">
        <f t="shared" si="1"/>
        <v>0</v>
      </c>
      <c r="AF147" s="68"/>
      <c r="AG147" s="68"/>
      <c r="AH147" s="68"/>
      <c r="AI147" s="68"/>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78">
        <f t="shared" si="1"/>
        <v>0</v>
      </c>
      <c r="AF148" s="68"/>
      <c r="AG148" s="68"/>
      <c r="AH148" s="68"/>
      <c r="AI148" s="68"/>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78">
        <f t="shared" si="1"/>
        <v>0</v>
      </c>
      <c r="AF149" s="68"/>
      <c r="AG149" s="68"/>
      <c r="AH149" s="68"/>
      <c r="AI149" s="68"/>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78">
        <f t="shared" si="1"/>
        <v>0</v>
      </c>
      <c r="AF150" s="68"/>
      <c r="AG150" s="68"/>
      <c r="AH150" s="68"/>
      <c r="AI150" s="68"/>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78">
        <f t="shared" si="1"/>
        <v>0</v>
      </c>
      <c r="AF151" s="68"/>
      <c r="AG151" s="68"/>
      <c r="AH151" s="68"/>
      <c r="AI151" s="68"/>
      <c r="AJ151" s="68"/>
      <c r="AK151" s="68"/>
    </row>
    <row r="152" spans="1:37"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78">
        <f t="shared" si="1"/>
        <v>0</v>
      </c>
      <c r="AF152" s="68"/>
      <c r="AG152" s="68"/>
      <c r="AH152" s="68"/>
      <c r="AI152" s="68"/>
      <c r="AJ152" s="68"/>
      <c r="AK152" s="68"/>
    </row>
    <row r="153" spans="1:37" ht="14.55" thickBot="1" x14ac:dyDescent="0.3">
      <c r="A153" s="1665" t="s">
        <v>481</v>
      </c>
      <c r="B153" s="1511" t="s">
        <v>482</v>
      </c>
      <c r="C153" s="1512"/>
      <c r="D153" s="1512"/>
      <c r="E153" s="1512"/>
      <c r="F153" s="1512"/>
      <c r="G153" s="1513"/>
      <c r="H153" s="342"/>
      <c r="I153" s="1361"/>
      <c r="J153" s="1362"/>
      <c r="K153" s="1362"/>
      <c r="L153" s="1534">
        <f>SUM(Q128:R152)</f>
        <v>0</v>
      </c>
      <c r="M153" s="1535"/>
      <c r="N153" s="1535"/>
      <c r="O153" s="1535"/>
      <c r="P153" s="1535"/>
      <c r="Q153" s="338"/>
      <c r="R153" s="1495"/>
      <c r="S153" s="1496"/>
      <c r="U153" s="334"/>
      <c r="Y153" s="74"/>
      <c r="Z153" s="152">
        <f>SUM(Z128:Z150)</f>
        <v>0</v>
      </c>
      <c r="AA153" s="78"/>
      <c r="AB153" s="78">
        <f t="shared" si="1"/>
        <v>0</v>
      </c>
      <c r="AF153" s="68"/>
      <c r="AG153" s="68"/>
      <c r="AH153" s="68"/>
      <c r="AI153" s="68"/>
      <c r="AJ153" s="68"/>
      <c r="AK153" s="68"/>
    </row>
    <row r="154" spans="1:37" ht="15" customHeight="1" thickBot="1" x14ac:dyDescent="0.3">
      <c r="A154" s="1665"/>
      <c r="B154" s="1497" t="s">
        <v>415</v>
      </c>
      <c r="C154" s="1498"/>
      <c r="D154" s="1498"/>
      <c r="E154" s="1498"/>
      <c r="F154" s="1498"/>
      <c r="G154" s="1499"/>
      <c r="H154" s="1194" t="s">
        <v>100</v>
      </c>
      <c r="I154" s="1016">
        <f>Z178</f>
        <v>0</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78">
        <f t="shared" si="1"/>
        <v>0</v>
      </c>
      <c r="AF154" s="68"/>
      <c r="AG154" s="68"/>
      <c r="AH154" s="68"/>
      <c r="AI154" s="68"/>
      <c r="AJ154" s="68"/>
      <c r="AK154" s="68"/>
    </row>
    <row r="155" spans="1:37" ht="15" customHeight="1" thickBot="1" x14ac:dyDescent="0.3">
      <c r="A155" s="166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78">
        <f t="shared" si="1"/>
        <v>0</v>
      </c>
      <c r="AF155" s="68"/>
      <c r="AG155" s="68"/>
      <c r="AH155" s="68"/>
      <c r="AI155" s="68"/>
      <c r="AJ155" s="68"/>
      <c r="AK155" s="68"/>
    </row>
    <row r="156" spans="1:37" ht="15" customHeight="1" thickBot="1" x14ac:dyDescent="0.3">
      <c r="A156" s="166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78">
        <f t="shared" si="1"/>
        <v>0</v>
      </c>
      <c r="AF156" s="68"/>
      <c r="AG156" s="68"/>
      <c r="AH156" s="68"/>
      <c r="AI156" s="68"/>
      <c r="AJ156" s="68"/>
      <c r="AK156" s="68"/>
    </row>
    <row r="157" spans="1:37" ht="15" customHeight="1" thickBot="1" x14ac:dyDescent="0.3">
      <c r="A157" s="1665"/>
      <c r="B157" s="1487" t="s">
        <v>417</v>
      </c>
      <c r="C157" s="1488"/>
      <c r="D157" s="1488"/>
      <c r="E157" s="1488"/>
      <c r="F157" s="1488"/>
      <c r="G157" s="1489"/>
      <c r="H157" s="981" t="s">
        <v>100</v>
      </c>
      <c r="I157" s="1017"/>
      <c r="J157" s="1029"/>
      <c r="K157" s="1030"/>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78">
        <f t="shared" si="1"/>
        <v>0</v>
      </c>
      <c r="AF157" s="68"/>
      <c r="AG157" s="68"/>
      <c r="AH157" s="68"/>
      <c r="AI157" s="68"/>
      <c r="AJ157" s="68"/>
      <c r="AK157" s="68"/>
    </row>
    <row r="158" spans="1:37" ht="15" customHeight="1" thickBot="1" x14ac:dyDescent="0.3">
      <c r="A158" s="166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78">
        <f t="shared" si="1"/>
        <v>0</v>
      </c>
      <c r="AF158" s="68"/>
      <c r="AG158" s="68"/>
      <c r="AH158" s="68"/>
      <c r="AI158" s="68"/>
      <c r="AJ158" s="68"/>
      <c r="AK158" s="68"/>
    </row>
    <row r="159" spans="1:37" ht="15" customHeight="1" thickBot="1" x14ac:dyDescent="0.3">
      <c r="A159" s="166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78">
        <f t="shared" si="1"/>
        <v>0</v>
      </c>
      <c r="AF159" s="68"/>
      <c r="AG159" s="68"/>
      <c r="AH159" s="68"/>
      <c r="AI159" s="68"/>
      <c r="AJ159" s="68"/>
      <c r="AK159" s="68"/>
    </row>
    <row r="160" spans="1:37" ht="15" customHeight="1" thickBot="1" x14ac:dyDescent="0.3">
      <c r="A160" s="166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78">
        <f t="shared" si="1"/>
        <v>0</v>
      </c>
      <c r="AF160" s="68"/>
      <c r="AG160" s="68"/>
      <c r="AH160" s="68"/>
      <c r="AI160" s="68"/>
      <c r="AJ160" s="68"/>
      <c r="AK160" s="68"/>
    </row>
    <row r="161" spans="1:37" ht="15" customHeight="1" thickBot="1" x14ac:dyDescent="0.3">
      <c r="A161" s="166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78">
        <f t="shared" si="1"/>
        <v>0</v>
      </c>
      <c r="AF161" s="68"/>
      <c r="AG161" s="68"/>
      <c r="AH161" s="68"/>
      <c r="AI161" s="68"/>
      <c r="AJ161" s="68"/>
      <c r="AK161" s="68"/>
    </row>
    <row r="162" spans="1:37" ht="15" customHeight="1" thickBot="1" x14ac:dyDescent="0.3">
      <c r="A162" s="166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78">
        <f t="shared" si="1"/>
        <v>0</v>
      </c>
      <c r="AF162" s="68"/>
      <c r="AG162" s="68"/>
      <c r="AH162" s="68"/>
      <c r="AI162" s="68"/>
      <c r="AJ162" s="68"/>
      <c r="AK162" s="68"/>
    </row>
    <row r="163" spans="1:37" ht="15" customHeight="1" thickBot="1" x14ac:dyDescent="0.3">
      <c r="A163" s="166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78">
        <f t="shared" si="1"/>
        <v>0</v>
      </c>
      <c r="AF163" s="68"/>
      <c r="AG163" s="68"/>
      <c r="AH163" s="68"/>
      <c r="AI163" s="68"/>
      <c r="AJ163" s="68"/>
      <c r="AK163" s="68"/>
    </row>
    <row r="164" spans="1:37" ht="15" customHeight="1" thickBot="1" x14ac:dyDescent="0.3">
      <c r="A164" s="166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78">
        <f t="shared" si="1"/>
        <v>0</v>
      </c>
      <c r="AF164" s="68"/>
      <c r="AG164" s="68"/>
      <c r="AH164" s="68"/>
      <c r="AI164" s="68"/>
      <c r="AJ164" s="68"/>
      <c r="AK164" s="68"/>
    </row>
    <row r="165" spans="1:37" ht="15" customHeight="1" thickBot="1" x14ac:dyDescent="0.3">
      <c r="A165" s="1665"/>
      <c r="B165" s="1493"/>
      <c r="C165" s="1317"/>
      <c r="D165" s="1317"/>
      <c r="E165" s="1317"/>
      <c r="F165" s="1317"/>
      <c r="G165" s="1494"/>
      <c r="H165" s="982"/>
      <c r="I165" s="1017"/>
      <c r="J165" s="1029"/>
      <c r="K165" s="1030"/>
      <c r="L165" s="1288"/>
      <c r="M165" s="1289"/>
      <c r="N165" s="1289"/>
      <c r="O165" s="1289"/>
      <c r="P165" s="1290"/>
      <c r="Q165" s="1003"/>
      <c r="R165" s="1007"/>
      <c r="S165" s="1008"/>
      <c r="T165" s="1258"/>
      <c r="U165" s="1337"/>
      <c r="Y165" s="74"/>
      <c r="Z165" s="77"/>
      <c r="AA165" s="78"/>
      <c r="AB165" s="78">
        <f t="shared" si="1"/>
        <v>0</v>
      </c>
      <c r="AF165" s="68"/>
      <c r="AG165" s="68"/>
      <c r="AH165" s="68"/>
      <c r="AI165" s="68"/>
      <c r="AJ165" s="68"/>
      <c r="AK165" s="68"/>
    </row>
    <row r="166" spans="1:37" ht="15" customHeight="1" thickBot="1" x14ac:dyDescent="0.3">
      <c r="A166" s="1665"/>
      <c r="B166" s="1493"/>
      <c r="C166" s="1317"/>
      <c r="D166" s="1317"/>
      <c r="E166" s="1317"/>
      <c r="F166" s="1317"/>
      <c r="G166" s="1494"/>
      <c r="H166" s="982"/>
      <c r="I166" s="1017"/>
      <c r="J166" s="1029"/>
      <c r="K166" s="1030"/>
      <c r="L166" s="1291"/>
      <c r="M166" s="1292"/>
      <c r="N166" s="1292"/>
      <c r="O166" s="1292"/>
      <c r="P166" s="1293"/>
      <c r="Q166" s="1295"/>
      <c r="R166" s="1269"/>
      <c r="S166" s="1270"/>
      <c r="T166" s="1258"/>
      <c r="U166" s="1337"/>
      <c r="Y166" s="74"/>
      <c r="Z166" s="77"/>
      <c r="AA166" s="78"/>
      <c r="AB166" s="78">
        <f t="shared" si="1"/>
        <v>0</v>
      </c>
      <c r="AF166" s="68"/>
      <c r="AG166" s="68"/>
      <c r="AH166" s="68"/>
      <c r="AI166" s="68"/>
      <c r="AJ166" s="68"/>
      <c r="AK166" s="68"/>
    </row>
    <row r="167" spans="1:37" ht="15" customHeight="1" thickBot="1" x14ac:dyDescent="0.3">
      <c r="A167" s="1665"/>
      <c r="B167" s="1490"/>
      <c r="C167" s="1491"/>
      <c r="D167" s="1491"/>
      <c r="E167" s="1491"/>
      <c r="F167" s="1491"/>
      <c r="G167" s="1492"/>
      <c r="H167" s="983"/>
      <c r="I167" s="1017"/>
      <c r="J167" s="1029"/>
      <c r="K167" s="1030"/>
      <c r="L167" s="1484" t="s">
        <v>419</v>
      </c>
      <c r="M167" s="1485"/>
      <c r="N167" s="1485"/>
      <c r="O167" s="1485"/>
      <c r="P167" s="1486"/>
      <c r="Q167" s="979" t="s">
        <v>100</v>
      </c>
      <c r="R167" s="1005"/>
      <c r="S167" s="1006"/>
      <c r="T167" s="1258"/>
      <c r="U167" s="1337"/>
      <c r="V167" s="72">
        <f>IF(AND(Q167="ja",R167=""),1,0)</f>
        <v>0</v>
      </c>
      <c r="Y167" s="74"/>
      <c r="Z167" s="77"/>
      <c r="AA167" s="78"/>
      <c r="AB167" s="78">
        <f t="shared" si="1"/>
        <v>0</v>
      </c>
      <c r="AF167" s="68"/>
      <c r="AG167" s="68"/>
      <c r="AH167" s="68"/>
      <c r="AI167" s="68"/>
      <c r="AJ167" s="68"/>
      <c r="AK167" s="68"/>
    </row>
    <row r="168" spans="1:37" ht="15" customHeight="1" thickBot="1" x14ac:dyDescent="0.3">
      <c r="A168" s="1665"/>
      <c r="B168" s="1487" t="s">
        <v>420</v>
      </c>
      <c r="C168" s="1488"/>
      <c r="D168" s="1488"/>
      <c r="E168" s="1488"/>
      <c r="F168" s="1488"/>
      <c r="G168" s="1489"/>
      <c r="H168" s="981" t="s">
        <v>100</v>
      </c>
      <c r="I168" s="1017"/>
      <c r="J168" s="1029"/>
      <c r="K168" s="1030"/>
      <c r="L168" s="1288"/>
      <c r="M168" s="1289"/>
      <c r="N168" s="1289"/>
      <c r="O168" s="1289"/>
      <c r="P168" s="1290"/>
      <c r="Q168" s="1003"/>
      <c r="R168" s="1007"/>
      <c r="S168" s="1008"/>
      <c r="T168" s="1258"/>
      <c r="U168" s="1337"/>
      <c r="Y168" s="74">
        <v>1E-3</v>
      </c>
      <c r="Z168" s="77">
        <f>IF(H168="ja",Y168,0)</f>
        <v>0</v>
      </c>
      <c r="AA168" s="78"/>
      <c r="AB168" s="78">
        <f t="shared" ref="AB168:AB231" si="2">IF(Q168="ja",1,0)</f>
        <v>0</v>
      </c>
      <c r="AF168" s="68"/>
      <c r="AG168" s="68"/>
      <c r="AH168" s="68"/>
      <c r="AI168" s="68"/>
      <c r="AJ168" s="68"/>
      <c r="AK168" s="68"/>
    </row>
    <row r="169" spans="1:37" ht="15" customHeight="1" thickBot="1" x14ac:dyDescent="0.3">
      <c r="A169" s="1665"/>
      <c r="B169" s="1493"/>
      <c r="C169" s="1317"/>
      <c r="D169" s="1317"/>
      <c r="E169" s="1317"/>
      <c r="F169" s="1317"/>
      <c r="G169" s="1494"/>
      <c r="H169" s="982"/>
      <c r="I169" s="1017"/>
      <c r="J169" s="1029"/>
      <c r="K169" s="1030"/>
      <c r="L169" s="1291"/>
      <c r="M169" s="1292"/>
      <c r="N169" s="1292"/>
      <c r="O169" s="1292"/>
      <c r="P169" s="1293"/>
      <c r="Q169" s="1295"/>
      <c r="R169" s="1269"/>
      <c r="S169" s="1270"/>
      <c r="T169" s="1258"/>
      <c r="U169" s="1337"/>
      <c r="Y169" s="74"/>
      <c r="Z169" s="77"/>
      <c r="AA169" s="78"/>
      <c r="AB169" s="78">
        <f t="shared" si="2"/>
        <v>0</v>
      </c>
      <c r="AF169" s="68"/>
      <c r="AG169" s="68"/>
      <c r="AH169" s="68"/>
      <c r="AI169" s="68"/>
      <c r="AJ169" s="68"/>
      <c r="AK169" s="68"/>
    </row>
    <row r="170" spans="1:37" ht="15" customHeight="1" thickBot="1" x14ac:dyDescent="0.3">
      <c r="A170" s="1665"/>
      <c r="B170" s="1490"/>
      <c r="C170" s="1491"/>
      <c r="D170" s="1491"/>
      <c r="E170" s="1491"/>
      <c r="F170" s="1491"/>
      <c r="G170" s="1492"/>
      <c r="H170" s="983"/>
      <c r="I170" s="1017"/>
      <c r="J170" s="1029"/>
      <c r="K170" s="1030"/>
      <c r="L170" s="1484" t="s">
        <v>228</v>
      </c>
      <c r="M170" s="1485"/>
      <c r="N170" s="1485"/>
      <c r="O170" s="1485"/>
      <c r="P170" s="1486"/>
      <c r="Q170" s="979" t="s">
        <v>100</v>
      </c>
      <c r="R170" s="1005"/>
      <c r="S170" s="1006"/>
      <c r="T170" s="1258"/>
      <c r="U170" s="1337"/>
      <c r="V170" s="72">
        <f>IF(AND(Q170="ja",R170=""),1,0)</f>
        <v>0</v>
      </c>
      <c r="Y170" s="74"/>
      <c r="Z170" s="77"/>
      <c r="AA170" s="78"/>
      <c r="AB170" s="78">
        <f t="shared" si="2"/>
        <v>0</v>
      </c>
      <c r="AF170" s="68"/>
      <c r="AG170" s="68"/>
      <c r="AH170" s="68"/>
      <c r="AI170" s="68"/>
      <c r="AJ170" s="68"/>
      <c r="AK170" s="68"/>
    </row>
    <row r="171" spans="1:37" ht="15" customHeight="1" thickBot="1" x14ac:dyDescent="0.3">
      <c r="A171" s="1665"/>
      <c r="B171" s="1487" t="s">
        <v>421</v>
      </c>
      <c r="C171" s="1488"/>
      <c r="D171" s="1488"/>
      <c r="E171" s="1488"/>
      <c r="F171" s="1488"/>
      <c r="G171" s="1489"/>
      <c r="H171" s="981" t="s">
        <v>100</v>
      </c>
      <c r="I171" s="1017"/>
      <c r="J171" s="1029"/>
      <c r="K171" s="1030"/>
      <c r="L171" s="1288"/>
      <c r="M171" s="1289"/>
      <c r="N171" s="1289"/>
      <c r="O171" s="1289"/>
      <c r="P171" s="1290"/>
      <c r="Q171" s="1003"/>
      <c r="R171" s="1007"/>
      <c r="S171" s="1008"/>
      <c r="T171" s="1258"/>
      <c r="U171" s="1337"/>
      <c r="Y171" s="74">
        <v>7.4999999999999997E-3</v>
      </c>
      <c r="Z171" s="77">
        <f>IF(H171="ja",Y171,0)</f>
        <v>0</v>
      </c>
      <c r="AA171" s="78"/>
      <c r="AB171" s="78">
        <f t="shared" si="2"/>
        <v>0</v>
      </c>
      <c r="AF171" s="68"/>
      <c r="AG171" s="68"/>
      <c r="AH171" s="68"/>
      <c r="AI171" s="68"/>
      <c r="AJ171" s="68"/>
      <c r="AK171" s="68"/>
    </row>
    <row r="172" spans="1:37" ht="15" customHeight="1" thickBot="1" x14ac:dyDescent="0.3">
      <c r="A172" s="1665"/>
      <c r="B172" s="1493"/>
      <c r="C172" s="1317"/>
      <c r="D172" s="1317"/>
      <c r="E172" s="1317"/>
      <c r="F172" s="1317"/>
      <c r="G172" s="1494"/>
      <c r="H172" s="982"/>
      <c r="I172" s="1017"/>
      <c r="J172" s="1029"/>
      <c r="K172" s="1030"/>
      <c r="L172" s="1288"/>
      <c r="M172" s="1289"/>
      <c r="N172" s="1289"/>
      <c r="O172" s="1289"/>
      <c r="P172" s="1290"/>
      <c r="Q172" s="1003"/>
      <c r="R172" s="1007"/>
      <c r="S172" s="1008"/>
      <c r="T172" s="1258"/>
      <c r="U172" s="1337"/>
      <c r="Y172" s="74"/>
      <c r="Z172" s="77"/>
      <c r="AA172" s="78"/>
      <c r="AB172" s="78">
        <f t="shared" si="2"/>
        <v>0</v>
      </c>
      <c r="AF172" s="68"/>
      <c r="AG172" s="68"/>
      <c r="AH172" s="68"/>
      <c r="AI172" s="68"/>
      <c r="AJ172" s="68"/>
      <c r="AK172" s="68"/>
    </row>
    <row r="173" spans="1:37" ht="15" customHeight="1" thickBot="1" x14ac:dyDescent="0.3">
      <c r="A173" s="1665"/>
      <c r="B173" s="1490"/>
      <c r="C173" s="1491"/>
      <c r="D173" s="1491"/>
      <c r="E173" s="1491"/>
      <c r="F173" s="1491"/>
      <c r="G173" s="1492"/>
      <c r="H173" s="983"/>
      <c r="I173" s="1017"/>
      <c r="J173" s="1029"/>
      <c r="K173" s="1030"/>
      <c r="L173" s="1291"/>
      <c r="M173" s="1292"/>
      <c r="N173" s="1292"/>
      <c r="O173" s="1292"/>
      <c r="P173" s="1293"/>
      <c r="Q173" s="1295"/>
      <c r="R173" s="1269"/>
      <c r="S173" s="1270"/>
      <c r="T173" s="1258"/>
      <c r="U173" s="1337"/>
      <c r="Y173" s="74"/>
      <c r="Z173" s="77"/>
      <c r="AA173" s="78"/>
      <c r="AB173" s="78">
        <f t="shared" si="2"/>
        <v>0</v>
      </c>
      <c r="AF173" s="68"/>
      <c r="AG173" s="68"/>
      <c r="AH173" s="68"/>
      <c r="AI173" s="68"/>
      <c r="AJ173" s="68"/>
      <c r="AK173" s="68"/>
    </row>
    <row r="174" spans="1:37" ht="15" customHeight="1" thickBot="1" x14ac:dyDescent="0.3">
      <c r="A174" s="1665"/>
      <c r="B174" s="1487" t="s">
        <v>226</v>
      </c>
      <c r="C174" s="1488"/>
      <c r="D174" s="1488"/>
      <c r="E174" s="1488"/>
      <c r="F174" s="1488"/>
      <c r="G174" s="1489"/>
      <c r="H174" s="981" t="s">
        <v>100</v>
      </c>
      <c r="I174" s="1017"/>
      <c r="J174" s="1029"/>
      <c r="K174" s="1030"/>
      <c r="L174" s="1484"/>
      <c r="M174" s="1485"/>
      <c r="N174" s="1485"/>
      <c r="O174" s="1485"/>
      <c r="P174" s="1486"/>
      <c r="Q174" s="979" t="s">
        <v>100</v>
      </c>
      <c r="R174" s="1005"/>
      <c r="S174" s="1006"/>
      <c r="T174" s="1258"/>
      <c r="U174" s="1337"/>
      <c r="V174" s="72">
        <f>IF(AND(Q174="ja",R174=""),1,0)</f>
        <v>0</v>
      </c>
      <c r="Y174" s="74">
        <v>1E-3</v>
      </c>
      <c r="Z174" s="77">
        <f>IF(H174="ja",Y174,0)</f>
        <v>0</v>
      </c>
      <c r="AA174" s="78"/>
      <c r="AB174" s="78">
        <f t="shared" si="2"/>
        <v>0</v>
      </c>
      <c r="AF174" s="68"/>
      <c r="AG174" s="68"/>
      <c r="AH174" s="68"/>
      <c r="AI174" s="68"/>
      <c r="AJ174" s="68"/>
      <c r="AK174" s="68"/>
    </row>
    <row r="175" spans="1:37" ht="15" customHeight="1" thickBot="1" x14ac:dyDescent="0.3">
      <c r="A175" s="1665"/>
      <c r="B175" s="1493"/>
      <c r="C175" s="1317"/>
      <c r="D175" s="1317"/>
      <c r="E175" s="1317"/>
      <c r="F175" s="1317"/>
      <c r="G175" s="1494"/>
      <c r="H175" s="982"/>
      <c r="I175" s="1017"/>
      <c r="J175" s="1029"/>
      <c r="K175" s="1030"/>
      <c r="L175" s="1288"/>
      <c r="M175" s="1289"/>
      <c r="N175" s="1289"/>
      <c r="O175" s="1289"/>
      <c r="P175" s="1290"/>
      <c r="Q175" s="1003"/>
      <c r="R175" s="1007"/>
      <c r="S175" s="1008"/>
      <c r="T175" s="1258"/>
      <c r="U175" s="1337"/>
      <c r="Y175" s="74"/>
      <c r="Z175" s="77"/>
      <c r="AA175" s="77"/>
      <c r="AB175" s="78">
        <f t="shared" si="2"/>
        <v>0</v>
      </c>
      <c r="AF175" s="68"/>
      <c r="AG175" s="68"/>
      <c r="AH175" s="68"/>
      <c r="AI175" s="68"/>
      <c r="AJ175" s="68"/>
      <c r="AK175" s="68"/>
    </row>
    <row r="176" spans="1:37" ht="15" customHeight="1" thickBot="1" x14ac:dyDescent="0.3">
      <c r="A176" s="1665"/>
      <c r="B176" s="1490"/>
      <c r="C176" s="1491"/>
      <c r="D176" s="1491"/>
      <c r="E176" s="1491"/>
      <c r="F176" s="1491"/>
      <c r="G176" s="1492"/>
      <c r="H176" s="983"/>
      <c r="I176" s="1017"/>
      <c r="J176" s="1029"/>
      <c r="K176" s="1030"/>
      <c r="L176" s="1291"/>
      <c r="M176" s="1292"/>
      <c r="N176" s="1292"/>
      <c r="O176" s="1292"/>
      <c r="P176" s="1293"/>
      <c r="Q176" s="1295"/>
      <c r="R176" s="1269"/>
      <c r="S176" s="1270"/>
      <c r="T176" s="1258"/>
      <c r="U176" s="1337"/>
      <c r="Y176" s="74"/>
      <c r="Z176" s="77"/>
      <c r="AA176" s="78"/>
      <c r="AB176" s="78">
        <f t="shared" si="2"/>
        <v>0</v>
      </c>
      <c r="AF176" s="68"/>
      <c r="AG176" s="68"/>
      <c r="AH176" s="68"/>
      <c r="AI176" s="68"/>
      <c r="AJ176" s="68"/>
      <c r="AK176" s="68"/>
    </row>
    <row r="177" spans="1:37" ht="15" customHeight="1" thickBot="1" x14ac:dyDescent="0.3">
      <c r="A177" s="1665"/>
      <c r="B177" s="1103" t="s">
        <v>422</v>
      </c>
      <c r="C177" s="1104"/>
      <c r="D177" s="1104"/>
      <c r="E177" s="1104"/>
      <c r="F177" s="1104"/>
      <c r="G177" s="1105"/>
      <c r="H177" s="314" t="s">
        <v>100</v>
      </c>
      <c r="I177" s="1018"/>
      <c r="J177" s="1031"/>
      <c r="K177" s="1032"/>
      <c r="L177" s="1577"/>
      <c r="M177" s="1578"/>
      <c r="N177" s="1578"/>
      <c r="O177" s="1578"/>
      <c r="P177" s="1579"/>
      <c r="Q177" s="329" t="s">
        <v>100</v>
      </c>
      <c r="R177" s="1623"/>
      <c r="S177" s="1624"/>
      <c r="T177" s="1259"/>
      <c r="U177" s="1337"/>
      <c r="V177" s="72">
        <f>IF(AND(Q177="ja",R177=""),1,0)</f>
        <v>0</v>
      </c>
      <c r="Y177" s="74">
        <v>1E-3</v>
      </c>
      <c r="Z177" s="77">
        <f>IF(H177="ja",Y177,0)</f>
        <v>0</v>
      </c>
      <c r="AA177" s="78"/>
      <c r="AB177" s="78">
        <f t="shared" si="2"/>
        <v>0</v>
      </c>
      <c r="AF177" s="68"/>
      <c r="AG177" s="68"/>
      <c r="AH177" s="68"/>
      <c r="AI177" s="68"/>
      <c r="AJ177" s="68"/>
      <c r="AK177" s="68"/>
    </row>
    <row r="178" spans="1:37" ht="14.55" thickBot="1" x14ac:dyDescent="0.3">
      <c r="A178" s="1665"/>
      <c r="B178" s="1511" t="s">
        <v>229</v>
      </c>
      <c r="C178" s="1512"/>
      <c r="D178" s="1512"/>
      <c r="E178" s="1512"/>
      <c r="F178" s="1512"/>
      <c r="G178" s="1513"/>
      <c r="H178" s="342"/>
      <c r="I178" s="1536"/>
      <c r="J178" s="1302"/>
      <c r="K178" s="1303"/>
      <c r="L178" s="1534">
        <f>SUM(R154:S177)</f>
        <v>0</v>
      </c>
      <c r="M178" s="1535"/>
      <c r="N178" s="1535"/>
      <c r="O178" s="1535"/>
      <c r="P178" s="1535"/>
      <c r="Q178" s="338"/>
      <c r="R178" s="1495"/>
      <c r="S178" s="1496"/>
      <c r="U178" s="334"/>
      <c r="Y178" s="74"/>
      <c r="Z178" s="152">
        <f>SUM(Z154:Z177)</f>
        <v>0</v>
      </c>
      <c r="AA178" s="78"/>
      <c r="AB178" s="78">
        <f t="shared" si="2"/>
        <v>0</v>
      </c>
      <c r="AF178" s="68"/>
      <c r="AG178" s="68"/>
      <c r="AH178" s="68"/>
      <c r="AI178" s="68"/>
      <c r="AJ178" s="68"/>
      <c r="AK178" s="68"/>
    </row>
    <row r="179" spans="1:37" ht="15" customHeight="1" thickBot="1" x14ac:dyDescent="0.3">
      <c r="A179" s="1665"/>
      <c r="B179" s="1103" t="s">
        <v>233</v>
      </c>
      <c r="C179" s="1104"/>
      <c r="D179" s="1104"/>
      <c r="E179" s="1104"/>
      <c r="F179" s="1104"/>
      <c r="G179" s="1105"/>
      <c r="H179" s="314" t="s">
        <v>100</v>
      </c>
      <c r="I179" s="1016">
        <f>Z193</f>
        <v>0</v>
      </c>
      <c r="J179" s="1027">
        <f>I115*I179</f>
        <v>0</v>
      </c>
      <c r="K179" s="1028"/>
      <c r="L179" s="984" t="s">
        <v>423</v>
      </c>
      <c r="M179" s="985"/>
      <c r="N179" s="985"/>
      <c r="O179" s="985"/>
      <c r="P179" s="985"/>
      <c r="Q179" s="978" t="s">
        <v>100</v>
      </c>
      <c r="R179" s="972"/>
      <c r="S179" s="973"/>
      <c r="T179" s="1257" t="str">
        <f>IFERROR(IF((VLOOKUP(U179,Überblick!$M$125:$N$133,2))="ja","ja","nein"),"")</f>
        <v/>
      </c>
      <c r="U179" s="1337"/>
      <c r="V179" s="72">
        <f>IF(AND(Q179="ja",R179=""),1,0)</f>
        <v>0</v>
      </c>
      <c r="Y179" s="74">
        <v>1E-3</v>
      </c>
      <c r="Z179" s="77">
        <f>IF(H179="ja",Y179,0)</f>
        <v>0</v>
      </c>
      <c r="AA179" s="78"/>
      <c r="AB179" s="78">
        <f t="shared" si="2"/>
        <v>0</v>
      </c>
      <c r="AF179" s="68"/>
      <c r="AG179" s="68"/>
      <c r="AH179" s="68"/>
      <c r="AI179" s="68"/>
      <c r="AJ179" s="68"/>
      <c r="AK179" s="68"/>
    </row>
    <row r="180" spans="1:37" ht="15" customHeight="1" thickBot="1" x14ac:dyDescent="0.3">
      <c r="A180" s="1665"/>
      <c r="B180" s="1487" t="s">
        <v>424</v>
      </c>
      <c r="C180" s="1488"/>
      <c r="D180" s="1488"/>
      <c r="E180" s="1488"/>
      <c r="F180" s="1488"/>
      <c r="G180" s="1489"/>
      <c r="H180" s="981" t="s">
        <v>100</v>
      </c>
      <c r="I180" s="1017"/>
      <c r="J180" s="1029"/>
      <c r="K180" s="1030"/>
      <c r="L180" s="984"/>
      <c r="M180" s="985"/>
      <c r="N180" s="985"/>
      <c r="O180" s="985"/>
      <c r="P180" s="985"/>
      <c r="Q180" s="978"/>
      <c r="R180" s="972"/>
      <c r="S180" s="973"/>
      <c r="T180" s="1258"/>
      <c r="U180" s="1337"/>
      <c r="Y180" s="74">
        <v>3.5000000000000003E-2</v>
      </c>
      <c r="Z180" s="77">
        <f>IF(H180="ja",Y180,0)</f>
        <v>0</v>
      </c>
      <c r="AA180" s="78"/>
      <c r="AB180" s="78">
        <f t="shared" si="2"/>
        <v>0</v>
      </c>
      <c r="AF180" s="68"/>
      <c r="AG180" s="68"/>
      <c r="AH180" s="68"/>
      <c r="AI180" s="68"/>
      <c r="AJ180" s="68"/>
      <c r="AK180" s="68"/>
    </row>
    <row r="181" spans="1:37" ht="15" customHeight="1" thickBot="1" x14ac:dyDescent="0.3">
      <c r="A181" s="1665"/>
      <c r="B181" s="1493"/>
      <c r="C181" s="1317"/>
      <c r="D181" s="1317"/>
      <c r="E181" s="1317"/>
      <c r="F181" s="1317"/>
      <c r="G181" s="1494"/>
      <c r="H181" s="982"/>
      <c r="I181" s="1017"/>
      <c r="J181" s="1029"/>
      <c r="K181" s="1030"/>
      <c r="L181" s="984"/>
      <c r="M181" s="985"/>
      <c r="N181" s="985"/>
      <c r="O181" s="985"/>
      <c r="P181" s="985"/>
      <c r="Q181" s="978"/>
      <c r="R181" s="972"/>
      <c r="S181" s="973"/>
      <c r="T181" s="1258"/>
      <c r="U181" s="1337"/>
      <c r="Y181" s="74"/>
      <c r="Z181" s="77"/>
      <c r="AA181" s="78"/>
      <c r="AB181" s="78">
        <f t="shared" si="2"/>
        <v>0</v>
      </c>
      <c r="AF181" s="68"/>
      <c r="AG181" s="68"/>
      <c r="AH181" s="68"/>
      <c r="AI181" s="68"/>
      <c r="AJ181" s="68"/>
      <c r="AK181" s="68"/>
    </row>
    <row r="182" spans="1:37" ht="15" customHeight="1" thickBot="1" x14ac:dyDescent="0.3">
      <c r="A182" s="1665"/>
      <c r="B182" s="1493"/>
      <c r="C182" s="1317"/>
      <c r="D182" s="1317"/>
      <c r="E182" s="1317"/>
      <c r="F182" s="1317"/>
      <c r="G182" s="1494"/>
      <c r="H182" s="982"/>
      <c r="I182" s="1017"/>
      <c r="J182" s="1029"/>
      <c r="K182" s="1030"/>
      <c r="L182" s="984"/>
      <c r="M182" s="985"/>
      <c r="N182" s="985"/>
      <c r="O182" s="985"/>
      <c r="P182" s="985"/>
      <c r="Q182" s="978" t="s">
        <v>100</v>
      </c>
      <c r="R182" s="972"/>
      <c r="S182" s="973"/>
      <c r="T182" s="1258"/>
      <c r="U182" s="1337"/>
      <c r="V182" s="72">
        <f>IF(AND(Q182="ja",R182=""),1,0)</f>
        <v>0</v>
      </c>
      <c r="Y182" s="74"/>
      <c r="Z182" s="77"/>
      <c r="AA182" s="78"/>
      <c r="AB182" s="78">
        <f t="shared" si="2"/>
        <v>0</v>
      </c>
      <c r="AF182" s="68"/>
      <c r="AG182" s="68"/>
      <c r="AH182" s="68"/>
      <c r="AI182" s="68"/>
      <c r="AJ182" s="68"/>
      <c r="AK182" s="68"/>
    </row>
    <row r="183" spans="1:37" ht="15" customHeight="1" thickBot="1" x14ac:dyDescent="0.3">
      <c r="A183" s="1665"/>
      <c r="B183" s="1493"/>
      <c r="C183" s="1317"/>
      <c r="D183" s="1317"/>
      <c r="E183" s="1317"/>
      <c r="F183" s="1317"/>
      <c r="G183" s="1494"/>
      <c r="H183" s="982"/>
      <c r="I183" s="1017"/>
      <c r="J183" s="1029"/>
      <c r="K183" s="1030"/>
      <c r="L183" s="984"/>
      <c r="M183" s="985"/>
      <c r="N183" s="985"/>
      <c r="O183" s="985"/>
      <c r="P183" s="985"/>
      <c r="Q183" s="978"/>
      <c r="R183" s="972"/>
      <c r="S183" s="973"/>
      <c r="T183" s="1258"/>
      <c r="U183" s="1337"/>
      <c r="Y183" s="74"/>
      <c r="Z183" s="77"/>
      <c r="AA183" s="78"/>
      <c r="AB183" s="78">
        <f t="shared" si="2"/>
        <v>0</v>
      </c>
      <c r="AF183" s="68"/>
      <c r="AG183" s="68"/>
      <c r="AH183" s="68"/>
      <c r="AI183" s="68"/>
      <c r="AJ183" s="68"/>
      <c r="AK183" s="68"/>
    </row>
    <row r="184" spans="1:37" ht="15" customHeight="1" thickBot="1" x14ac:dyDescent="0.3">
      <c r="A184" s="1665"/>
      <c r="B184" s="1490"/>
      <c r="C184" s="1491"/>
      <c r="D184" s="1491"/>
      <c r="E184" s="1491"/>
      <c r="F184" s="1491"/>
      <c r="G184" s="1492"/>
      <c r="H184" s="983"/>
      <c r="I184" s="1017"/>
      <c r="J184" s="1029"/>
      <c r="K184" s="1030"/>
      <c r="L184" s="984"/>
      <c r="M184" s="985"/>
      <c r="N184" s="985"/>
      <c r="O184" s="985"/>
      <c r="P184" s="985"/>
      <c r="Q184" s="978"/>
      <c r="R184" s="972"/>
      <c r="S184" s="973"/>
      <c r="T184" s="1258"/>
      <c r="U184" s="1337"/>
      <c r="Y184" s="74"/>
      <c r="Z184" s="77"/>
      <c r="AA184" s="78"/>
      <c r="AB184" s="78">
        <f t="shared" si="2"/>
        <v>0</v>
      </c>
      <c r="AF184" s="68"/>
      <c r="AG184" s="68"/>
      <c r="AH184" s="68"/>
      <c r="AI184" s="68"/>
      <c r="AJ184" s="68"/>
      <c r="AK184" s="68"/>
    </row>
    <row r="185" spans="1:37" ht="15" customHeight="1" thickBot="1" x14ac:dyDescent="0.3">
      <c r="A185" s="1665"/>
      <c r="B185" s="1103" t="s">
        <v>237</v>
      </c>
      <c r="C185" s="1104"/>
      <c r="D185" s="1104"/>
      <c r="E185" s="1104"/>
      <c r="F185" s="1104"/>
      <c r="G185" s="1105"/>
      <c r="H185" s="314" t="s">
        <v>100</v>
      </c>
      <c r="I185" s="1017"/>
      <c r="J185" s="1029"/>
      <c r="K185" s="1030"/>
      <c r="L185" s="984" t="s">
        <v>236</v>
      </c>
      <c r="M185" s="985"/>
      <c r="N185" s="985"/>
      <c r="O185" s="985"/>
      <c r="P185" s="985"/>
      <c r="Q185" s="978" t="s">
        <v>100</v>
      </c>
      <c r="R185" s="972"/>
      <c r="S185" s="973"/>
      <c r="T185" s="1258"/>
      <c r="U185" s="1337"/>
      <c r="V185" s="72">
        <f>IF(AND(Q185="ja",R185=""),1,0)</f>
        <v>0</v>
      </c>
      <c r="Y185" s="74">
        <v>5.0000000000000001E-3</v>
      </c>
      <c r="Z185" s="77">
        <f>IF(H185="ja",Y185,0)</f>
        <v>0</v>
      </c>
      <c r="AA185" s="78"/>
      <c r="AB185" s="78">
        <f t="shared" si="2"/>
        <v>0</v>
      </c>
      <c r="AF185" s="68"/>
      <c r="AG185" s="68"/>
      <c r="AH185" s="68"/>
      <c r="AI185" s="68"/>
      <c r="AJ185" s="68"/>
      <c r="AK185" s="68"/>
    </row>
    <row r="186" spans="1:37" ht="15" customHeight="1" thickBot="1" x14ac:dyDescent="0.3">
      <c r="A186" s="1665"/>
      <c r="B186" s="1487" t="s">
        <v>425</v>
      </c>
      <c r="C186" s="1488"/>
      <c r="D186" s="1488"/>
      <c r="E186" s="1488"/>
      <c r="F186" s="1488"/>
      <c r="G186" s="1489"/>
      <c r="H186" s="981" t="s">
        <v>100</v>
      </c>
      <c r="I186" s="1017"/>
      <c r="J186" s="1029"/>
      <c r="K186" s="1030"/>
      <c r="L186" s="984"/>
      <c r="M186" s="985"/>
      <c r="N186" s="985"/>
      <c r="O186" s="985"/>
      <c r="P186" s="985"/>
      <c r="Q186" s="978"/>
      <c r="R186" s="972"/>
      <c r="S186" s="973"/>
      <c r="T186" s="1258"/>
      <c r="U186" s="1337"/>
      <c r="Y186" s="74">
        <v>2.5000000000000001E-3</v>
      </c>
      <c r="Z186" s="77">
        <f>IF(H186="ja",Y186,0)</f>
        <v>0</v>
      </c>
      <c r="AA186" s="78"/>
      <c r="AB186" s="78">
        <f t="shared" si="2"/>
        <v>0</v>
      </c>
      <c r="AF186" s="68"/>
      <c r="AG186" s="68"/>
      <c r="AH186" s="68"/>
      <c r="AI186" s="68"/>
      <c r="AJ186" s="68"/>
      <c r="AK186" s="68"/>
    </row>
    <row r="187" spans="1:37" ht="15" customHeight="1" thickBot="1" x14ac:dyDescent="0.3">
      <c r="A187" s="1665"/>
      <c r="B187" s="1493"/>
      <c r="C187" s="1317"/>
      <c r="D187" s="1317"/>
      <c r="E187" s="1317"/>
      <c r="F187" s="1317"/>
      <c r="G187" s="1494"/>
      <c r="H187" s="982"/>
      <c r="I187" s="1017"/>
      <c r="J187" s="1029"/>
      <c r="K187" s="1030"/>
      <c r="L187" s="984"/>
      <c r="M187" s="985"/>
      <c r="N187" s="985"/>
      <c r="O187" s="985"/>
      <c r="P187" s="985"/>
      <c r="Q187" s="978"/>
      <c r="R187" s="972"/>
      <c r="S187" s="973"/>
      <c r="T187" s="1258"/>
      <c r="U187" s="1337"/>
      <c r="Y187" s="74"/>
      <c r="Z187" s="77"/>
      <c r="AA187" s="78"/>
      <c r="AB187" s="78">
        <f t="shared" si="2"/>
        <v>0</v>
      </c>
      <c r="AF187" s="68"/>
      <c r="AG187" s="68"/>
      <c r="AH187" s="68"/>
      <c r="AI187" s="68"/>
      <c r="AJ187" s="68"/>
      <c r="AK187" s="68"/>
    </row>
    <row r="188" spans="1:37" ht="15" customHeight="1" thickBot="1" x14ac:dyDescent="0.3">
      <c r="A188" s="1665"/>
      <c r="B188" s="1490"/>
      <c r="C188" s="1491"/>
      <c r="D188" s="1491"/>
      <c r="E188" s="1491"/>
      <c r="F188" s="1491"/>
      <c r="G188" s="1492"/>
      <c r="H188" s="983"/>
      <c r="I188" s="1017"/>
      <c r="J188" s="1029"/>
      <c r="K188" s="1030"/>
      <c r="L188" s="984"/>
      <c r="M188" s="985"/>
      <c r="N188" s="985"/>
      <c r="O188" s="985"/>
      <c r="P188" s="985"/>
      <c r="Q188" s="978" t="s">
        <v>100</v>
      </c>
      <c r="R188" s="972"/>
      <c r="S188" s="973"/>
      <c r="T188" s="1258"/>
      <c r="U188" s="1337"/>
      <c r="V188" s="72">
        <f>IF(AND(Q188="ja",R188=""),1,0)</f>
        <v>0</v>
      </c>
      <c r="Y188" s="74"/>
      <c r="Z188" s="77"/>
      <c r="AA188" s="78"/>
      <c r="AB188" s="78">
        <f t="shared" si="2"/>
        <v>0</v>
      </c>
      <c r="AF188" s="68"/>
      <c r="AG188" s="68"/>
      <c r="AH188" s="68"/>
      <c r="AI188" s="68"/>
      <c r="AJ188" s="68"/>
      <c r="AK188" s="68"/>
    </row>
    <row r="189" spans="1:37" ht="15" customHeight="1" thickBot="1" x14ac:dyDescent="0.3">
      <c r="A189" s="1665"/>
      <c r="B189" s="1487" t="s">
        <v>426</v>
      </c>
      <c r="C189" s="1488"/>
      <c r="D189" s="1488"/>
      <c r="E189" s="1488"/>
      <c r="F189" s="1488"/>
      <c r="G189" s="1489"/>
      <c r="H189" s="981" t="s">
        <v>100</v>
      </c>
      <c r="I189" s="1017"/>
      <c r="J189" s="1029"/>
      <c r="K189" s="1030"/>
      <c r="L189" s="984"/>
      <c r="M189" s="985"/>
      <c r="N189" s="985"/>
      <c r="O189" s="985"/>
      <c r="P189" s="985"/>
      <c r="Q189" s="978"/>
      <c r="R189" s="972"/>
      <c r="S189" s="973"/>
      <c r="T189" s="1258"/>
      <c r="U189" s="1337"/>
      <c r="Y189" s="74">
        <v>5.0000000000000001E-3</v>
      </c>
      <c r="Z189" s="77">
        <f>IF(H189="ja",Y189,0)</f>
        <v>0</v>
      </c>
      <c r="AA189" s="78"/>
      <c r="AB189" s="78">
        <f t="shared" si="2"/>
        <v>0</v>
      </c>
      <c r="AF189" s="68"/>
      <c r="AG189" s="68"/>
      <c r="AH189" s="68"/>
      <c r="AI189" s="68"/>
      <c r="AJ189" s="68"/>
      <c r="AK189" s="68"/>
    </row>
    <row r="190" spans="1:37" ht="15" customHeight="1" thickBot="1" x14ac:dyDescent="0.3">
      <c r="A190" s="1665"/>
      <c r="B190" s="1490"/>
      <c r="C190" s="1491"/>
      <c r="D190" s="1491"/>
      <c r="E190" s="1491"/>
      <c r="F190" s="1491"/>
      <c r="G190" s="1492"/>
      <c r="H190" s="983"/>
      <c r="I190" s="1017"/>
      <c r="J190" s="1029"/>
      <c r="K190" s="1030"/>
      <c r="L190" s="984"/>
      <c r="M190" s="985"/>
      <c r="N190" s="985"/>
      <c r="O190" s="985"/>
      <c r="P190" s="985"/>
      <c r="Q190" s="978"/>
      <c r="R190" s="972"/>
      <c r="S190" s="973"/>
      <c r="T190" s="1258"/>
      <c r="U190" s="1337"/>
      <c r="Y190" s="74"/>
      <c r="Z190" s="77"/>
      <c r="AA190" s="77"/>
      <c r="AB190" s="78">
        <f t="shared" si="2"/>
        <v>0</v>
      </c>
      <c r="AF190" s="68"/>
      <c r="AG190" s="68"/>
      <c r="AH190" s="68"/>
      <c r="AI190" s="68"/>
      <c r="AJ190" s="68"/>
      <c r="AK190" s="68"/>
    </row>
    <row r="191" spans="1:37" ht="15" customHeight="1" thickBot="1" x14ac:dyDescent="0.3">
      <c r="A191" s="1665"/>
      <c r="B191" s="1487" t="s">
        <v>427</v>
      </c>
      <c r="C191" s="1488"/>
      <c r="D191" s="1488"/>
      <c r="E191" s="1488"/>
      <c r="F191" s="1488"/>
      <c r="G191" s="1489"/>
      <c r="H191" s="981" t="s">
        <v>100</v>
      </c>
      <c r="I191" s="1017"/>
      <c r="J191" s="1029"/>
      <c r="K191" s="1030"/>
      <c r="L191" s="1539"/>
      <c r="M191" s="1540"/>
      <c r="N191" s="1540"/>
      <c r="O191" s="1540"/>
      <c r="P191" s="1540"/>
      <c r="Q191" s="978" t="s">
        <v>100</v>
      </c>
      <c r="R191" s="972"/>
      <c r="S191" s="973"/>
      <c r="T191" s="1258"/>
      <c r="U191" s="1337"/>
      <c r="V191" s="72">
        <f>IF(AND(Q191="ja",R191=""),1,0)</f>
        <v>0</v>
      </c>
      <c r="Y191" s="74">
        <v>1.5E-3</v>
      </c>
      <c r="Z191" s="77">
        <f>IF(H191="ja",Y191,0)</f>
        <v>0</v>
      </c>
      <c r="AA191" s="78"/>
      <c r="AB191" s="78">
        <f t="shared" si="2"/>
        <v>0</v>
      </c>
      <c r="AF191" s="68"/>
      <c r="AG191" s="68"/>
      <c r="AH191" s="68"/>
      <c r="AI191" s="68"/>
      <c r="AJ191" s="68"/>
      <c r="AK191" s="68"/>
    </row>
    <row r="192" spans="1:37" ht="15" customHeight="1" thickBot="1" x14ac:dyDescent="0.3">
      <c r="A192" s="1665"/>
      <c r="B192" s="1490"/>
      <c r="C192" s="1491"/>
      <c r="D192" s="1491"/>
      <c r="E192" s="1491"/>
      <c r="F192" s="1491"/>
      <c r="G192" s="1492"/>
      <c r="H192" s="983"/>
      <c r="I192" s="1018"/>
      <c r="J192" s="1031"/>
      <c r="K192" s="1032"/>
      <c r="L192" s="1541"/>
      <c r="M192" s="1542"/>
      <c r="N192" s="1542"/>
      <c r="O192" s="1542"/>
      <c r="P192" s="1542"/>
      <c r="Q192" s="979"/>
      <c r="R192" s="974"/>
      <c r="S192" s="975"/>
      <c r="T192" s="1259"/>
      <c r="U192" s="1337"/>
      <c r="Y192" s="74"/>
      <c r="Z192" s="77"/>
      <c r="AA192" s="78"/>
      <c r="AB192" s="78">
        <f t="shared" si="2"/>
        <v>0</v>
      </c>
      <c r="AF192" s="68"/>
      <c r="AG192" s="68"/>
      <c r="AH192" s="68"/>
      <c r="AI192" s="68"/>
      <c r="AJ192" s="68"/>
      <c r="AK192" s="68"/>
    </row>
    <row r="193" spans="1:37" ht="14.55" thickBot="1" x14ac:dyDescent="0.3">
      <c r="A193" s="1665"/>
      <c r="B193" s="1511" t="s">
        <v>428</v>
      </c>
      <c r="C193" s="1512"/>
      <c r="D193" s="1512"/>
      <c r="E193" s="1512"/>
      <c r="F193" s="1512"/>
      <c r="G193" s="1513"/>
      <c r="H193" s="342"/>
      <c r="I193" s="343"/>
      <c r="J193" s="344"/>
      <c r="K193" s="344"/>
      <c r="L193" s="1534">
        <f>SUM(R179:S192)</f>
        <v>0</v>
      </c>
      <c r="M193" s="1535"/>
      <c r="N193" s="1535"/>
      <c r="O193" s="1535"/>
      <c r="P193" s="1535"/>
      <c r="Q193" s="338"/>
      <c r="R193" s="1495"/>
      <c r="S193" s="1496"/>
      <c r="U193" s="334"/>
      <c r="Y193" s="74"/>
      <c r="Z193" s="152">
        <f>SUM(Z179:Z191)</f>
        <v>0</v>
      </c>
      <c r="AA193" s="78"/>
      <c r="AB193" s="78">
        <f t="shared" si="2"/>
        <v>0</v>
      </c>
      <c r="AF193" s="68"/>
      <c r="AG193" s="68"/>
      <c r="AH193" s="68"/>
      <c r="AI193" s="68"/>
      <c r="AJ193" s="68"/>
      <c r="AK193" s="68"/>
    </row>
    <row r="194" spans="1:37" ht="15" customHeight="1" thickBot="1" x14ac:dyDescent="0.3">
      <c r="A194" s="1665"/>
      <c r="B194" s="1497" t="s">
        <v>429</v>
      </c>
      <c r="C194" s="1498"/>
      <c r="D194" s="1498"/>
      <c r="E194" s="1498"/>
      <c r="F194" s="1498"/>
      <c r="G194" s="1499"/>
      <c r="H194" s="1194" t="s">
        <v>100</v>
      </c>
      <c r="I194" s="1016">
        <f>Z235</f>
        <v>0</v>
      </c>
      <c r="J194" s="1027">
        <f>I194*I115</f>
        <v>0</v>
      </c>
      <c r="K194" s="1028"/>
      <c r="L194" s="1285" t="s">
        <v>430</v>
      </c>
      <c r="M194" s="1286"/>
      <c r="N194" s="1286"/>
      <c r="O194" s="1286"/>
      <c r="P194" s="1287"/>
      <c r="Q194" s="1677" t="s">
        <v>100</v>
      </c>
      <c r="R194" s="1296"/>
      <c r="S194" s="1297"/>
      <c r="T194" s="1257" t="str">
        <f>IFERROR(IF((VLOOKUP(U194,Überblick!$M$125:$N$133,2))="ja","ja","nein"),"")</f>
        <v/>
      </c>
      <c r="U194" s="1337"/>
      <c r="V194" s="72">
        <f>IF(AND(Q194="ja",R194=""),1,0)</f>
        <v>0</v>
      </c>
      <c r="Y194" s="74">
        <v>0.17499999999999999</v>
      </c>
      <c r="Z194" s="77">
        <f>IF(H194="ja",Y194,0)</f>
        <v>0</v>
      </c>
      <c r="AA194" s="78"/>
      <c r="AB194" s="78">
        <f t="shared" si="2"/>
        <v>0</v>
      </c>
      <c r="AF194" s="68"/>
      <c r="AG194" s="68"/>
      <c r="AH194" s="68"/>
      <c r="AI194" s="68"/>
      <c r="AJ194" s="68"/>
      <c r="AK194" s="68"/>
    </row>
    <row r="195" spans="1:37" ht="15" customHeight="1" thickBot="1" x14ac:dyDescent="0.3">
      <c r="A195" s="1665"/>
      <c r="B195" s="1493"/>
      <c r="C195" s="1317"/>
      <c r="D195" s="1317"/>
      <c r="E195" s="1317"/>
      <c r="F195" s="1317"/>
      <c r="G195" s="1494"/>
      <c r="H195" s="982"/>
      <c r="I195" s="1017"/>
      <c r="J195" s="1029"/>
      <c r="K195" s="1030"/>
      <c r="L195" s="1288"/>
      <c r="M195" s="1289"/>
      <c r="N195" s="1289"/>
      <c r="O195" s="1289"/>
      <c r="P195" s="1290"/>
      <c r="Q195" s="1678"/>
      <c r="R195" s="1007"/>
      <c r="S195" s="1008"/>
      <c r="T195" s="1258"/>
      <c r="U195" s="1337"/>
      <c r="Y195" s="74"/>
      <c r="Z195" s="77"/>
      <c r="AA195" s="78"/>
      <c r="AB195" s="78">
        <f t="shared" si="2"/>
        <v>0</v>
      </c>
      <c r="AF195" s="68"/>
      <c r="AG195" s="68"/>
      <c r="AH195" s="68"/>
      <c r="AI195" s="68"/>
      <c r="AJ195" s="68"/>
      <c r="AK195" s="68"/>
    </row>
    <row r="196" spans="1:37" ht="15" customHeight="1" thickBot="1" x14ac:dyDescent="0.3">
      <c r="A196" s="1665"/>
      <c r="B196" s="1493"/>
      <c r="C196" s="1317"/>
      <c r="D196" s="1317"/>
      <c r="E196" s="1317"/>
      <c r="F196" s="1317"/>
      <c r="G196" s="1494"/>
      <c r="H196" s="982"/>
      <c r="I196" s="1017"/>
      <c r="J196" s="1029"/>
      <c r="K196" s="1030"/>
      <c r="L196" s="1288"/>
      <c r="M196" s="1289"/>
      <c r="N196" s="1289"/>
      <c r="O196" s="1289"/>
      <c r="P196" s="1290"/>
      <c r="Q196" s="1678"/>
      <c r="R196" s="1007"/>
      <c r="S196" s="1008"/>
      <c r="T196" s="1258"/>
      <c r="U196" s="1337"/>
      <c r="Y196" s="74"/>
      <c r="Z196" s="77"/>
      <c r="AA196" s="78"/>
      <c r="AB196" s="78">
        <f t="shared" si="2"/>
        <v>0</v>
      </c>
      <c r="AF196" s="68"/>
      <c r="AG196" s="68"/>
      <c r="AH196" s="68"/>
      <c r="AI196" s="68"/>
      <c r="AJ196" s="68"/>
      <c r="AK196" s="68"/>
    </row>
    <row r="197" spans="1:37" ht="15" customHeight="1" thickBot="1" x14ac:dyDescent="0.3">
      <c r="A197" s="1665"/>
      <c r="B197" s="1493"/>
      <c r="C197" s="1317"/>
      <c r="D197" s="1317"/>
      <c r="E197" s="1317"/>
      <c r="F197" s="1317"/>
      <c r="G197" s="1494"/>
      <c r="H197" s="982"/>
      <c r="I197" s="1017"/>
      <c r="J197" s="1029"/>
      <c r="K197" s="1030"/>
      <c r="L197" s="1288"/>
      <c r="M197" s="1289"/>
      <c r="N197" s="1289"/>
      <c r="O197" s="1289"/>
      <c r="P197" s="1290"/>
      <c r="Q197" s="1678"/>
      <c r="R197" s="1007"/>
      <c r="S197" s="1008"/>
      <c r="T197" s="1258"/>
      <c r="U197" s="1337"/>
      <c r="V197" s="72">
        <f>IF(AND(Q197="ja",R197=""),1,0)</f>
        <v>0</v>
      </c>
      <c r="Y197" s="74"/>
      <c r="Z197" s="77"/>
      <c r="AA197" s="78"/>
      <c r="AB197" s="78">
        <f t="shared" si="2"/>
        <v>0</v>
      </c>
      <c r="AF197" s="68"/>
      <c r="AG197" s="68"/>
      <c r="AH197" s="68"/>
      <c r="AI197" s="68"/>
      <c r="AJ197" s="68"/>
      <c r="AK197" s="68"/>
    </row>
    <row r="198" spans="1:37" ht="15" customHeight="1" thickBot="1" x14ac:dyDescent="0.3">
      <c r="A198" s="1665"/>
      <c r="B198" s="1493"/>
      <c r="C198" s="1317"/>
      <c r="D198" s="1317"/>
      <c r="E198" s="1317"/>
      <c r="F198" s="1317"/>
      <c r="G198" s="1494"/>
      <c r="H198" s="982"/>
      <c r="I198" s="1017"/>
      <c r="J198" s="1029"/>
      <c r="K198" s="1030"/>
      <c r="L198" s="1288"/>
      <c r="M198" s="1289"/>
      <c r="N198" s="1289"/>
      <c r="O198" s="1289"/>
      <c r="P198" s="1290"/>
      <c r="Q198" s="1678"/>
      <c r="R198" s="1007"/>
      <c r="S198" s="1008"/>
      <c r="T198" s="1258"/>
      <c r="U198" s="1337"/>
      <c r="Y198" s="74"/>
      <c r="Z198" s="77"/>
      <c r="AA198" s="78"/>
      <c r="AB198" s="78">
        <f t="shared" si="2"/>
        <v>0</v>
      </c>
      <c r="AF198" s="68"/>
      <c r="AG198" s="68"/>
      <c r="AH198" s="68"/>
      <c r="AI198" s="68"/>
      <c r="AJ198" s="68"/>
      <c r="AK198" s="68"/>
    </row>
    <row r="199" spans="1:37" ht="15" customHeight="1" thickBot="1" x14ac:dyDescent="0.3">
      <c r="A199" s="1665"/>
      <c r="B199" s="1493"/>
      <c r="C199" s="1317"/>
      <c r="D199" s="1317"/>
      <c r="E199" s="1317"/>
      <c r="F199" s="1317"/>
      <c r="G199" s="1494"/>
      <c r="H199" s="982"/>
      <c r="I199" s="1017"/>
      <c r="J199" s="1029"/>
      <c r="K199" s="1030"/>
      <c r="L199" s="1288"/>
      <c r="M199" s="1289"/>
      <c r="N199" s="1289"/>
      <c r="O199" s="1289"/>
      <c r="P199" s="1290"/>
      <c r="Q199" s="1678"/>
      <c r="R199" s="1007"/>
      <c r="S199" s="1008"/>
      <c r="T199" s="1258"/>
      <c r="U199" s="1337"/>
      <c r="Y199" s="74"/>
      <c r="Z199" s="77"/>
      <c r="AA199" s="78"/>
      <c r="AB199" s="78">
        <f t="shared" si="2"/>
        <v>0</v>
      </c>
      <c r="AF199" s="68"/>
      <c r="AG199" s="68"/>
      <c r="AH199" s="68"/>
      <c r="AI199" s="68"/>
      <c r="AJ199" s="68"/>
      <c r="AK199" s="68"/>
    </row>
    <row r="200" spans="1:37" ht="15" customHeight="1" thickBot="1" x14ac:dyDescent="0.3">
      <c r="A200" s="1665"/>
      <c r="B200" s="1490"/>
      <c r="C200" s="1491"/>
      <c r="D200" s="1491"/>
      <c r="E200" s="1491"/>
      <c r="F200" s="1491"/>
      <c r="G200" s="1492"/>
      <c r="H200" s="983"/>
      <c r="I200" s="1017"/>
      <c r="J200" s="1029"/>
      <c r="K200" s="1030"/>
      <c r="L200" s="1288"/>
      <c r="M200" s="1289"/>
      <c r="N200" s="1289"/>
      <c r="O200" s="1289"/>
      <c r="P200" s="1290"/>
      <c r="Q200" s="1678"/>
      <c r="R200" s="1007"/>
      <c r="S200" s="1008"/>
      <c r="T200" s="1258"/>
      <c r="U200" s="1337"/>
      <c r="V200" s="72">
        <f>IF(AND(Q200="ja",R200=""),1,0)</f>
        <v>0</v>
      </c>
      <c r="Y200" s="74"/>
      <c r="Z200" s="77"/>
      <c r="AA200" s="78"/>
      <c r="AB200" s="78">
        <f t="shared" si="2"/>
        <v>0</v>
      </c>
      <c r="AF200" s="68"/>
      <c r="AG200" s="68"/>
      <c r="AH200" s="68"/>
      <c r="AI200" s="68"/>
      <c r="AJ200" s="68"/>
      <c r="AK200" s="68"/>
    </row>
    <row r="201" spans="1:37" ht="15" customHeight="1" thickBot="1" x14ac:dyDescent="0.3">
      <c r="A201" s="1665"/>
      <c r="B201" s="1103" t="s">
        <v>431</v>
      </c>
      <c r="C201" s="1104"/>
      <c r="D201" s="1104"/>
      <c r="E201" s="1104"/>
      <c r="F201" s="1104"/>
      <c r="G201" s="1105"/>
      <c r="H201" s="314" t="s">
        <v>100</v>
      </c>
      <c r="I201" s="1017"/>
      <c r="J201" s="1029"/>
      <c r="K201" s="1030"/>
      <c r="L201" s="1288"/>
      <c r="M201" s="1289"/>
      <c r="N201" s="1289"/>
      <c r="O201" s="1289"/>
      <c r="P201" s="1290"/>
      <c r="Q201" s="1678"/>
      <c r="R201" s="1007"/>
      <c r="S201" s="1008"/>
      <c r="T201" s="1258"/>
      <c r="U201" s="1337"/>
      <c r="Y201" s="74">
        <v>3.0000000000000001E-3</v>
      </c>
      <c r="Z201" s="77">
        <f>IF(H201="ja",Y201,0)</f>
        <v>0</v>
      </c>
      <c r="AA201" s="78"/>
      <c r="AB201" s="78">
        <f t="shared" si="2"/>
        <v>0</v>
      </c>
      <c r="AF201" s="68"/>
      <c r="AG201" s="68"/>
      <c r="AH201" s="68"/>
      <c r="AI201" s="68"/>
      <c r="AJ201" s="68"/>
      <c r="AK201" s="68"/>
    </row>
    <row r="202" spans="1:37" ht="15" customHeight="1" thickBot="1" x14ac:dyDescent="0.3">
      <c r="A202" s="1665"/>
      <c r="B202" s="1487" t="s">
        <v>432</v>
      </c>
      <c r="C202" s="1488"/>
      <c r="D202" s="1488"/>
      <c r="E202" s="1488"/>
      <c r="F202" s="1488"/>
      <c r="G202" s="1489"/>
      <c r="H202" s="981" t="s">
        <v>100</v>
      </c>
      <c r="I202" s="1017"/>
      <c r="J202" s="1029"/>
      <c r="K202" s="1030"/>
      <c r="L202" s="1288"/>
      <c r="M202" s="1289"/>
      <c r="N202" s="1289"/>
      <c r="O202" s="1289"/>
      <c r="P202" s="1290"/>
      <c r="Q202" s="1678"/>
      <c r="R202" s="1007"/>
      <c r="S202" s="1008"/>
      <c r="T202" s="1258"/>
      <c r="U202" s="1337"/>
      <c r="Y202" s="74">
        <v>6.4999999999999997E-3</v>
      </c>
      <c r="Z202" s="77">
        <f>IF(H202="ja",Y202,0)</f>
        <v>0</v>
      </c>
      <c r="AA202" s="78"/>
      <c r="AB202" s="78">
        <f t="shared" si="2"/>
        <v>0</v>
      </c>
      <c r="AF202" s="68"/>
      <c r="AG202" s="68"/>
      <c r="AH202" s="68"/>
      <c r="AI202" s="68"/>
      <c r="AJ202" s="68"/>
      <c r="AK202" s="68"/>
    </row>
    <row r="203" spans="1:37" ht="15" customHeight="1" thickBot="1" x14ac:dyDescent="0.3">
      <c r="A203" s="1665"/>
      <c r="B203" s="1490"/>
      <c r="C203" s="1491"/>
      <c r="D203" s="1491"/>
      <c r="E203" s="1491"/>
      <c r="F203" s="1491"/>
      <c r="G203" s="1492"/>
      <c r="H203" s="983"/>
      <c r="I203" s="1017"/>
      <c r="J203" s="1029"/>
      <c r="K203" s="1030"/>
      <c r="L203" s="1288"/>
      <c r="M203" s="1289"/>
      <c r="N203" s="1289"/>
      <c r="O203" s="1289"/>
      <c r="P203" s="1290"/>
      <c r="Q203" s="1679"/>
      <c r="R203" s="1269"/>
      <c r="S203" s="1270"/>
      <c r="T203" s="1258"/>
      <c r="U203" s="1337"/>
      <c r="V203" s="72">
        <f>IF(AND(Q204="ja",R204=""),1,0)</f>
        <v>0</v>
      </c>
      <c r="Y203" s="74"/>
      <c r="Z203" s="77"/>
      <c r="AA203" s="78"/>
      <c r="AB203" s="78">
        <f>IF(Q204="ja",1,0)</f>
        <v>0</v>
      </c>
      <c r="AF203" s="68"/>
      <c r="AG203" s="68"/>
      <c r="AH203" s="68"/>
      <c r="AI203" s="68"/>
      <c r="AJ203" s="68"/>
      <c r="AK203" s="68"/>
    </row>
    <row r="204" spans="1:37" ht="15" customHeight="1" thickBot="1" x14ac:dyDescent="0.3">
      <c r="A204" s="1665"/>
      <c r="B204" s="1103" t="s">
        <v>433</v>
      </c>
      <c r="C204" s="1104"/>
      <c r="D204" s="1104"/>
      <c r="E204" s="1104"/>
      <c r="F204" s="1104"/>
      <c r="G204" s="1105"/>
      <c r="H204" s="314" t="s">
        <v>100</v>
      </c>
      <c r="I204" s="1017"/>
      <c r="J204" s="1029"/>
      <c r="K204" s="1030"/>
      <c r="L204" s="1484" t="s">
        <v>247</v>
      </c>
      <c r="M204" s="1485"/>
      <c r="N204" s="1485"/>
      <c r="O204" s="1485"/>
      <c r="P204" s="1486"/>
      <c r="Q204" s="979" t="s">
        <v>100</v>
      </c>
      <c r="R204" s="1005"/>
      <c r="S204" s="1006"/>
      <c r="T204" s="1258"/>
      <c r="U204" s="1337"/>
      <c r="Y204" s="74">
        <v>5.0000000000000001E-3</v>
      </c>
      <c r="Z204" s="77">
        <f>IF(H204="ja",Y204,0)</f>
        <v>0</v>
      </c>
      <c r="AA204" s="78"/>
      <c r="AB204" s="78">
        <f>IF(Q205="ja",1,0)</f>
        <v>0</v>
      </c>
      <c r="AF204" s="68"/>
      <c r="AG204" s="68"/>
      <c r="AH204" s="68"/>
      <c r="AI204" s="68"/>
      <c r="AJ204" s="68"/>
      <c r="AK204" s="68"/>
    </row>
    <row r="205" spans="1:37" ht="15" customHeight="1" thickBot="1" x14ac:dyDescent="0.3">
      <c r="A205" s="1665"/>
      <c r="B205" s="1487" t="s">
        <v>434</v>
      </c>
      <c r="C205" s="1488"/>
      <c r="D205" s="1488"/>
      <c r="E205" s="1488"/>
      <c r="F205" s="1488"/>
      <c r="G205" s="1489"/>
      <c r="H205" s="981" t="s">
        <v>100</v>
      </c>
      <c r="I205" s="1017"/>
      <c r="J205" s="1029"/>
      <c r="K205" s="1030"/>
      <c r="L205" s="1291"/>
      <c r="M205" s="1292"/>
      <c r="N205" s="1292"/>
      <c r="O205" s="1292"/>
      <c r="P205" s="1293"/>
      <c r="Q205" s="1295"/>
      <c r="R205" s="1269"/>
      <c r="S205" s="1270"/>
      <c r="T205" s="1258"/>
      <c r="U205" s="1337"/>
      <c r="Y205" s="74">
        <v>1E-3</v>
      </c>
      <c r="Z205" s="77">
        <f>IF(H205="ja",Y205,0)</f>
        <v>0</v>
      </c>
      <c r="AA205" s="78"/>
      <c r="AB205" s="78">
        <f t="shared" si="2"/>
        <v>0</v>
      </c>
      <c r="AF205" s="68"/>
      <c r="AG205" s="68"/>
      <c r="AH205" s="68"/>
      <c r="AI205" s="68"/>
      <c r="AJ205" s="68"/>
      <c r="AK205" s="68"/>
    </row>
    <row r="206" spans="1:37" ht="15" customHeight="1" thickBot="1" x14ac:dyDescent="0.3">
      <c r="A206" s="1665"/>
      <c r="B206" s="1493"/>
      <c r="C206" s="1317"/>
      <c r="D206" s="1317"/>
      <c r="E206" s="1317"/>
      <c r="F206" s="1317"/>
      <c r="G206" s="1494"/>
      <c r="H206" s="982"/>
      <c r="I206" s="1017"/>
      <c r="J206" s="1029"/>
      <c r="K206" s="1030"/>
      <c r="L206" s="984"/>
      <c r="M206" s="985"/>
      <c r="N206" s="985"/>
      <c r="O206" s="985"/>
      <c r="P206" s="985"/>
      <c r="Q206" s="978" t="s">
        <v>100</v>
      </c>
      <c r="R206" s="972"/>
      <c r="S206" s="973"/>
      <c r="T206" s="1258"/>
      <c r="U206" s="1337"/>
      <c r="V206" s="72">
        <f>IF(AND(Q206="ja",R206=""),1,0)</f>
        <v>0</v>
      </c>
      <c r="Y206" s="74"/>
      <c r="Z206" s="77"/>
      <c r="AA206" s="78"/>
      <c r="AB206" s="78">
        <f t="shared" si="2"/>
        <v>0</v>
      </c>
      <c r="AF206" s="68"/>
      <c r="AG206" s="68"/>
      <c r="AH206" s="68"/>
      <c r="AI206" s="68"/>
      <c r="AJ206" s="68"/>
      <c r="AK206" s="68"/>
    </row>
    <row r="207" spans="1:37" ht="15" customHeight="1" thickBot="1" x14ac:dyDescent="0.3">
      <c r="A207" s="1665"/>
      <c r="B207" s="1490"/>
      <c r="C207" s="1491"/>
      <c r="D207" s="1491"/>
      <c r="E207" s="1491"/>
      <c r="F207" s="1491"/>
      <c r="G207" s="1492"/>
      <c r="H207" s="983"/>
      <c r="I207" s="1017"/>
      <c r="J207" s="1029"/>
      <c r="K207" s="1030"/>
      <c r="L207" s="984"/>
      <c r="M207" s="985"/>
      <c r="N207" s="985"/>
      <c r="O207" s="985"/>
      <c r="P207" s="985"/>
      <c r="Q207" s="978"/>
      <c r="R207" s="972"/>
      <c r="S207" s="973"/>
      <c r="T207" s="1258"/>
      <c r="U207" s="1337"/>
      <c r="Y207" s="74"/>
      <c r="Z207" s="77"/>
      <c r="AA207" s="78"/>
      <c r="AB207" s="78">
        <f t="shared" si="2"/>
        <v>0</v>
      </c>
      <c r="AF207" s="68"/>
      <c r="AG207" s="68"/>
      <c r="AH207" s="68"/>
      <c r="AI207" s="68"/>
      <c r="AJ207" s="68"/>
      <c r="AK207" s="68"/>
    </row>
    <row r="208" spans="1:37" ht="15" customHeight="1" thickBot="1" x14ac:dyDescent="0.3">
      <c r="A208" s="1665"/>
      <c r="B208" s="1103" t="s">
        <v>435</v>
      </c>
      <c r="C208" s="1104"/>
      <c r="D208" s="1104"/>
      <c r="E208" s="1104"/>
      <c r="F208" s="1104"/>
      <c r="G208" s="1105"/>
      <c r="H208" s="314" t="s">
        <v>100</v>
      </c>
      <c r="I208" s="1017"/>
      <c r="J208" s="1029"/>
      <c r="K208" s="1030"/>
      <c r="L208" s="984"/>
      <c r="M208" s="985"/>
      <c r="N208" s="985"/>
      <c r="O208" s="985"/>
      <c r="P208" s="985"/>
      <c r="Q208" s="978"/>
      <c r="R208" s="972"/>
      <c r="S208" s="973"/>
      <c r="T208" s="1258"/>
      <c r="U208" s="1337"/>
      <c r="Y208" s="74">
        <v>2.2499999999999999E-2</v>
      </c>
      <c r="Z208" s="77">
        <f>IF(H208="ja",Y208,0)</f>
        <v>0</v>
      </c>
      <c r="AA208" s="78"/>
      <c r="AB208" s="78">
        <f t="shared" si="2"/>
        <v>0</v>
      </c>
      <c r="AF208" s="68"/>
      <c r="AG208" s="68"/>
      <c r="AH208" s="68"/>
      <c r="AI208" s="68"/>
      <c r="AJ208" s="68"/>
      <c r="AK208" s="68"/>
    </row>
    <row r="209" spans="1:37" ht="15" customHeight="1" thickBot="1" x14ac:dyDescent="0.3">
      <c r="A209" s="1665"/>
      <c r="B209" s="1487" t="s">
        <v>436</v>
      </c>
      <c r="C209" s="1488"/>
      <c r="D209" s="1488"/>
      <c r="E209" s="1488"/>
      <c r="F209" s="1488"/>
      <c r="G209" s="1489"/>
      <c r="H209" s="981" t="s">
        <v>100</v>
      </c>
      <c r="I209" s="1017"/>
      <c r="J209" s="1029"/>
      <c r="K209" s="1030"/>
      <c r="L209" s="984" t="s">
        <v>437</v>
      </c>
      <c r="M209" s="985"/>
      <c r="N209" s="985"/>
      <c r="O209" s="985"/>
      <c r="P209" s="985"/>
      <c r="Q209" s="978" t="s">
        <v>100</v>
      </c>
      <c r="R209" s="972"/>
      <c r="S209" s="973"/>
      <c r="T209" s="1258"/>
      <c r="U209" s="1337"/>
      <c r="V209" s="72">
        <f>IF(AND(Q209="ja",R209=""),1,0)</f>
        <v>0</v>
      </c>
      <c r="Y209" s="74">
        <v>6.5000000000000002E-2</v>
      </c>
      <c r="Z209" s="77">
        <f>IF(H209="ja",Y209,0)</f>
        <v>0</v>
      </c>
      <c r="AA209" s="78"/>
      <c r="AB209" s="78">
        <f t="shared" si="2"/>
        <v>0</v>
      </c>
      <c r="AF209" s="68"/>
      <c r="AG209" s="68"/>
      <c r="AH209" s="68"/>
      <c r="AI209" s="68"/>
      <c r="AJ209" s="68"/>
      <c r="AK209" s="68"/>
    </row>
    <row r="210" spans="1:37" ht="15" customHeight="1" thickBot="1" x14ac:dyDescent="0.3">
      <c r="A210" s="166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78">
        <f t="shared" si="2"/>
        <v>0</v>
      </c>
      <c r="AF210" s="68"/>
      <c r="AG210" s="68"/>
      <c r="AH210" s="68"/>
      <c r="AI210" s="68"/>
      <c r="AJ210" s="68"/>
      <c r="AK210" s="68"/>
    </row>
    <row r="211" spans="1:37" ht="15" customHeight="1" thickBot="1" x14ac:dyDescent="0.3">
      <c r="A211" s="1665"/>
      <c r="B211" s="1493"/>
      <c r="C211" s="1317"/>
      <c r="D211" s="1317"/>
      <c r="E211" s="1317"/>
      <c r="F211" s="1317"/>
      <c r="G211" s="1494"/>
      <c r="H211" s="982"/>
      <c r="I211" s="1017"/>
      <c r="J211" s="1029"/>
      <c r="K211" s="1030"/>
      <c r="L211" s="984"/>
      <c r="M211" s="985"/>
      <c r="N211" s="985"/>
      <c r="O211" s="985"/>
      <c r="P211" s="985"/>
      <c r="Q211" s="978"/>
      <c r="R211" s="972"/>
      <c r="S211" s="973"/>
      <c r="T211" s="1258"/>
      <c r="U211" s="1337"/>
      <c r="Y211" s="74"/>
      <c r="Z211" s="77"/>
      <c r="AA211" s="78"/>
      <c r="AB211" s="78">
        <f t="shared" si="2"/>
        <v>0</v>
      </c>
      <c r="AF211" s="68"/>
      <c r="AG211" s="68"/>
      <c r="AH211" s="68"/>
      <c r="AI211" s="68"/>
      <c r="AJ211" s="68"/>
      <c r="AK211" s="68"/>
    </row>
    <row r="212" spans="1:37" ht="15" customHeight="1" thickBot="1" x14ac:dyDescent="0.3">
      <c r="A212" s="1665"/>
      <c r="B212" s="1490"/>
      <c r="C212" s="1491"/>
      <c r="D212" s="1491"/>
      <c r="E212" s="1491"/>
      <c r="F212" s="1491"/>
      <c r="G212" s="1492"/>
      <c r="H212" s="983"/>
      <c r="I212" s="1017"/>
      <c r="J212" s="1029"/>
      <c r="K212" s="1030"/>
      <c r="L212" s="1484" t="s">
        <v>438</v>
      </c>
      <c r="M212" s="1485"/>
      <c r="N212" s="1485"/>
      <c r="O212" s="1485"/>
      <c r="P212" s="1486"/>
      <c r="Q212" s="1680" t="s">
        <v>100</v>
      </c>
      <c r="R212" s="1005"/>
      <c r="S212" s="1006"/>
      <c r="T212" s="1258"/>
      <c r="U212" s="1337"/>
      <c r="V212" s="72">
        <f>IF(AND(Q212="ja",R212=""),1,0)</f>
        <v>0</v>
      </c>
      <c r="Y212" s="74"/>
      <c r="Z212" s="77"/>
      <c r="AA212" s="78"/>
      <c r="AB212" s="78">
        <f t="shared" si="2"/>
        <v>0</v>
      </c>
      <c r="AF212" s="68"/>
      <c r="AG212" s="68"/>
      <c r="AH212" s="68"/>
      <c r="AI212" s="68"/>
      <c r="AJ212" s="68"/>
      <c r="AK212" s="68"/>
    </row>
    <row r="213" spans="1:37" ht="15" customHeight="1" thickBot="1" x14ac:dyDescent="0.3">
      <c r="A213" s="1665"/>
      <c r="B213" s="1487" t="s">
        <v>439</v>
      </c>
      <c r="C213" s="1488"/>
      <c r="D213" s="1488"/>
      <c r="E213" s="1488"/>
      <c r="F213" s="1488"/>
      <c r="G213" s="1489"/>
      <c r="H213" s="981" t="s">
        <v>100</v>
      </c>
      <c r="I213" s="1017"/>
      <c r="J213" s="1029"/>
      <c r="K213" s="1030"/>
      <c r="L213" s="1288"/>
      <c r="M213" s="1289"/>
      <c r="N213" s="1289"/>
      <c r="O213" s="1289"/>
      <c r="P213" s="1290"/>
      <c r="Q213" s="1681"/>
      <c r="R213" s="1007"/>
      <c r="S213" s="1008"/>
      <c r="T213" s="1258"/>
      <c r="U213" s="1337"/>
      <c r="Y213" s="74">
        <v>8.5000000000000006E-3</v>
      </c>
      <c r="Z213" s="77">
        <f>IF(H213="ja",Y213,0)</f>
        <v>0</v>
      </c>
      <c r="AA213" s="78"/>
      <c r="AB213" s="78">
        <f t="shared" si="2"/>
        <v>0</v>
      </c>
      <c r="AF213" s="68"/>
      <c r="AG213" s="68"/>
      <c r="AH213" s="68"/>
      <c r="AI213" s="68"/>
      <c r="AJ213" s="68"/>
      <c r="AK213" s="68"/>
    </row>
    <row r="214" spans="1:37" ht="15" customHeight="1" thickBot="1" x14ac:dyDescent="0.3">
      <c r="A214" s="1665"/>
      <c r="B214" s="1493"/>
      <c r="C214" s="1317"/>
      <c r="D214" s="1317"/>
      <c r="E214" s="1317"/>
      <c r="F214" s="1317"/>
      <c r="G214" s="1494"/>
      <c r="H214" s="982"/>
      <c r="I214" s="1017"/>
      <c r="J214" s="1029"/>
      <c r="K214" s="1030"/>
      <c r="L214" s="1288"/>
      <c r="M214" s="1289"/>
      <c r="N214" s="1289"/>
      <c r="O214" s="1289"/>
      <c r="P214" s="1290"/>
      <c r="Q214" s="1681"/>
      <c r="R214" s="1007"/>
      <c r="S214" s="1008"/>
      <c r="T214" s="1258"/>
      <c r="U214" s="1337"/>
      <c r="Y214" s="74"/>
      <c r="Z214" s="77"/>
      <c r="AA214" s="78"/>
      <c r="AB214" s="78">
        <f t="shared" si="2"/>
        <v>0</v>
      </c>
      <c r="AF214" s="68"/>
      <c r="AG214" s="68"/>
      <c r="AH214" s="68"/>
      <c r="AI214" s="68"/>
      <c r="AJ214" s="68"/>
      <c r="AK214" s="68"/>
    </row>
    <row r="215" spans="1:37" ht="15" customHeight="1" thickBot="1" x14ac:dyDescent="0.3">
      <c r="A215" s="1665"/>
      <c r="B215" s="1493"/>
      <c r="C215" s="1317"/>
      <c r="D215" s="1317"/>
      <c r="E215" s="1317"/>
      <c r="F215" s="1317"/>
      <c r="G215" s="1494"/>
      <c r="H215" s="982"/>
      <c r="I215" s="1017"/>
      <c r="J215" s="1029"/>
      <c r="K215" s="1030"/>
      <c r="L215" s="1288"/>
      <c r="M215" s="1289"/>
      <c r="N215" s="1289"/>
      <c r="O215" s="1289"/>
      <c r="P215" s="1290"/>
      <c r="Q215" s="1681"/>
      <c r="R215" s="1007"/>
      <c r="S215" s="1008"/>
      <c r="T215" s="1258"/>
      <c r="U215" s="1337"/>
      <c r="V215" s="72">
        <f>IF(AND(Q215="ja",R215=""),1,0)</f>
        <v>0</v>
      </c>
      <c r="Y215" s="74"/>
      <c r="Z215" s="77"/>
      <c r="AA215" s="78"/>
      <c r="AB215" s="78">
        <f t="shared" si="2"/>
        <v>0</v>
      </c>
      <c r="AF215" s="68"/>
      <c r="AG215" s="68"/>
      <c r="AH215" s="68"/>
      <c r="AI215" s="68"/>
      <c r="AJ215" s="68"/>
      <c r="AK215" s="68"/>
    </row>
    <row r="216" spans="1:37" ht="15" customHeight="1" thickBot="1" x14ac:dyDescent="0.3">
      <c r="A216" s="1665"/>
      <c r="B216" s="1490"/>
      <c r="C216" s="1491"/>
      <c r="D216" s="1491"/>
      <c r="E216" s="1491"/>
      <c r="F216" s="1491"/>
      <c r="G216" s="1492"/>
      <c r="H216" s="983"/>
      <c r="I216" s="1017"/>
      <c r="J216" s="1029"/>
      <c r="K216" s="1030"/>
      <c r="L216" s="1288"/>
      <c r="M216" s="1289"/>
      <c r="N216" s="1289"/>
      <c r="O216" s="1289"/>
      <c r="P216" s="1290"/>
      <c r="Q216" s="1681"/>
      <c r="R216" s="1007"/>
      <c r="S216" s="1008"/>
      <c r="T216" s="1258"/>
      <c r="U216" s="1337"/>
      <c r="Y216" s="74"/>
      <c r="Z216" s="77"/>
      <c r="AA216" s="78"/>
      <c r="AB216" s="78">
        <f t="shared" si="2"/>
        <v>0</v>
      </c>
      <c r="AF216" s="68"/>
      <c r="AG216" s="68"/>
      <c r="AH216" s="68"/>
      <c r="AI216" s="68"/>
      <c r="AJ216" s="68"/>
      <c r="AK216" s="68"/>
    </row>
    <row r="217" spans="1:37" ht="15" customHeight="1" thickBot="1" x14ac:dyDescent="0.3">
      <c r="A217" s="1665"/>
      <c r="B217" s="1103" t="s">
        <v>440</v>
      </c>
      <c r="C217" s="1104"/>
      <c r="D217" s="1104"/>
      <c r="E217" s="1104"/>
      <c r="F217" s="1104"/>
      <c r="G217" s="1105"/>
      <c r="H217" s="314" t="s">
        <v>100</v>
      </c>
      <c r="I217" s="1017"/>
      <c r="J217" s="1029"/>
      <c r="K217" s="1030"/>
      <c r="L217" s="1291"/>
      <c r="M217" s="1292"/>
      <c r="N217" s="1292"/>
      <c r="O217" s="1292"/>
      <c r="P217" s="1293"/>
      <c r="Q217" s="1682"/>
      <c r="R217" s="1269"/>
      <c r="S217" s="1270"/>
      <c r="T217" s="1258"/>
      <c r="U217" s="1337"/>
      <c r="Y217" s="74">
        <v>8.0000000000000002E-3</v>
      </c>
      <c r="Z217" s="77">
        <f>IF(H217="ja",Y217,0)</f>
        <v>0</v>
      </c>
      <c r="AA217" s="78"/>
      <c r="AB217" s="78">
        <f t="shared" si="2"/>
        <v>0</v>
      </c>
      <c r="AF217" s="68"/>
      <c r="AG217" s="68"/>
      <c r="AH217" s="68"/>
      <c r="AI217" s="68"/>
      <c r="AJ217" s="68"/>
      <c r="AK217" s="68"/>
    </row>
    <row r="218" spans="1:37" ht="15" customHeight="1" thickBot="1" x14ac:dyDescent="0.3">
      <c r="A218" s="1665"/>
      <c r="B218" s="1103" t="s">
        <v>441</v>
      </c>
      <c r="C218" s="1104"/>
      <c r="D218" s="1104"/>
      <c r="E218" s="1104"/>
      <c r="F218" s="1104"/>
      <c r="G218" s="1105"/>
      <c r="H218" s="314" t="s">
        <v>100</v>
      </c>
      <c r="I218" s="1017"/>
      <c r="J218" s="1029"/>
      <c r="K218" s="1030"/>
      <c r="L218" s="1484" t="s">
        <v>442</v>
      </c>
      <c r="M218" s="1485"/>
      <c r="N218" s="1485"/>
      <c r="O218" s="1485"/>
      <c r="P218" s="1486"/>
      <c r="Q218" s="979" t="s">
        <v>100</v>
      </c>
      <c r="R218" s="1005"/>
      <c r="S218" s="1006"/>
      <c r="T218" s="1258"/>
      <c r="U218" s="1337"/>
      <c r="V218" s="72">
        <f>IF(AND(Q218="ja",R218=""),1,0)</f>
        <v>0</v>
      </c>
      <c r="Y218" s="74">
        <v>5.0000000000000001E-3</v>
      </c>
      <c r="Z218" s="77">
        <f>IF(H218="ja",Y218,0)</f>
        <v>0</v>
      </c>
      <c r="AA218" s="78"/>
      <c r="AB218" s="78">
        <f t="shared" si="2"/>
        <v>0</v>
      </c>
      <c r="AF218" s="68"/>
      <c r="AG218" s="68"/>
      <c r="AH218" s="68"/>
      <c r="AI218" s="68"/>
      <c r="AJ218" s="68"/>
      <c r="AK218" s="68"/>
    </row>
    <row r="219" spans="1:37" ht="15" customHeight="1" thickBot="1" x14ac:dyDescent="0.3">
      <c r="A219" s="1665"/>
      <c r="B219" s="1487" t="s">
        <v>443</v>
      </c>
      <c r="C219" s="1488"/>
      <c r="D219" s="1488"/>
      <c r="E219" s="1488"/>
      <c r="F219" s="1488"/>
      <c r="G219" s="1489"/>
      <c r="H219" s="981" t="s">
        <v>100</v>
      </c>
      <c r="I219" s="1017"/>
      <c r="J219" s="1029"/>
      <c r="K219" s="1030"/>
      <c r="L219" s="1288"/>
      <c r="M219" s="1289"/>
      <c r="N219" s="1289"/>
      <c r="O219" s="1289"/>
      <c r="P219" s="1290"/>
      <c r="Q219" s="1003"/>
      <c r="R219" s="1007"/>
      <c r="S219" s="1008"/>
      <c r="T219" s="1258"/>
      <c r="U219" s="1337"/>
      <c r="Y219" s="74">
        <v>2.5000000000000001E-2</v>
      </c>
      <c r="Z219" s="77">
        <f>IF(H219="ja",Y219,0)</f>
        <v>0</v>
      </c>
      <c r="AA219" s="78"/>
      <c r="AB219" s="78">
        <f t="shared" si="2"/>
        <v>0</v>
      </c>
      <c r="AF219" s="68"/>
      <c r="AG219" s="68"/>
      <c r="AH219" s="68"/>
      <c r="AI219" s="68"/>
      <c r="AJ219" s="68"/>
      <c r="AK219" s="68"/>
    </row>
    <row r="220" spans="1:37" ht="15" customHeight="1" thickBot="1" x14ac:dyDescent="0.3">
      <c r="A220" s="166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Y220" s="74"/>
      <c r="Z220" s="77"/>
      <c r="AA220" s="78"/>
      <c r="AB220" s="78">
        <f t="shared" si="2"/>
        <v>0</v>
      </c>
      <c r="AF220" s="68"/>
      <c r="AG220" s="68"/>
      <c r="AH220" s="68"/>
      <c r="AI220" s="68"/>
      <c r="AJ220" s="68"/>
      <c r="AK220" s="68"/>
    </row>
    <row r="221" spans="1:37" ht="15" customHeight="1" thickBot="1" x14ac:dyDescent="0.3">
      <c r="A221" s="1665"/>
      <c r="B221" s="1493"/>
      <c r="C221" s="1317"/>
      <c r="D221" s="1317"/>
      <c r="E221" s="1317"/>
      <c r="F221" s="1317"/>
      <c r="G221" s="1494"/>
      <c r="H221" s="982"/>
      <c r="I221" s="1017"/>
      <c r="J221" s="1029"/>
      <c r="K221" s="1030"/>
      <c r="L221" s="1288"/>
      <c r="M221" s="1289"/>
      <c r="N221" s="1289"/>
      <c r="O221" s="1289"/>
      <c r="P221" s="1290"/>
      <c r="Q221" s="1003"/>
      <c r="R221" s="1007"/>
      <c r="S221" s="1008"/>
      <c r="T221" s="1258"/>
      <c r="U221" s="1337"/>
      <c r="V221" s="72">
        <f>IF(AND(Q221="ja",R221=""),1,0)</f>
        <v>0</v>
      </c>
      <c r="Y221" s="74"/>
      <c r="Z221" s="77"/>
      <c r="AA221" s="78"/>
      <c r="AB221" s="78">
        <f t="shared" si="2"/>
        <v>0</v>
      </c>
      <c r="AF221" s="68"/>
      <c r="AG221" s="68"/>
      <c r="AH221" s="68"/>
      <c r="AI221" s="68"/>
      <c r="AJ221" s="68"/>
      <c r="AK221" s="68"/>
    </row>
    <row r="222" spans="1:37" ht="15" customHeight="1" thickBot="1" x14ac:dyDescent="0.3">
      <c r="A222" s="1665"/>
      <c r="B222" s="1490"/>
      <c r="C222" s="1491"/>
      <c r="D222" s="1491"/>
      <c r="E222" s="1491"/>
      <c r="F222" s="1491"/>
      <c r="G222" s="1492"/>
      <c r="H222" s="983"/>
      <c r="I222" s="1017"/>
      <c r="J222" s="1029"/>
      <c r="K222" s="1030"/>
      <c r="L222" s="1288"/>
      <c r="M222" s="1289"/>
      <c r="N222" s="1289"/>
      <c r="O222" s="1289"/>
      <c r="P222" s="1290"/>
      <c r="Q222" s="1003"/>
      <c r="R222" s="1007"/>
      <c r="S222" s="1008"/>
      <c r="T222" s="1258"/>
      <c r="U222" s="1337"/>
      <c r="Y222" s="74"/>
      <c r="Z222" s="77"/>
      <c r="AA222" s="78"/>
      <c r="AB222" s="78">
        <f t="shared" si="2"/>
        <v>0</v>
      </c>
      <c r="AF222" s="68"/>
      <c r="AG222" s="68"/>
      <c r="AH222" s="68"/>
      <c r="AI222" s="68"/>
      <c r="AJ222" s="68"/>
      <c r="AK222" s="68"/>
    </row>
    <row r="223" spans="1:37" ht="15" customHeight="1" thickBot="1" x14ac:dyDescent="0.3">
      <c r="A223" s="1665"/>
      <c r="B223" s="1103" t="s">
        <v>444</v>
      </c>
      <c r="C223" s="1104"/>
      <c r="D223" s="1104"/>
      <c r="E223" s="1104"/>
      <c r="F223" s="1104"/>
      <c r="G223" s="1105"/>
      <c r="H223" s="314" t="s">
        <v>100</v>
      </c>
      <c r="I223" s="1017"/>
      <c r="J223" s="1029"/>
      <c r="K223" s="1030"/>
      <c r="L223" s="1288"/>
      <c r="M223" s="1289"/>
      <c r="N223" s="1289"/>
      <c r="O223" s="1289"/>
      <c r="P223" s="1290"/>
      <c r="Q223" s="1003"/>
      <c r="R223" s="1007"/>
      <c r="S223" s="1008"/>
      <c r="T223" s="1258"/>
      <c r="U223" s="1337"/>
      <c r="Y223" s="74">
        <v>1E-3</v>
      </c>
      <c r="Z223" s="77">
        <f>IF(H223="ja",Y223,0)</f>
        <v>0</v>
      </c>
      <c r="AA223" s="78"/>
      <c r="AB223" s="78">
        <f t="shared" si="2"/>
        <v>0</v>
      </c>
      <c r="AF223" s="68"/>
      <c r="AG223" s="68"/>
      <c r="AH223" s="68"/>
      <c r="AI223" s="68"/>
      <c r="AJ223" s="68"/>
      <c r="AK223" s="68"/>
    </row>
    <row r="224" spans="1:37" ht="15" customHeight="1" thickBot="1" x14ac:dyDescent="0.3">
      <c r="A224" s="1665"/>
      <c r="B224" s="1487" t="s">
        <v>445</v>
      </c>
      <c r="C224" s="1488"/>
      <c r="D224" s="1488"/>
      <c r="E224" s="1488"/>
      <c r="F224" s="1488"/>
      <c r="G224" s="1489"/>
      <c r="H224" s="981" t="s">
        <v>100</v>
      </c>
      <c r="I224" s="1017"/>
      <c r="J224" s="1029"/>
      <c r="K224" s="1030"/>
      <c r="L224" s="1288"/>
      <c r="M224" s="1289"/>
      <c r="N224" s="1289"/>
      <c r="O224" s="1289"/>
      <c r="P224" s="1290"/>
      <c r="Q224" s="1003"/>
      <c r="R224" s="1007"/>
      <c r="S224" s="1008"/>
      <c r="T224" s="1258"/>
      <c r="U224" s="1337"/>
      <c r="V224" s="72">
        <f>IF(AND(Q224="ja",R224=""),1,0)</f>
        <v>0</v>
      </c>
      <c r="Y224" s="74">
        <v>7.4999999999999997E-3</v>
      </c>
      <c r="Z224" s="77">
        <f>IF(H224="ja",Y224,0)</f>
        <v>0</v>
      </c>
      <c r="AA224" s="78"/>
      <c r="AB224" s="78">
        <f t="shared" si="2"/>
        <v>0</v>
      </c>
      <c r="AF224" s="68"/>
      <c r="AG224" s="68"/>
      <c r="AH224" s="68"/>
      <c r="AI224" s="68"/>
      <c r="AJ224" s="68"/>
      <c r="AK224" s="68"/>
    </row>
    <row r="225" spans="1:37" ht="15" customHeight="1" thickBot="1" x14ac:dyDescent="0.3">
      <c r="A225" s="1665"/>
      <c r="B225" s="1493"/>
      <c r="C225" s="1317"/>
      <c r="D225" s="1317"/>
      <c r="E225" s="1317"/>
      <c r="F225" s="1317"/>
      <c r="G225" s="1494"/>
      <c r="H225" s="982"/>
      <c r="I225" s="1017"/>
      <c r="J225" s="1029"/>
      <c r="K225" s="1030"/>
      <c r="L225" s="1288"/>
      <c r="M225" s="1289"/>
      <c r="N225" s="1289"/>
      <c r="O225" s="1289"/>
      <c r="P225" s="1290"/>
      <c r="Q225" s="1003"/>
      <c r="R225" s="1007"/>
      <c r="S225" s="1008"/>
      <c r="T225" s="1258"/>
      <c r="U225" s="1337"/>
      <c r="Y225" s="74"/>
      <c r="Z225" s="77"/>
      <c r="AA225" s="78"/>
      <c r="AB225" s="78">
        <f t="shared" si="2"/>
        <v>0</v>
      </c>
      <c r="AF225" s="68"/>
      <c r="AG225" s="68"/>
      <c r="AH225" s="68"/>
      <c r="AI225" s="68"/>
      <c r="AJ225" s="68"/>
      <c r="AK225" s="68"/>
    </row>
    <row r="226" spans="1:37" ht="15" customHeight="1" thickBot="1" x14ac:dyDescent="0.3">
      <c r="A226" s="1665"/>
      <c r="B226" s="1493"/>
      <c r="C226" s="1317"/>
      <c r="D226" s="1317"/>
      <c r="E226" s="1317"/>
      <c r="F226" s="1317"/>
      <c r="G226" s="1494"/>
      <c r="H226" s="982"/>
      <c r="I226" s="1017"/>
      <c r="J226" s="1029"/>
      <c r="K226" s="1030"/>
      <c r="L226" s="1291"/>
      <c r="M226" s="1292"/>
      <c r="N226" s="1292"/>
      <c r="O226" s="1292"/>
      <c r="P226" s="1293"/>
      <c r="Q226" s="1295"/>
      <c r="R226" s="1269"/>
      <c r="S226" s="1270"/>
      <c r="T226" s="1258"/>
      <c r="U226" s="1337"/>
      <c r="Y226" s="74"/>
      <c r="Z226" s="77"/>
      <c r="AA226" s="78"/>
      <c r="AB226" s="78">
        <f t="shared" si="2"/>
        <v>0</v>
      </c>
      <c r="AF226" s="68"/>
      <c r="AG226" s="68"/>
      <c r="AH226" s="68"/>
      <c r="AI226" s="68"/>
      <c r="AJ226" s="68"/>
      <c r="AK226" s="68"/>
    </row>
    <row r="227" spans="1:37" ht="15" customHeight="1" thickBot="1" x14ac:dyDescent="0.3">
      <c r="A227" s="1665"/>
      <c r="B227" s="1490"/>
      <c r="C227" s="1491"/>
      <c r="D227" s="1491"/>
      <c r="E227" s="1491"/>
      <c r="F227" s="1491"/>
      <c r="G227" s="1492"/>
      <c r="H227" s="983"/>
      <c r="I227" s="1017"/>
      <c r="J227" s="1029"/>
      <c r="K227" s="1030"/>
      <c r="L227" s="984" t="s">
        <v>254</v>
      </c>
      <c r="M227" s="985"/>
      <c r="N227" s="985"/>
      <c r="O227" s="985"/>
      <c r="P227" s="985"/>
      <c r="Q227" s="978" t="s">
        <v>100</v>
      </c>
      <c r="R227" s="972"/>
      <c r="S227" s="973"/>
      <c r="T227" s="1258"/>
      <c r="U227" s="1337"/>
      <c r="V227" s="72">
        <f>IF(AND(Q227="ja",R227=""),1,0)</f>
        <v>0</v>
      </c>
      <c r="Y227" s="74"/>
      <c r="Z227" s="77"/>
      <c r="AA227" s="78"/>
      <c r="AB227" s="78">
        <f t="shared" si="2"/>
        <v>0</v>
      </c>
      <c r="AF227" s="68"/>
      <c r="AG227" s="68"/>
      <c r="AH227" s="68"/>
      <c r="AI227" s="68"/>
      <c r="AJ227" s="68"/>
      <c r="AK227" s="68"/>
    </row>
    <row r="228" spans="1:37" ht="15" customHeight="1" thickBot="1" x14ac:dyDescent="0.3">
      <c r="A228" s="1665"/>
      <c r="B228" s="1487" t="s">
        <v>446</v>
      </c>
      <c r="C228" s="1488"/>
      <c r="D228" s="1488"/>
      <c r="E228" s="1488"/>
      <c r="F228" s="1488"/>
      <c r="G228" s="1489"/>
      <c r="H228" s="981" t="s">
        <v>100</v>
      </c>
      <c r="I228" s="1017"/>
      <c r="J228" s="1029"/>
      <c r="K228" s="1030"/>
      <c r="L228" s="984"/>
      <c r="M228" s="985"/>
      <c r="N228" s="985"/>
      <c r="O228" s="985"/>
      <c r="P228" s="985"/>
      <c r="Q228" s="978"/>
      <c r="R228" s="972"/>
      <c r="S228" s="973"/>
      <c r="T228" s="1258"/>
      <c r="U228" s="1337"/>
      <c r="Y228" s="74">
        <v>1E-3</v>
      </c>
      <c r="Z228" s="77">
        <f>IF(H228="ja",Y228,0)</f>
        <v>0</v>
      </c>
      <c r="AA228" s="78"/>
      <c r="AB228" s="78">
        <f t="shared" si="2"/>
        <v>0</v>
      </c>
      <c r="AF228" s="68"/>
      <c r="AG228" s="68"/>
      <c r="AH228" s="68"/>
      <c r="AI228" s="68"/>
      <c r="AJ228" s="68"/>
      <c r="AK228" s="68"/>
    </row>
    <row r="229" spans="1:37" ht="15" customHeight="1" thickBot="1" x14ac:dyDescent="0.3">
      <c r="A229" s="1665"/>
      <c r="B229" s="1490"/>
      <c r="C229" s="1491"/>
      <c r="D229" s="1491"/>
      <c r="E229" s="1491"/>
      <c r="F229" s="1491"/>
      <c r="G229" s="1492"/>
      <c r="H229" s="983"/>
      <c r="I229" s="1017"/>
      <c r="J229" s="1029"/>
      <c r="K229" s="1030"/>
      <c r="L229" s="984"/>
      <c r="M229" s="985"/>
      <c r="N229" s="985"/>
      <c r="O229" s="985"/>
      <c r="P229" s="985"/>
      <c r="Q229" s="978"/>
      <c r="R229" s="972"/>
      <c r="S229" s="973"/>
      <c r="T229" s="1258"/>
      <c r="U229" s="1337"/>
      <c r="Y229" s="74"/>
      <c r="Z229" s="77"/>
      <c r="AA229" s="78"/>
      <c r="AB229" s="78">
        <f t="shared" si="2"/>
        <v>0</v>
      </c>
      <c r="AF229" s="68"/>
      <c r="AG229" s="68"/>
      <c r="AH229" s="68"/>
      <c r="AI229" s="68"/>
      <c r="AJ229" s="68"/>
      <c r="AK229" s="68"/>
    </row>
    <row r="230" spans="1:37" ht="15" customHeight="1" thickBot="1" x14ac:dyDescent="0.3">
      <c r="A230" s="1665"/>
      <c r="B230" s="1487" t="s">
        <v>270</v>
      </c>
      <c r="C230" s="1488"/>
      <c r="D230" s="1488"/>
      <c r="E230" s="1488"/>
      <c r="F230" s="1488"/>
      <c r="G230" s="1489"/>
      <c r="H230" s="981" t="s">
        <v>100</v>
      </c>
      <c r="I230" s="1017"/>
      <c r="J230" s="1029"/>
      <c r="K230" s="1030"/>
      <c r="L230" s="1484" t="s">
        <v>263</v>
      </c>
      <c r="M230" s="1485"/>
      <c r="N230" s="1485"/>
      <c r="O230" s="1485"/>
      <c r="P230" s="1486"/>
      <c r="Q230" s="979" t="s">
        <v>100</v>
      </c>
      <c r="R230" s="1005"/>
      <c r="S230" s="1006"/>
      <c r="T230" s="1258"/>
      <c r="U230" s="1337"/>
      <c r="V230" s="72">
        <f>IF(AND(Q230="ja",R230=""),1,0)</f>
        <v>0</v>
      </c>
      <c r="Y230" s="74">
        <v>1.4999999999999999E-2</v>
      </c>
      <c r="Z230" s="77">
        <f>IF(H230="ja",Y230,0)</f>
        <v>0</v>
      </c>
      <c r="AA230" s="78"/>
      <c r="AB230" s="78">
        <f t="shared" si="2"/>
        <v>0</v>
      </c>
      <c r="AF230" s="68"/>
      <c r="AG230" s="68"/>
      <c r="AH230" s="68"/>
      <c r="AI230" s="68"/>
      <c r="AJ230" s="68"/>
      <c r="AK230" s="68"/>
    </row>
    <row r="231" spans="1:37" ht="15" customHeight="1" thickBot="1" x14ac:dyDescent="0.3">
      <c r="A231" s="1665"/>
      <c r="B231" s="1490"/>
      <c r="C231" s="1491"/>
      <c r="D231" s="1491"/>
      <c r="E231" s="1491"/>
      <c r="F231" s="1491"/>
      <c r="G231" s="1492"/>
      <c r="H231" s="983"/>
      <c r="I231" s="1017"/>
      <c r="J231" s="1029"/>
      <c r="K231" s="1030"/>
      <c r="L231" s="1288"/>
      <c r="M231" s="1289"/>
      <c r="N231" s="1289"/>
      <c r="O231" s="1289"/>
      <c r="P231" s="1290"/>
      <c r="Q231" s="1003"/>
      <c r="R231" s="1007"/>
      <c r="S231" s="1008"/>
      <c r="T231" s="1258"/>
      <c r="U231" s="1337"/>
      <c r="Y231" s="74"/>
      <c r="Z231" s="77"/>
      <c r="AA231" s="78"/>
      <c r="AB231" s="78">
        <f t="shared" si="2"/>
        <v>0</v>
      </c>
      <c r="AF231" s="68"/>
      <c r="AG231" s="68"/>
      <c r="AH231" s="68"/>
      <c r="AI231" s="68"/>
      <c r="AJ231" s="68"/>
      <c r="AK231" s="68"/>
    </row>
    <row r="232" spans="1:37" ht="15" customHeight="1" thickBot="1" x14ac:dyDescent="0.3">
      <c r="A232" s="1665"/>
      <c r="B232" s="1487" t="s">
        <v>447</v>
      </c>
      <c r="C232" s="1488"/>
      <c r="D232" s="1488"/>
      <c r="E232" s="1488"/>
      <c r="F232" s="1488"/>
      <c r="G232" s="1489"/>
      <c r="H232" s="981" t="s">
        <v>100</v>
      </c>
      <c r="I232" s="1017"/>
      <c r="J232" s="1029"/>
      <c r="K232" s="1030"/>
      <c r="L232" s="1288"/>
      <c r="M232" s="1289"/>
      <c r="N232" s="1289"/>
      <c r="O232" s="1289"/>
      <c r="P232" s="1290"/>
      <c r="Q232" s="1003"/>
      <c r="R232" s="1007"/>
      <c r="S232" s="1008"/>
      <c r="T232" s="1258"/>
      <c r="U232" s="1337"/>
      <c r="Y232" s="74">
        <v>1E-3</v>
      </c>
      <c r="Z232" s="77">
        <f>IF(H232="ja",Y232,0)</f>
        <v>0</v>
      </c>
      <c r="AA232" s="77"/>
      <c r="AB232" s="78">
        <f t="shared" ref="AB232:AB243" si="3">IF(Q232="ja",1,0)</f>
        <v>0</v>
      </c>
      <c r="AF232" s="68"/>
      <c r="AG232" s="68"/>
      <c r="AH232" s="68"/>
      <c r="AI232" s="68"/>
      <c r="AJ232" s="68"/>
      <c r="AK232" s="68"/>
    </row>
    <row r="233" spans="1:37" ht="15" customHeight="1" thickBot="1" x14ac:dyDescent="0.3">
      <c r="A233" s="1665"/>
      <c r="B233" s="1493"/>
      <c r="C233" s="1317"/>
      <c r="D233" s="1317"/>
      <c r="E233" s="1317"/>
      <c r="F233" s="1317"/>
      <c r="G233" s="1494"/>
      <c r="H233" s="982"/>
      <c r="I233" s="1017"/>
      <c r="J233" s="1029"/>
      <c r="K233" s="1030"/>
      <c r="L233" s="1288"/>
      <c r="M233" s="1289"/>
      <c r="N233" s="1289"/>
      <c r="O233" s="1289"/>
      <c r="P233" s="1290"/>
      <c r="Q233" s="1003"/>
      <c r="R233" s="1007"/>
      <c r="S233" s="1008"/>
      <c r="T233" s="1258"/>
      <c r="U233" s="1337"/>
      <c r="V233" s="72">
        <f>IF(AND(Q233="ja",R233=""),1,0)</f>
        <v>0</v>
      </c>
      <c r="Y233" s="74"/>
      <c r="Z233" s="77"/>
      <c r="AA233" s="78"/>
      <c r="AB233" s="78">
        <f t="shared" si="3"/>
        <v>0</v>
      </c>
      <c r="AF233" s="68"/>
      <c r="AG233" s="68"/>
      <c r="AH233" s="68"/>
      <c r="AI233" s="68"/>
      <c r="AJ233" s="68"/>
      <c r="AK233" s="68"/>
    </row>
    <row r="234" spans="1:37" ht="15" customHeight="1" thickBot="1" x14ac:dyDescent="0.3">
      <c r="A234" s="1665"/>
      <c r="B234" s="1490"/>
      <c r="C234" s="1491"/>
      <c r="D234" s="1491"/>
      <c r="E234" s="1491"/>
      <c r="F234" s="1491"/>
      <c r="G234" s="1492"/>
      <c r="H234" s="983"/>
      <c r="I234" s="1018"/>
      <c r="J234" s="1031"/>
      <c r="K234" s="1032"/>
      <c r="L234" s="1508"/>
      <c r="M234" s="1509"/>
      <c r="N234" s="1509"/>
      <c r="O234" s="1509"/>
      <c r="P234" s="1510"/>
      <c r="Q234" s="1004"/>
      <c r="R234" s="1009"/>
      <c r="S234" s="1010"/>
      <c r="T234" s="1259"/>
      <c r="U234" s="1337"/>
      <c r="Y234" s="74"/>
      <c r="Z234" s="77"/>
      <c r="AA234" s="78"/>
      <c r="AB234" s="78">
        <f t="shared" si="3"/>
        <v>0</v>
      </c>
      <c r="AF234" s="68"/>
      <c r="AG234" s="68"/>
      <c r="AH234" s="68"/>
      <c r="AI234" s="68"/>
      <c r="AJ234" s="68"/>
      <c r="AK234" s="68"/>
    </row>
    <row r="235" spans="1:37" ht="14.55" thickBot="1" x14ac:dyDescent="0.3">
      <c r="A235" s="1665"/>
      <c r="B235" s="1511" t="s">
        <v>272</v>
      </c>
      <c r="C235" s="1512"/>
      <c r="D235" s="1512"/>
      <c r="E235" s="1512"/>
      <c r="F235" s="1512"/>
      <c r="G235" s="1513"/>
      <c r="H235" s="342"/>
      <c r="I235" s="1361"/>
      <c r="J235" s="1362"/>
      <c r="K235" s="1362"/>
      <c r="L235" s="1534">
        <f>SUM(R194:S234)</f>
        <v>0</v>
      </c>
      <c r="M235" s="1535"/>
      <c r="N235" s="1535"/>
      <c r="O235" s="1535"/>
      <c r="P235" s="1535"/>
      <c r="Q235" s="338"/>
      <c r="R235" s="1495"/>
      <c r="S235" s="1496"/>
      <c r="U235" s="334"/>
      <c r="Y235" s="74"/>
      <c r="Z235" s="152">
        <f>SUM(Z194:Z232)</f>
        <v>0</v>
      </c>
      <c r="AA235" s="78"/>
      <c r="AB235" s="78">
        <f t="shared" si="3"/>
        <v>0</v>
      </c>
      <c r="AF235" s="68"/>
      <c r="AG235" s="68"/>
      <c r="AH235" s="68"/>
      <c r="AI235" s="68"/>
      <c r="AJ235" s="68"/>
      <c r="AK235" s="68"/>
    </row>
    <row r="236" spans="1:37" ht="15" customHeight="1" thickBot="1" x14ac:dyDescent="0.3">
      <c r="A236" s="1665"/>
      <c r="B236" s="1497" t="s">
        <v>274</v>
      </c>
      <c r="C236" s="1498"/>
      <c r="D236" s="1498"/>
      <c r="E236" s="1498"/>
      <c r="F236" s="1498"/>
      <c r="G236" s="1499"/>
      <c r="H236" s="1194" t="s">
        <v>100</v>
      </c>
      <c r="I236" s="1016">
        <f>Z245</f>
        <v>0</v>
      </c>
      <c r="J236" s="1027">
        <f>I236*I115</f>
        <v>0</v>
      </c>
      <c r="K236" s="1028"/>
      <c r="L236" s="984"/>
      <c r="M236" s="985"/>
      <c r="N236" s="985"/>
      <c r="O236" s="985"/>
      <c r="P236" s="985"/>
      <c r="Q236" s="978" t="s">
        <v>100</v>
      </c>
      <c r="R236" s="972"/>
      <c r="S236" s="973"/>
      <c r="T236" s="1257" t="str">
        <f>IFERROR(IF((VLOOKUP(U236,Überblick!$M$125:$N$133,2))="ja","ja","nein"),"")</f>
        <v/>
      </c>
      <c r="U236" s="1337"/>
      <c r="V236" s="72">
        <f>IF(AND(Q236="ja",R236=""),1,0)</f>
        <v>0</v>
      </c>
      <c r="Y236" s="74">
        <v>5.0000000000000001E-3</v>
      </c>
      <c r="Z236" s="77">
        <f>IF(H236="ja",Y236,0)</f>
        <v>0</v>
      </c>
      <c r="AA236" s="78"/>
      <c r="AB236" s="78">
        <f t="shared" si="3"/>
        <v>0</v>
      </c>
      <c r="AF236" s="68"/>
      <c r="AG236" s="68"/>
      <c r="AH236" s="68"/>
      <c r="AI236" s="68"/>
      <c r="AJ236" s="68"/>
      <c r="AK236" s="68"/>
    </row>
    <row r="237" spans="1:37" ht="15" customHeight="1" thickBot="1" x14ac:dyDescent="0.3">
      <c r="A237" s="166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78">
        <f t="shared" si="3"/>
        <v>0</v>
      </c>
      <c r="AF237" s="68"/>
      <c r="AG237" s="68"/>
      <c r="AH237" s="68"/>
      <c r="AI237" s="68"/>
      <c r="AJ237" s="68"/>
      <c r="AK237" s="68"/>
    </row>
    <row r="238" spans="1:37" ht="15" customHeight="1" thickBot="1" x14ac:dyDescent="0.3">
      <c r="A238" s="1665"/>
      <c r="B238" s="1493"/>
      <c r="C238" s="1317"/>
      <c r="D238" s="1317"/>
      <c r="E238" s="1317"/>
      <c r="F238" s="1317"/>
      <c r="G238" s="1494"/>
      <c r="H238" s="982"/>
      <c r="I238" s="1017"/>
      <c r="J238" s="1029"/>
      <c r="K238" s="1030"/>
      <c r="L238" s="984"/>
      <c r="M238" s="985"/>
      <c r="N238" s="985"/>
      <c r="O238" s="985"/>
      <c r="P238" s="985"/>
      <c r="Q238" s="978"/>
      <c r="R238" s="972"/>
      <c r="S238" s="973"/>
      <c r="T238" s="1258"/>
      <c r="U238" s="1337"/>
      <c r="Y238" s="74"/>
      <c r="Z238" s="77"/>
      <c r="AA238" s="78"/>
      <c r="AB238" s="78">
        <f t="shared" si="3"/>
        <v>0</v>
      </c>
      <c r="AF238" s="68"/>
      <c r="AG238" s="68"/>
      <c r="AH238" s="68"/>
      <c r="AI238" s="68"/>
      <c r="AJ238" s="68"/>
      <c r="AK238" s="68"/>
    </row>
    <row r="239" spans="1:37" ht="15" customHeight="1" thickBot="1" x14ac:dyDescent="0.3">
      <c r="A239" s="1665"/>
      <c r="B239" s="1493"/>
      <c r="C239" s="1317"/>
      <c r="D239" s="1317"/>
      <c r="E239" s="1317"/>
      <c r="F239" s="1317"/>
      <c r="G239" s="1494"/>
      <c r="H239" s="982"/>
      <c r="I239" s="1017"/>
      <c r="J239" s="1029"/>
      <c r="K239" s="1030"/>
      <c r="L239" s="984"/>
      <c r="M239" s="985"/>
      <c r="N239" s="985"/>
      <c r="O239" s="985"/>
      <c r="P239" s="985"/>
      <c r="Q239" s="978" t="s">
        <v>100</v>
      </c>
      <c r="R239" s="972"/>
      <c r="S239" s="973"/>
      <c r="T239" s="1258"/>
      <c r="U239" s="1337"/>
      <c r="V239" s="72">
        <f>IF(AND(Q239="ja",R239=""),1,0)</f>
        <v>0</v>
      </c>
      <c r="Y239" s="74"/>
      <c r="Z239" s="77"/>
      <c r="AA239" s="78"/>
      <c r="AB239" s="78">
        <f t="shared" si="3"/>
        <v>0</v>
      </c>
      <c r="AF239" s="68"/>
      <c r="AG239" s="68"/>
      <c r="AH239" s="68"/>
      <c r="AI239" s="68"/>
      <c r="AJ239" s="68"/>
      <c r="AK239" s="68"/>
    </row>
    <row r="240" spans="1:37" ht="15" customHeight="1" thickBot="1" x14ac:dyDescent="0.3">
      <c r="A240" s="1665"/>
      <c r="B240" s="1490"/>
      <c r="C240" s="1491"/>
      <c r="D240" s="1491"/>
      <c r="E240" s="1491"/>
      <c r="F240" s="1491"/>
      <c r="G240" s="1492"/>
      <c r="H240" s="983"/>
      <c r="I240" s="1017"/>
      <c r="J240" s="1029"/>
      <c r="K240" s="1030"/>
      <c r="L240" s="984"/>
      <c r="M240" s="985"/>
      <c r="N240" s="985"/>
      <c r="O240" s="985"/>
      <c r="P240" s="985"/>
      <c r="Q240" s="978"/>
      <c r="R240" s="972"/>
      <c r="S240" s="973"/>
      <c r="T240" s="1258"/>
      <c r="U240" s="1337"/>
      <c r="Y240" s="74"/>
      <c r="Z240" s="77"/>
      <c r="AA240" s="78"/>
      <c r="AB240" s="78">
        <f t="shared" si="3"/>
        <v>0</v>
      </c>
      <c r="AF240" s="68"/>
      <c r="AG240" s="68"/>
      <c r="AH240" s="68"/>
      <c r="AI240" s="68"/>
      <c r="AJ240" s="68"/>
      <c r="AK240" s="68"/>
    </row>
    <row r="241" spans="1:37" ht="15" customHeight="1" thickBot="1" x14ac:dyDescent="0.3">
      <c r="A241" s="1665"/>
      <c r="B241" s="1487" t="s">
        <v>275</v>
      </c>
      <c r="C241" s="1488"/>
      <c r="D241" s="1488"/>
      <c r="E241" s="1488"/>
      <c r="F241" s="1488"/>
      <c r="G241" s="1489"/>
      <c r="H241" s="981" t="s">
        <v>100</v>
      </c>
      <c r="I241" s="1017"/>
      <c r="J241" s="1029"/>
      <c r="K241" s="1030"/>
      <c r="L241" s="984"/>
      <c r="M241" s="985"/>
      <c r="N241" s="985"/>
      <c r="O241" s="985"/>
      <c r="P241" s="985"/>
      <c r="Q241" s="978"/>
      <c r="R241" s="972"/>
      <c r="S241" s="973"/>
      <c r="T241" s="1258"/>
      <c r="U241" s="1337"/>
      <c r="Y241" s="74">
        <v>4.0000000000000001E-3</v>
      </c>
      <c r="Z241" s="77">
        <f>IF(H241="ja",Y241,0)</f>
        <v>0</v>
      </c>
      <c r="AA241" s="78"/>
      <c r="AB241" s="78">
        <f t="shared" si="3"/>
        <v>0</v>
      </c>
      <c r="AF241" s="68"/>
      <c r="AG241" s="68"/>
      <c r="AH241" s="68"/>
      <c r="AI241" s="68"/>
      <c r="AJ241" s="68"/>
      <c r="AK241" s="68"/>
    </row>
    <row r="242" spans="1:37" ht="15" customHeight="1" thickBot="1" x14ac:dyDescent="0.3">
      <c r="A242" s="1665"/>
      <c r="B242" s="1493"/>
      <c r="C242" s="1317"/>
      <c r="D242" s="1317"/>
      <c r="E242" s="1317"/>
      <c r="F242" s="1317"/>
      <c r="G242" s="1494"/>
      <c r="H242" s="982"/>
      <c r="I242" s="1017"/>
      <c r="J242" s="1029"/>
      <c r="K242" s="1030"/>
      <c r="L242" s="984"/>
      <c r="M242" s="985"/>
      <c r="N242" s="985"/>
      <c r="O242" s="985"/>
      <c r="P242" s="985"/>
      <c r="Q242" s="978" t="s">
        <v>100</v>
      </c>
      <c r="R242" s="972"/>
      <c r="S242" s="973"/>
      <c r="T242" s="1258"/>
      <c r="U242" s="1337"/>
      <c r="V242" s="72">
        <f>IF(AND(Q242="ja",R242=""),1,0)</f>
        <v>0</v>
      </c>
      <c r="Y242" s="74"/>
      <c r="Z242" s="77"/>
      <c r="AB242" s="78">
        <f t="shared" si="3"/>
        <v>0</v>
      </c>
      <c r="AF242" s="68"/>
      <c r="AG242" s="68"/>
      <c r="AH242" s="68"/>
      <c r="AI242" s="68"/>
      <c r="AJ242" s="68"/>
      <c r="AK242" s="68"/>
    </row>
    <row r="243" spans="1:37" ht="15" customHeight="1" thickBot="1" x14ac:dyDescent="0.3">
      <c r="A243" s="1665"/>
      <c r="B243" s="1490"/>
      <c r="C243" s="1491"/>
      <c r="D243" s="1491"/>
      <c r="E243" s="1491"/>
      <c r="F243" s="1491"/>
      <c r="G243" s="1492"/>
      <c r="H243" s="983"/>
      <c r="I243" s="1017"/>
      <c r="J243" s="1029"/>
      <c r="K243" s="1030"/>
      <c r="L243" s="984"/>
      <c r="M243" s="985"/>
      <c r="N243" s="985"/>
      <c r="O243" s="985"/>
      <c r="P243" s="985"/>
      <c r="Q243" s="978"/>
      <c r="R243" s="972"/>
      <c r="S243" s="973"/>
      <c r="T243" s="1258"/>
      <c r="U243" s="1337"/>
      <c r="Y243" s="74"/>
      <c r="Z243" s="77"/>
      <c r="AB243" s="78">
        <f t="shared" si="3"/>
        <v>0</v>
      </c>
      <c r="AF243" s="68"/>
      <c r="AG243" s="68"/>
      <c r="AH243" s="68"/>
      <c r="AI243" s="68"/>
      <c r="AJ243" s="68"/>
      <c r="AK243" s="68"/>
    </row>
    <row r="244" spans="1:37" ht="15" customHeight="1" thickBot="1" x14ac:dyDescent="0.3">
      <c r="A244" s="1665"/>
      <c r="B244" s="1184" t="s">
        <v>276</v>
      </c>
      <c r="C244" s="1185"/>
      <c r="D244" s="1185"/>
      <c r="E244" s="1185"/>
      <c r="F244" s="1185"/>
      <c r="G244" s="1186"/>
      <c r="H244" s="315" t="s">
        <v>100</v>
      </c>
      <c r="I244" s="1018"/>
      <c r="J244" s="1031"/>
      <c r="K244" s="1032"/>
      <c r="L244" s="1369"/>
      <c r="M244" s="1370"/>
      <c r="N244" s="1370"/>
      <c r="O244" s="1370"/>
      <c r="P244" s="1370"/>
      <c r="Q244" s="979"/>
      <c r="R244" s="974"/>
      <c r="S244" s="975"/>
      <c r="T244" s="1259"/>
      <c r="U244" s="1337"/>
      <c r="Y244" s="74">
        <v>1E-3</v>
      </c>
      <c r="Z244" s="77">
        <f>IF(H244="ja",Y244,0)</f>
        <v>0</v>
      </c>
      <c r="AF244" s="68"/>
      <c r="AG244" s="68"/>
      <c r="AH244" s="68"/>
      <c r="AI244" s="68"/>
      <c r="AJ244" s="68"/>
      <c r="AK244" s="68"/>
    </row>
    <row r="245" spans="1:37" ht="14.55" thickBot="1" x14ac:dyDescent="0.3">
      <c r="B245" s="1502" t="s">
        <v>277</v>
      </c>
      <c r="C245" s="1503"/>
      <c r="D245" s="1503"/>
      <c r="E245" s="1503"/>
      <c r="F245" s="1503"/>
      <c r="G245" s="1503"/>
      <c r="H245" s="1503"/>
      <c r="I245" s="1500">
        <f>I236+I194+I179+I154+I128+I119+I82+I55+I39+I133+I143+I144+I145+I150</f>
        <v>0</v>
      </c>
      <c r="J245" s="1506">
        <f>J236+J194+J179+J154+J128+J119+J82+J55+J39+J133+J143+J144+J145+J150</f>
        <v>0</v>
      </c>
      <c r="K245" s="1161"/>
      <c r="L245" s="1355">
        <f>SUM(R236:S244)</f>
        <v>0</v>
      </c>
      <c r="M245" s="1356"/>
      <c r="N245" s="1356"/>
      <c r="O245" s="1356"/>
      <c r="P245" s="1666"/>
      <c r="Q245" s="1329"/>
      <c r="R245" s="1327">
        <f>SUM(R236:S244)+SUM(R194:S234)+SUM(R179:S192)+SUM(R154:S177)+SUM(R128:S152)+SUM(R119:S126)+SUM(R82:S114)+SUM(R55:S77)+SUM(R39:S53)</f>
        <v>0</v>
      </c>
      <c r="S245" s="1037"/>
      <c r="T245" s="1567"/>
      <c r="U245" s="1610"/>
      <c r="Z245" s="152">
        <f>SUM(Z236:Z244)</f>
        <v>0</v>
      </c>
      <c r="AB245" s="72">
        <f>SUM(AB39:AB243)</f>
        <v>0</v>
      </c>
      <c r="AF245" s="68"/>
      <c r="AG245" s="68"/>
      <c r="AH245" s="68"/>
      <c r="AI245" s="68"/>
      <c r="AJ245" s="68"/>
      <c r="AK245" s="68"/>
    </row>
    <row r="246" spans="1:37" ht="15" customHeight="1" thickBot="1" x14ac:dyDescent="0.3">
      <c r="B246" s="1504"/>
      <c r="C246" s="1505"/>
      <c r="D246" s="1505"/>
      <c r="E246" s="1505"/>
      <c r="F246" s="1505"/>
      <c r="G246" s="1505"/>
      <c r="H246" s="1505"/>
      <c r="I246" s="1501"/>
      <c r="J246" s="1507"/>
      <c r="K246" s="1163"/>
      <c r="L246" s="1359"/>
      <c r="M246" s="1360"/>
      <c r="N246" s="1360"/>
      <c r="O246" s="1360"/>
      <c r="P246" s="1667"/>
      <c r="Q246" s="1330"/>
      <c r="R246" s="1328"/>
      <c r="S246" s="1043"/>
      <c r="T246" s="1569"/>
      <c r="U246" s="1610"/>
      <c r="V246" s="72">
        <f>SUM(V39:V244)+R23</f>
        <v>0</v>
      </c>
      <c r="AF246" s="68"/>
      <c r="AG246" s="68"/>
      <c r="AH246" s="68"/>
      <c r="AI246" s="68"/>
      <c r="AJ246" s="68"/>
      <c r="AK246" s="68"/>
    </row>
    <row r="248" spans="1:37" x14ac:dyDescent="0.25">
      <c r="A248" s="491" t="s">
        <v>279</v>
      </c>
      <c r="B248" s="40" t="str">
        <f>IF(B1=Q1,"Honorarangebot für die zunächst beauftragten und für die optionalen Leistungen","Honorarvereinbarung für die zunächst beauftragten und für die optionalen Leistungen ")</f>
        <v>Honorarangebot für die zunächst beauftragten und für die optionalen Leistungen</v>
      </c>
      <c r="Q248" s="40"/>
      <c r="AA248" s="151"/>
    </row>
    <row r="249" spans="1:37" ht="14.55" thickBot="1" x14ac:dyDescent="0.3">
      <c r="A249" s="491"/>
    </row>
    <row r="250" spans="1:37" x14ac:dyDescent="0.25">
      <c r="A250" s="491"/>
      <c r="B250" s="941" t="s">
        <v>55</v>
      </c>
      <c r="C250" s="942"/>
      <c r="D250" s="942"/>
      <c r="E250" s="942"/>
      <c r="F250" s="943"/>
      <c r="G250" s="99"/>
      <c r="H250" s="944">
        <f>J245</f>
        <v>0</v>
      </c>
      <c r="I250" s="944"/>
      <c r="J250" s="945"/>
    </row>
    <row r="251" spans="1:37" x14ac:dyDescent="0.25">
      <c r="A251" s="491"/>
      <c r="B251" s="301"/>
      <c r="C251" s="41"/>
      <c r="D251" s="41"/>
      <c r="E251" s="41"/>
      <c r="F251" s="302"/>
      <c r="G251" s="101"/>
      <c r="H251" s="303"/>
      <c r="I251" s="303"/>
      <c r="J251" s="304"/>
    </row>
    <row r="252" spans="1:37" ht="15.95" customHeight="1" thickBot="1" x14ac:dyDescent="0.3">
      <c r="A252" s="491"/>
      <c r="B252" s="1298" t="s">
        <v>280</v>
      </c>
      <c r="C252" s="1299"/>
      <c r="D252" s="1299"/>
      <c r="E252" s="1299"/>
      <c r="F252" s="1300"/>
      <c r="G252" s="102">
        <f>F23</f>
        <v>0</v>
      </c>
      <c r="H252" s="956">
        <f>H250*G252</f>
        <v>0</v>
      </c>
      <c r="I252" s="956"/>
      <c r="J252" s="957"/>
      <c r="K252" s="96">
        <f>H250+H252</f>
        <v>0</v>
      </c>
    </row>
    <row r="253" spans="1:37" x14ac:dyDescent="0.25">
      <c r="A253" s="491"/>
      <c r="B253" s="90"/>
      <c r="C253" s="91"/>
      <c r="D253" s="91"/>
      <c r="E253" s="91"/>
      <c r="F253" s="92"/>
      <c r="G253" s="88"/>
      <c r="J253" s="89"/>
    </row>
    <row r="254" spans="1:37" x14ac:dyDescent="0.25">
      <c r="A254" s="491"/>
      <c r="B254" s="926" t="s">
        <v>57</v>
      </c>
      <c r="C254" s="927"/>
      <c r="D254" s="927"/>
      <c r="E254" s="927"/>
      <c r="F254" s="928"/>
      <c r="G254" s="101"/>
      <c r="H254" s="954">
        <f>R245</f>
        <v>0</v>
      </c>
      <c r="I254" s="954"/>
      <c r="J254" s="955"/>
    </row>
    <row r="255" spans="1:37" ht="14.55" thickBot="1" x14ac:dyDescent="0.3">
      <c r="A255" s="491"/>
      <c r="B255" s="296"/>
      <c r="C255" s="297"/>
      <c r="D255" s="297"/>
      <c r="E255" s="297"/>
      <c r="F255" s="298"/>
      <c r="G255" s="1333"/>
      <c r="H255" s="1334"/>
      <c r="I255" s="1334"/>
      <c r="J255" s="1335"/>
    </row>
    <row r="256" spans="1:37" ht="15.95" customHeight="1" thickBot="1" x14ac:dyDescent="0.3">
      <c r="A256" s="491"/>
      <c r="B256" s="929" t="s">
        <v>59</v>
      </c>
      <c r="C256" s="930"/>
      <c r="D256" s="930"/>
      <c r="E256" s="930"/>
      <c r="F256" s="931"/>
      <c r="G256" s="107"/>
      <c r="H256" s="935">
        <f>SUM(H250:J254)</f>
        <v>0</v>
      </c>
      <c r="I256" s="935"/>
      <c r="J256" s="936"/>
    </row>
    <row r="257" spans="1:26" x14ac:dyDescent="0.25">
      <c r="A257" s="491"/>
      <c r="B257" s="320"/>
      <c r="C257" s="321"/>
      <c r="D257" s="321"/>
      <c r="E257" s="321"/>
      <c r="F257" s="322"/>
      <c r="G257" s="45"/>
      <c r="H257" s="93"/>
      <c r="I257" s="93"/>
      <c r="J257" s="94"/>
    </row>
    <row r="258" spans="1:26" ht="15" customHeight="1" x14ac:dyDescent="0.25">
      <c r="A258" s="491"/>
      <c r="B258" s="917" t="s">
        <v>60</v>
      </c>
      <c r="C258" s="918"/>
      <c r="D258" s="918"/>
      <c r="E258" s="918"/>
      <c r="F258" s="919"/>
      <c r="G258" s="100">
        <f>Überblick!$G$98</f>
        <v>0.19</v>
      </c>
      <c r="H258" s="954">
        <f>H256*G258</f>
        <v>0</v>
      </c>
      <c r="I258" s="954"/>
      <c r="J258" s="955"/>
    </row>
    <row r="259" spans="1:26" ht="14.55" thickBot="1" x14ac:dyDescent="0.3">
      <c r="A259" s="491"/>
      <c r="B259" s="305"/>
      <c r="C259" s="306"/>
      <c r="D259" s="306"/>
      <c r="E259" s="306"/>
      <c r="F259" s="307"/>
      <c r="G259" s="102"/>
      <c r="H259" s="299"/>
      <c r="I259" s="299"/>
      <c r="J259" s="300"/>
    </row>
    <row r="260" spans="1:26" ht="15" customHeight="1" x14ac:dyDescent="0.25">
      <c r="A260" s="491"/>
      <c r="B260" s="920" t="s">
        <v>281</v>
      </c>
      <c r="C260" s="921"/>
      <c r="D260" s="921"/>
      <c r="E260" s="921"/>
      <c r="F260" s="922"/>
      <c r="G260" s="97"/>
      <c r="H260" s="937">
        <f>H256+H258</f>
        <v>0</v>
      </c>
      <c r="I260" s="937"/>
      <c r="J260" s="938"/>
    </row>
    <row r="261" spans="1:26" ht="14.55" thickBot="1" x14ac:dyDescent="0.3">
      <c r="A261" s="491"/>
      <c r="B261" s="923"/>
      <c r="C261" s="924"/>
      <c r="D261" s="924"/>
      <c r="E261" s="924"/>
      <c r="F261" s="925"/>
      <c r="G261" s="98"/>
      <c r="H261" s="939"/>
      <c r="I261" s="939"/>
      <c r="J261" s="940"/>
    </row>
    <row r="262" spans="1:26" x14ac:dyDescent="0.25">
      <c r="A262" s="491"/>
    </row>
    <row r="263" spans="1:26" x14ac:dyDescent="0.25">
      <c r="A263" s="491" t="s">
        <v>282</v>
      </c>
      <c r="B263" s="60" t="str">
        <f>IF(B1=Q1,"Honorangebot für die zunächst beauftragenden Leistungen","Honorarvereinbarung für die zunächst beauftragenden Leistungen")</f>
        <v>Honorangebot für die zunächst beauftragenden Leistungen</v>
      </c>
      <c r="C263" s="60"/>
      <c r="D263" s="60"/>
      <c r="E263" s="60"/>
      <c r="F263" s="65"/>
      <c r="G263" s="65"/>
      <c r="H263" s="65"/>
      <c r="I263" s="66"/>
      <c r="J263" s="66"/>
      <c r="K263" s="66"/>
      <c r="L263" s="66"/>
      <c r="M263" s="66"/>
      <c r="N263" s="66"/>
      <c r="O263" s="66"/>
      <c r="P263" s="67"/>
      <c r="Q263" s="60"/>
      <c r="R263" s="67"/>
      <c r="S263" s="67"/>
      <c r="T263" s="67"/>
      <c r="U263" s="67"/>
      <c r="Z263" s="461"/>
    </row>
    <row r="264" spans="1:26" ht="14.55" thickBot="1" x14ac:dyDescent="0.3">
      <c r="A264" s="491"/>
      <c r="B264" s="60"/>
      <c r="C264" s="60"/>
      <c r="D264" s="60"/>
      <c r="E264" s="60"/>
      <c r="F264" s="65"/>
      <c r="G264" s="65"/>
      <c r="H264" s="65"/>
      <c r="I264" s="66"/>
      <c r="J264" s="66"/>
      <c r="K264" s="66"/>
      <c r="L264" s="66"/>
      <c r="M264" s="66"/>
      <c r="N264" s="66"/>
      <c r="O264" s="66"/>
      <c r="P264" s="67"/>
      <c r="Q264" s="67"/>
      <c r="R264" s="67"/>
      <c r="S264" s="67"/>
      <c r="T264" s="67"/>
      <c r="U264" s="67"/>
    </row>
    <row r="265" spans="1:26" x14ac:dyDescent="0.25">
      <c r="A265" s="491"/>
      <c r="B265" s="941" t="s">
        <v>55</v>
      </c>
      <c r="C265" s="942"/>
      <c r="D265" s="942"/>
      <c r="E265" s="942"/>
      <c r="F265" s="943"/>
      <c r="G265" s="99"/>
      <c r="H265" s="944">
        <f>'Berechnung Starkstrom'!C123</f>
        <v>0</v>
      </c>
      <c r="I265" s="944"/>
      <c r="J265" s="945"/>
      <c r="K265" s="66"/>
      <c r="L265" s="66"/>
      <c r="M265" s="66"/>
      <c r="N265" s="66"/>
      <c r="O265" s="66"/>
      <c r="P265" s="67"/>
      <c r="Q265" s="67"/>
      <c r="R265" s="67"/>
      <c r="S265" s="67"/>
      <c r="T265" s="67"/>
      <c r="U265" s="67"/>
    </row>
    <row r="266" spans="1:26" x14ac:dyDescent="0.25">
      <c r="A266" s="491"/>
      <c r="B266" s="301"/>
      <c r="C266" s="41"/>
      <c r="D266" s="41"/>
      <c r="E266" s="41"/>
      <c r="F266" s="302"/>
      <c r="G266" s="101"/>
      <c r="H266" s="303"/>
      <c r="I266" s="303"/>
      <c r="J266" s="304"/>
      <c r="K266" s="66"/>
      <c r="L266" s="66"/>
      <c r="M266" s="66"/>
      <c r="N266" s="66"/>
      <c r="O266" s="66"/>
      <c r="P266" s="67"/>
      <c r="Q266" s="67"/>
      <c r="R266" s="67"/>
      <c r="S266" s="67"/>
      <c r="T266" s="67"/>
      <c r="U266" s="67"/>
    </row>
    <row r="267" spans="1:26" ht="15" customHeight="1" thickBot="1" x14ac:dyDescent="0.3">
      <c r="A267" s="491"/>
      <c r="B267" s="1298" t="s">
        <v>280</v>
      </c>
      <c r="C267" s="1299"/>
      <c r="D267" s="1299"/>
      <c r="E267" s="1299"/>
      <c r="F267" s="1300"/>
      <c r="G267" s="102">
        <f>F23</f>
        <v>0</v>
      </c>
      <c r="H267" s="956">
        <f>H265*G267</f>
        <v>0</v>
      </c>
      <c r="I267" s="956"/>
      <c r="J267" s="957"/>
      <c r="K267" s="66"/>
      <c r="L267" s="66"/>
      <c r="M267" s="66"/>
      <c r="N267" s="66"/>
      <c r="O267" s="66"/>
      <c r="P267" s="67"/>
      <c r="Q267" s="67"/>
      <c r="R267" s="67"/>
      <c r="S267" s="67"/>
      <c r="T267" s="67"/>
      <c r="U267" s="67"/>
    </row>
    <row r="268" spans="1:26" x14ac:dyDescent="0.25">
      <c r="A268" s="491"/>
      <c r="B268" s="90"/>
      <c r="C268" s="91"/>
      <c r="D268" s="91"/>
      <c r="E268" s="91"/>
      <c r="F268" s="92"/>
      <c r="G268" s="45"/>
      <c r="H268" s="46"/>
      <c r="I268" s="46"/>
      <c r="J268" s="105"/>
      <c r="K268" s="66"/>
      <c r="L268" s="66"/>
      <c r="M268" s="66"/>
      <c r="N268" s="66"/>
      <c r="O268" s="66"/>
      <c r="P268" s="67"/>
      <c r="Q268" s="67"/>
      <c r="R268" s="67"/>
      <c r="S268" s="67"/>
      <c r="T268" s="67"/>
      <c r="U268" s="67"/>
    </row>
    <row r="269" spans="1:26" x14ac:dyDescent="0.25">
      <c r="A269" s="491"/>
      <c r="B269" s="926" t="s">
        <v>57</v>
      </c>
      <c r="C269" s="927"/>
      <c r="D269" s="927"/>
      <c r="E269" s="927"/>
      <c r="F269" s="928"/>
      <c r="G269" s="101"/>
      <c r="H269" s="954">
        <f>'Berechnung Starkstrom'!E123</f>
        <v>0</v>
      </c>
      <c r="I269" s="954"/>
      <c r="J269" s="955"/>
      <c r="K269" s="66"/>
      <c r="L269" s="66"/>
      <c r="M269" s="66"/>
      <c r="N269" s="66"/>
      <c r="O269" s="66"/>
      <c r="P269" s="67"/>
      <c r="Q269" s="67"/>
      <c r="R269" s="67"/>
      <c r="S269" s="67"/>
      <c r="T269" s="67"/>
      <c r="U269" s="67"/>
    </row>
    <row r="270" spans="1:26" ht="14.55" thickBot="1" x14ac:dyDescent="0.3">
      <c r="A270" s="491"/>
      <c r="B270" s="90"/>
      <c r="C270" s="91"/>
      <c r="D270" s="91"/>
      <c r="E270" s="91"/>
      <c r="F270" s="92"/>
      <c r="G270" s="1333"/>
      <c r="H270" s="1334"/>
      <c r="I270" s="1334"/>
      <c r="J270" s="1335"/>
      <c r="K270" s="66"/>
      <c r="L270" s="66"/>
      <c r="M270" s="66"/>
      <c r="N270" s="66"/>
      <c r="O270" s="66"/>
      <c r="P270" s="67"/>
      <c r="Q270" s="67"/>
      <c r="R270" s="67"/>
      <c r="S270" s="67"/>
      <c r="T270" s="67"/>
      <c r="U270" s="67"/>
    </row>
    <row r="271" spans="1:26" ht="15.95" customHeight="1" thickBot="1" x14ac:dyDescent="0.3">
      <c r="A271" s="491"/>
      <c r="B271" s="929" t="s">
        <v>59</v>
      </c>
      <c r="C271" s="930"/>
      <c r="D271" s="930"/>
      <c r="E271" s="930"/>
      <c r="F271" s="931"/>
      <c r="G271" s="107"/>
      <c r="H271" s="935">
        <f>SUM(H265:J269)</f>
        <v>0</v>
      </c>
      <c r="I271" s="935"/>
      <c r="J271" s="936"/>
      <c r="K271" s="66"/>
      <c r="L271" s="66"/>
      <c r="M271" s="66"/>
      <c r="N271" s="66"/>
      <c r="O271" s="66"/>
      <c r="P271" s="67"/>
      <c r="Q271" s="67"/>
      <c r="R271" s="67"/>
      <c r="S271" s="67"/>
      <c r="T271" s="67"/>
      <c r="U271" s="67"/>
    </row>
    <row r="272" spans="1:26" x14ac:dyDescent="0.25">
      <c r="A272" s="491"/>
      <c r="B272" s="320"/>
      <c r="C272" s="321"/>
      <c r="D272" s="321"/>
      <c r="E272" s="321"/>
      <c r="F272" s="322"/>
      <c r="G272" s="45"/>
      <c r="H272" s="93"/>
      <c r="I272" s="93"/>
      <c r="J272" s="94"/>
      <c r="K272" s="66"/>
      <c r="L272" s="66"/>
      <c r="M272" s="66"/>
      <c r="N272" s="66"/>
      <c r="O272" s="66"/>
      <c r="P272" s="67"/>
      <c r="Q272" s="67"/>
      <c r="R272" s="67"/>
      <c r="S272" s="67"/>
      <c r="T272" s="67"/>
      <c r="U272" s="67"/>
    </row>
    <row r="273" spans="1:21" ht="15" customHeight="1" x14ac:dyDescent="0.25">
      <c r="A273" s="491"/>
      <c r="B273" s="917" t="s">
        <v>94</v>
      </c>
      <c r="C273" s="918"/>
      <c r="D273" s="918"/>
      <c r="E273" s="918"/>
      <c r="F273" s="919"/>
      <c r="G273" s="100">
        <f>Überblick!$G$98</f>
        <v>0.19</v>
      </c>
      <c r="H273" s="954">
        <f>H271*G273</f>
        <v>0</v>
      </c>
      <c r="I273" s="954"/>
      <c r="J273" s="955"/>
      <c r="K273" s="66"/>
      <c r="L273" s="66"/>
      <c r="M273" s="66"/>
      <c r="N273" s="66"/>
      <c r="O273" s="66"/>
      <c r="P273" s="67"/>
      <c r="Q273" s="67"/>
      <c r="R273" s="67"/>
      <c r="S273" s="67"/>
      <c r="T273" s="67"/>
      <c r="U273" s="67"/>
    </row>
    <row r="274" spans="1:21" ht="14.55" thickBot="1" x14ac:dyDescent="0.3">
      <c r="A274" s="491"/>
      <c r="B274" s="305"/>
      <c r="C274" s="306"/>
      <c r="D274" s="306"/>
      <c r="E274" s="306"/>
      <c r="F274" s="307"/>
      <c r="G274" s="102"/>
      <c r="H274" s="299"/>
      <c r="I274" s="299"/>
      <c r="J274" s="300"/>
      <c r="K274" s="66"/>
      <c r="L274" s="66"/>
      <c r="M274" s="66"/>
      <c r="N274" s="66"/>
      <c r="O274" s="66"/>
      <c r="P274" s="67"/>
      <c r="Q274" s="67"/>
      <c r="R274" s="67"/>
      <c r="S274" s="67"/>
      <c r="T274" s="67"/>
      <c r="U274" s="67"/>
    </row>
    <row r="275" spans="1:21" ht="15" customHeight="1" x14ac:dyDescent="0.25">
      <c r="A275" s="491"/>
      <c r="B275" s="920" t="s">
        <v>98</v>
      </c>
      <c r="C275" s="921"/>
      <c r="D275" s="921"/>
      <c r="E275" s="921"/>
      <c r="F275" s="922"/>
      <c r="G275" s="172"/>
      <c r="H275" s="937">
        <f>H271+H273</f>
        <v>0</v>
      </c>
      <c r="I275" s="937"/>
      <c r="J275" s="938"/>
      <c r="K275" s="66"/>
      <c r="L275" s="66"/>
      <c r="M275" s="66"/>
      <c r="N275" s="66"/>
      <c r="O275" s="66"/>
      <c r="P275" s="67"/>
      <c r="Q275" s="67"/>
      <c r="R275" s="67"/>
      <c r="S275" s="67"/>
      <c r="T275" s="67"/>
      <c r="U275" s="67"/>
    </row>
    <row r="276" spans="1:21" ht="14.55" thickBot="1" x14ac:dyDescent="0.3">
      <c r="A276" s="491"/>
      <c r="B276" s="923"/>
      <c r="C276" s="924"/>
      <c r="D276" s="924"/>
      <c r="E276" s="924"/>
      <c r="F276" s="925"/>
      <c r="G276" s="98"/>
      <c r="H276" s="939"/>
      <c r="I276" s="939"/>
      <c r="J276" s="940"/>
      <c r="K276" s="66"/>
      <c r="L276" s="66"/>
      <c r="M276" s="66"/>
      <c r="N276" s="66"/>
      <c r="O276" s="66"/>
      <c r="P276" s="67"/>
      <c r="Q276" s="67"/>
      <c r="R276" s="67"/>
      <c r="S276" s="67"/>
      <c r="T276" s="67"/>
      <c r="U276" s="67"/>
    </row>
    <row r="277" spans="1:21" x14ac:dyDescent="0.25">
      <c r="A277" s="491"/>
      <c r="B277" s="60"/>
      <c r="C277" s="60"/>
      <c r="D277" s="60"/>
      <c r="E277" s="60"/>
      <c r="F277" s="65"/>
      <c r="G277" s="65"/>
      <c r="H277" s="65"/>
      <c r="I277" s="66"/>
      <c r="J277" s="66"/>
      <c r="K277" s="66"/>
      <c r="L277" s="66"/>
      <c r="M277" s="66"/>
      <c r="N277" s="66"/>
      <c r="O277" s="66"/>
      <c r="P277" s="67"/>
      <c r="Q277" s="67"/>
      <c r="R277" s="67"/>
      <c r="S277" s="67"/>
      <c r="T277" s="67"/>
      <c r="U277" s="67"/>
    </row>
    <row r="278" spans="1:21" x14ac:dyDescent="0.25">
      <c r="A278" s="491" t="s">
        <v>284</v>
      </c>
      <c r="B278" s="40" t="str">
        <f>IF(B1=Q1,"Gemäß des Honorarangebotes werden die Stufen wie folgt vergütet (netto):","Gemäß der Honorarvereinbarung werden die Stufen wie folgt vergütet (netto): ")</f>
        <v>Gemäß des Honorarangebotes werden die Stufen wie folgt vergütet (netto):</v>
      </c>
      <c r="C278" s="40"/>
      <c r="D278" s="40"/>
      <c r="E278" s="40"/>
      <c r="F278" s="40"/>
      <c r="G278" s="40"/>
      <c r="H278" s="40"/>
      <c r="I278" s="40"/>
      <c r="J278" s="40"/>
      <c r="K278" s="40"/>
      <c r="L278" s="60"/>
      <c r="M278" s="66"/>
      <c r="N278" s="66"/>
      <c r="O278" s="40"/>
      <c r="P278" s="67"/>
      <c r="Q278" s="67"/>
      <c r="R278" s="67"/>
      <c r="S278" s="67"/>
      <c r="T278" s="67"/>
      <c r="U278" s="67"/>
    </row>
    <row r="279" spans="1:21" ht="14.55" thickBot="1" x14ac:dyDescent="0.3">
      <c r="A279" s="491"/>
      <c r="B279" s="60"/>
      <c r="C279" s="60"/>
      <c r="D279" s="60"/>
      <c r="E279" s="60"/>
      <c r="F279" s="65"/>
      <c r="G279" s="65"/>
      <c r="H279" s="65"/>
      <c r="I279" s="66"/>
      <c r="J279" s="66"/>
      <c r="K279" s="66"/>
      <c r="L279" s="66"/>
      <c r="M279" s="66"/>
      <c r="N279" s="66"/>
      <c r="O279" s="40"/>
      <c r="P279" s="67"/>
      <c r="Q279" s="67"/>
      <c r="R279" s="67"/>
      <c r="S279" s="67"/>
      <c r="T279" s="67"/>
      <c r="U279" s="67"/>
    </row>
    <row r="280" spans="1:21" ht="15.2" thickTop="1" thickBot="1" x14ac:dyDescent="0.3">
      <c r="A280" s="491"/>
      <c r="B280" s="357" t="s">
        <v>105</v>
      </c>
      <c r="C280" s="358" t="s">
        <v>285</v>
      </c>
      <c r="D280" s="359" t="s">
        <v>286</v>
      </c>
      <c r="E280" s="360" t="s">
        <v>287</v>
      </c>
      <c r="F280" s="360" t="s">
        <v>288</v>
      </c>
      <c r="G280" s="361" t="s">
        <v>289</v>
      </c>
      <c r="H280" s="361" t="s">
        <v>290</v>
      </c>
      <c r="I280" s="362" t="s">
        <v>291</v>
      </c>
      <c r="J280" s="362" t="s">
        <v>292</v>
      </c>
      <c r="K280" s="362" t="s">
        <v>293</v>
      </c>
      <c r="L280" s="362" t="s">
        <v>294</v>
      </c>
      <c r="M280" s="362" t="s">
        <v>295</v>
      </c>
      <c r="N280" s="362" t="s">
        <v>296</v>
      </c>
      <c r="O280" s="362" t="s">
        <v>297</v>
      </c>
      <c r="P280" s="363" t="s">
        <v>298</v>
      </c>
      <c r="Q280" s="67"/>
      <c r="R280" s="67"/>
      <c r="S280" s="67"/>
      <c r="T280" s="67"/>
      <c r="U280" s="67"/>
    </row>
    <row r="281" spans="1:21" x14ac:dyDescent="0.25">
      <c r="A281" s="492"/>
      <c r="B281" s="153" t="str">
        <f>IF(Überblick!$H$53&gt;=1,"1:",0)</f>
        <v>1:</v>
      </c>
      <c r="C281" s="481">
        <f>'Berechnung Starkstrom'!C135</f>
        <v>0</v>
      </c>
      <c r="D281" s="481">
        <f>'Berechnung Starkstrom'!D135</f>
        <v>0</v>
      </c>
      <c r="E281" s="481">
        <f>'Berechnung Starkstrom'!E135</f>
        <v>0</v>
      </c>
      <c r="F281" s="481">
        <f>'Berechnung Starkstrom'!F135</f>
        <v>0</v>
      </c>
      <c r="G281" s="481">
        <f>'Berechnung Starkstrom'!G135</f>
        <v>0</v>
      </c>
      <c r="H281" s="481">
        <f>'Berechnung Starkstrom'!H135</f>
        <v>0</v>
      </c>
      <c r="I281" s="481">
        <f>'Berechnung Starkstrom'!I135</f>
        <v>0</v>
      </c>
      <c r="J281" s="481">
        <f>'Berechnung Starkstrom'!J135</f>
        <v>0</v>
      </c>
      <c r="K281" s="481">
        <f>'Berechnung Starkstrom'!K135</f>
        <v>0</v>
      </c>
      <c r="L281" s="481">
        <f>'Berechnung Starkstrom'!L135</f>
        <v>0</v>
      </c>
      <c r="M281" s="481">
        <f>'Berechnung Starkstrom'!M135</f>
        <v>0</v>
      </c>
      <c r="N281" s="481">
        <f>'Berechnung Starkstrom'!N135</f>
        <v>0</v>
      </c>
      <c r="O281" s="481">
        <f>'Berechnung Starkstrom'!O135</f>
        <v>0</v>
      </c>
      <c r="P281" s="481">
        <f>'Berechnung Starkstrom'!P135</f>
        <v>0</v>
      </c>
      <c r="Q281" s="96">
        <f>SUM(C281:P281)</f>
        <v>0</v>
      </c>
      <c r="S281" s="63"/>
      <c r="T281" s="63"/>
      <c r="U281" s="63"/>
    </row>
    <row r="282" spans="1:21" ht="15.95" customHeight="1" x14ac:dyDescent="0.25">
      <c r="A282" s="492"/>
      <c r="B282" s="153" t="str">
        <f>IF(Überblick!$H$53&gt;=2,"2:",0)</f>
        <v>2:</v>
      </c>
      <c r="C282" s="481">
        <f>'Berechnung Starkstrom'!C136</f>
        <v>0</v>
      </c>
      <c r="D282" s="481">
        <f>'Berechnung Starkstrom'!D136</f>
        <v>0</v>
      </c>
      <c r="E282" s="481">
        <f>'Berechnung Starkstrom'!E136</f>
        <v>0</v>
      </c>
      <c r="F282" s="481">
        <f>'Berechnung Starkstrom'!F136</f>
        <v>0</v>
      </c>
      <c r="G282" s="481">
        <f>'Berechnung Starkstrom'!G136</f>
        <v>0</v>
      </c>
      <c r="H282" s="481">
        <f>'Berechnung Starkstrom'!H136</f>
        <v>0</v>
      </c>
      <c r="I282" s="481">
        <f>'Berechnung Starkstrom'!I136</f>
        <v>0</v>
      </c>
      <c r="J282" s="481">
        <f>'Berechnung Starkstrom'!J136</f>
        <v>0</v>
      </c>
      <c r="K282" s="481">
        <f>'Berechnung Starkstrom'!K136</f>
        <v>0</v>
      </c>
      <c r="L282" s="481">
        <f>'Berechnung Starkstrom'!L136</f>
        <v>0</v>
      </c>
      <c r="M282" s="481">
        <f>'Berechnung Starkstrom'!M136</f>
        <v>0</v>
      </c>
      <c r="N282" s="481">
        <f>'Berechnung Starkstrom'!N136</f>
        <v>0</v>
      </c>
      <c r="O282" s="481">
        <f>'Berechnung Starkstrom'!O136</f>
        <v>0</v>
      </c>
      <c r="P282" s="481">
        <f>'Berechnung Starkstrom'!P136</f>
        <v>0</v>
      </c>
      <c r="Q282" s="96">
        <f t="shared" ref="Q282:Q288" si="4">SUM(C282:P282)</f>
        <v>0</v>
      </c>
    </row>
    <row r="283" spans="1:21" x14ac:dyDescent="0.25">
      <c r="A283" s="59"/>
      <c r="B283" s="153" t="str">
        <f>IF(Überblick!$H$53&gt;=3,"3:",0)</f>
        <v>3:</v>
      </c>
      <c r="C283" s="481">
        <f>'Berechnung Starkstrom'!C137</f>
        <v>0</v>
      </c>
      <c r="D283" s="481">
        <f>'Berechnung Starkstrom'!D137</f>
        <v>0</v>
      </c>
      <c r="E283" s="481">
        <f>'Berechnung Starkstrom'!E137</f>
        <v>0</v>
      </c>
      <c r="F283" s="481">
        <f>'Berechnung Starkstrom'!F137</f>
        <v>0</v>
      </c>
      <c r="G283" s="481">
        <f>'Berechnung Starkstrom'!G137</f>
        <v>0</v>
      </c>
      <c r="H283" s="481">
        <f>'Berechnung Starkstrom'!H137</f>
        <v>0</v>
      </c>
      <c r="I283" s="481">
        <f>'Berechnung Starkstrom'!I137</f>
        <v>0</v>
      </c>
      <c r="J283" s="481">
        <f>'Berechnung Starkstrom'!J137</f>
        <v>0</v>
      </c>
      <c r="K283" s="481">
        <f>'Berechnung Starkstrom'!K137</f>
        <v>0</v>
      </c>
      <c r="L283" s="481">
        <f>'Berechnung Starkstrom'!L137</f>
        <v>0</v>
      </c>
      <c r="M283" s="481">
        <f>'Berechnung Starkstrom'!M137</f>
        <v>0</v>
      </c>
      <c r="N283" s="481">
        <f>'Berechnung Starkstrom'!N137</f>
        <v>0</v>
      </c>
      <c r="O283" s="481">
        <f>'Berechnung Starkstrom'!O137</f>
        <v>0</v>
      </c>
      <c r="P283" s="481">
        <f>'Berechnung Starkstrom'!P137</f>
        <v>0</v>
      </c>
      <c r="Q283" s="96">
        <f t="shared" si="4"/>
        <v>0</v>
      </c>
    </row>
    <row r="284" spans="1:21" x14ac:dyDescent="0.25">
      <c r="A284" s="491"/>
      <c r="B284" s="153" t="str">
        <f>IF(Überblick!$H$53&gt;=4,"4:",0)</f>
        <v>4:</v>
      </c>
      <c r="C284" s="481">
        <f>'Berechnung Starkstrom'!C138</f>
        <v>0</v>
      </c>
      <c r="D284" s="481">
        <f>'Berechnung Starkstrom'!D138</f>
        <v>0</v>
      </c>
      <c r="E284" s="481">
        <f>'Berechnung Starkstrom'!E138</f>
        <v>0</v>
      </c>
      <c r="F284" s="481">
        <f>'Berechnung Starkstrom'!F138</f>
        <v>0</v>
      </c>
      <c r="G284" s="481">
        <f>'Berechnung Starkstrom'!G138</f>
        <v>0</v>
      </c>
      <c r="H284" s="481">
        <f>'Berechnung Starkstrom'!H138</f>
        <v>0</v>
      </c>
      <c r="I284" s="481">
        <f>'Berechnung Starkstrom'!I138</f>
        <v>0</v>
      </c>
      <c r="J284" s="481">
        <f>'Berechnung Starkstrom'!J138</f>
        <v>0</v>
      </c>
      <c r="K284" s="481">
        <f>'Berechnung Starkstrom'!K138</f>
        <v>0</v>
      </c>
      <c r="L284" s="481">
        <f>'Berechnung Starkstrom'!L138</f>
        <v>0</v>
      </c>
      <c r="M284" s="481">
        <f>'Berechnung Starkstrom'!M138</f>
        <v>0</v>
      </c>
      <c r="N284" s="481">
        <f>'Berechnung Starkstrom'!N138</f>
        <v>0</v>
      </c>
      <c r="O284" s="481">
        <f>'Berechnung Starkstrom'!O138</f>
        <v>0</v>
      </c>
      <c r="P284" s="481">
        <f>'Berechnung Starkstrom'!P138</f>
        <v>0</v>
      </c>
      <c r="Q284" s="96">
        <f t="shared" si="4"/>
        <v>0</v>
      </c>
    </row>
    <row r="285" spans="1:21" x14ac:dyDescent="0.25">
      <c r="A285" s="491"/>
      <c r="B285" s="153" t="str">
        <f>IF(Überblick!$H$53&gt;=5,"5:",0)</f>
        <v>5:</v>
      </c>
      <c r="C285" s="481">
        <f>'Berechnung Starkstrom'!C139</f>
        <v>0</v>
      </c>
      <c r="D285" s="481">
        <f>'Berechnung Starkstrom'!D139</f>
        <v>0</v>
      </c>
      <c r="E285" s="481">
        <f>'Berechnung Starkstrom'!E139</f>
        <v>0</v>
      </c>
      <c r="F285" s="481">
        <f>'Berechnung Starkstrom'!F139</f>
        <v>0</v>
      </c>
      <c r="G285" s="481">
        <f>'Berechnung Starkstrom'!G139</f>
        <v>0</v>
      </c>
      <c r="H285" s="481">
        <f>'Berechnung Starkstrom'!H139</f>
        <v>0</v>
      </c>
      <c r="I285" s="481">
        <f>'Berechnung Starkstrom'!I139</f>
        <v>0</v>
      </c>
      <c r="J285" s="481">
        <f>'Berechnung Starkstrom'!J139</f>
        <v>0</v>
      </c>
      <c r="K285" s="481">
        <f>'Berechnung Starkstrom'!K139</f>
        <v>0</v>
      </c>
      <c r="L285" s="481">
        <f>'Berechnung Starkstrom'!L139</f>
        <v>0</v>
      </c>
      <c r="M285" s="481">
        <f>'Berechnung Starkstrom'!M139</f>
        <v>0</v>
      </c>
      <c r="N285" s="481">
        <f>'Berechnung Starkstrom'!N139</f>
        <v>0</v>
      </c>
      <c r="O285" s="481">
        <f>'Berechnung Starkstrom'!O139</f>
        <v>0</v>
      </c>
      <c r="P285" s="481">
        <f>'Berechnung Starkstrom'!P139</f>
        <v>0</v>
      </c>
      <c r="Q285" s="96">
        <f t="shared" si="4"/>
        <v>0</v>
      </c>
    </row>
    <row r="286" spans="1:21" ht="15.95" customHeight="1" x14ac:dyDescent="0.25">
      <c r="A286" s="491"/>
      <c r="B286" s="153" t="str">
        <f>IF(Überblick!$H$53&gt;=6,"6:",0)</f>
        <v>6:</v>
      </c>
      <c r="C286" s="481">
        <f>'Berechnung Starkstrom'!C140</f>
        <v>0</v>
      </c>
      <c r="D286" s="481">
        <f>'Berechnung Starkstrom'!D140</f>
        <v>0</v>
      </c>
      <c r="E286" s="481">
        <f>'Berechnung Starkstrom'!E140</f>
        <v>0</v>
      </c>
      <c r="F286" s="481">
        <f>'Berechnung Starkstrom'!F140</f>
        <v>0</v>
      </c>
      <c r="G286" s="481">
        <f>'Berechnung Starkstrom'!G140</f>
        <v>0</v>
      </c>
      <c r="H286" s="481">
        <f>'Berechnung Starkstrom'!H140</f>
        <v>0</v>
      </c>
      <c r="I286" s="481">
        <f>'Berechnung Starkstrom'!I140</f>
        <v>0</v>
      </c>
      <c r="J286" s="481">
        <f>'Berechnung Starkstrom'!J140</f>
        <v>0</v>
      </c>
      <c r="K286" s="481">
        <f>'Berechnung Starkstrom'!K140</f>
        <v>0</v>
      </c>
      <c r="L286" s="481">
        <f>'Berechnung Starkstrom'!L140</f>
        <v>0</v>
      </c>
      <c r="M286" s="481">
        <f>'Berechnung Starkstrom'!M140</f>
        <v>0</v>
      </c>
      <c r="N286" s="481">
        <f>'Berechnung Starkstrom'!N140</f>
        <v>0</v>
      </c>
      <c r="O286" s="481">
        <f>'Berechnung Starkstrom'!O140</f>
        <v>0</v>
      </c>
      <c r="P286" s="481">
        <f>'Berechnung Starkstrom'!P140</f>
        <v>0</v>
      </c>
      <c r="Q286" s="96">
        <f t="shared" si="4"/>
        <v>0</v>
      </c>
    </row>
    <row r="287" spans="1:21" x14ac:dyDescent="0.25">
      <c r="A287" s="491"/>
      <c r="B287" s="153">
        <f>IF(Überblick!$H$53&gt;=7,"7:",0)</f>
        <v>0</v>
      </c>
      <c r="C287" s="481">
        <f>'Berechnung Starkstrom'!C141</f>
        <v>0</v>
      </c>
      <c r="D287" s="481">
        <f>'Berechnung Starkstrom'!D141</f>
        <v>0</v>
      </c>
      <c r="E287" s="481">
        <f>'Berechnung Starkstrom'!E141</f>
        <v>0</v>
      </c>
      <c r="F287" s="481">
        <f>'Berechnung Starkstrom'!F141</f>
        <v>0</v>
      </c>
      <c r="G287" s="481">
        <f>'Berechnung Starkstrom'!G141</f>
        <v>0</v>
      </c>
      <c r="H287" s="481">
        <f>'Berechnung Starkstrom'!H141</f>
        <v>0</v>
      </c>
      <c r="I287" s="481">
        <f>'Berechnung Starkstrom'!I141</f>
        <v>0</v>
      </c>
      <c r="J287" s="481">
        <f>'Berechnung Starkstrom'!J141</f>
        <v>0</v>
      </c>
      <c r="K287" s="481">
        <f>'Berechnung Starkstrom'!K141</f>
        <v>0</v>
      </c>
      <c r="L287" s="481">
        <f>'Berechnung Starkstrom'!L141</f>
        <v>0</v>
      </c>
      <c r="M287" s="481">
        <f>'Berechnung Starkstrom'!M141</f>
        <v>0</v>
      </c>
      <c r="N287" s="481">
        <f>'Berechnung Starkstrom'!N141</f>
        <v>0</v>
      </c>
      <c r="O287" s="481">
        <f>'Berechnung Starkstrom'!O141</f>
        <v>0</v>
      </c>
      <c r="P287" s="481">
        <f>'Berechnung Starkstrom'!P141</f>
        <v>0</v>
      </c>
      <c r="Q287" s="96">
        <f t="shared" si="4"/>
        <v>0</v>
      </c>
    </row>
    <row r="288" spans="1:21" ht="15" customHeight="1" x14ac:dyDescent="0.25">
      <c r="A288" s="491"/>
      <c r="B288" s="153">
        <f>IF(Überblick!$H$53&gt;=8,"8:",0)</f>
        <v>0</v>
      </c>
      <c r="C288" s="481">
        <f>'Berechnung Starkstrom'!C142</f>
        <v>0</v>
      </c>
      <c r="D288" s="481">
        <f>'Berechnung Starkstrom'!D142</f>
        <v>0</v>
      </c>
      <c r="E288" s="481">
        <f>'Berechnung Starkstrom'!E142</f>
        <v>0</v>
      </c>
      <c r="F288" s="481">
        <f>'Berechnung Starkstrom'!F142</f>
        <v>0</v>
      </c>
      <c r="G288" s="481">
        <f>'Berechnung Starkstrom'!G142</f>
        <v>0</v>
      </c>
      <c r="H288" s="481">
        <f>'Berechnung Starkstrom'!H142</f>
        <v>0</v>
      </c>
      <c r="I288" s="481">
        <f>'Berechnung Starkstrom'!I142</f>
        <v>0</v>
      </c>
      <c r="J288" s="481">
        <f>'Berechnung Starkstrom'!J142</f>
        <v>0</v>
      </c>
      <c r="K288" s="481">
        <f>'Berechnung Starkstrom'!K142</f>
        <v>0</v>
      </c>
      <c r="L288" s="481">
        <f>'Berechnung Starkstrom'!L142</f>
        <v>0</v>
      </c>
      <c r="M288" s="481">
        <f>'Berechnung Starkstrom'!M142</f>
        <v>0</v>
      </c>
      <c r="N288" s="481">
        <f>'Berechnung Starkstrom'!N142</f>
        <v>0</v>
      </c>
      <c r="O288" s="481">
        <f>'Berechnung Starkstrom'!O142</f>
        <v>0</v>
      </c>
      <c r="P288" s="481">
        <f>'Berechnung Starkstrom'!P142</f>
        <v>0</v>
      </c>
      <c r="Q288" s="96">
        <f t="shared" si="4"/>
        <v>0</v>
      </c>
    </row>
    <row r="289" spans="2:16" x14ac:dyDescent="0.25">
      <c r="B289" s="153">
        <f>IF(Überblick!$H$53&gt;=9,"9:",0)</f>
        <v>0</v>
      </c>
      <c r="C289" s="481">
        <f>'Berechnung Starkstrom'!C143</f>
        <v>0</v>
      </c>
      <c r="D289" s="481">
        <f>'Berechnung Starkstrom'!D143</f>
        <v>0</v>
      </c>
      <c r="E289" s="481">
        <f>'Berechnung Starkstrom'!E143</f>
        <v>0</v>
      </c>
      <c r="F289" s="481">
        <f>'Berechnung Starkstrom'!F143</f>
        <v>0</v>
      </c>
      <c r="G289" s="481">
        <f>'Berechnung Starkstrom'!G143</f>
        <v>0</v>
      </c>
      <c r="H289" s="481">
        <f>'Berechnung Starkstrom'!H143</f>
        <v>0</v>
      </c>
      <c r="I289" s="481">
        <f>'Berechnung Starkstrom'!I143</f>
        <v>0</v>
      </c>
      <c r="J289" s="481">
        <f>'Berechnung Starkstrom'!J143</f>
        <v>0</v>
      </c>
      <c r="K289" s="481">
        <f>'Berechnung Starkstrom'!K143</f>
        <v>0</v>
      </c>
      <c r="L289" s="481">
        <f>'Berechnung Starkstrom'!L143</f>
        <v>0</v>
      </c>
      <c r="M289" s="481">
        <f>'Berechnung Starkstrom'!M143</f>
        <v>0</v>
      </c>
      <c r="N289" s="481">
        <f>'Berechnung Starkstrom'!N143</f>
        <v>0</v>
      </c>
      <c r="O289" s="481">
        <f>'Berechnung Starkstrom'!O143</f>
        <v>0</v>
      </c>
      <c r="P289" s="481">
        <f>'Berechnung Starkstrom'!P143</f>
        <v>0</v>
      </c>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row r="294" spans="2:16" x14ac:dyDescent="0.25">
      <c r="B294" s="140"/>
      <c r="C294" s="140"/>
      <c r="D294" s="140"/>
      <c r="E294" s="140"/>
      <c r="F294" s="140"/>
      <c r="G294" s="140"/>
      <c r="H294" s="140"/>
      <c r="I294" s="140"/>
      <c r="J294" s="140"/>
      <c r="K294" s="140"/>
      <c r="L294" s="140"/>
      <c r="M294" s="140"/>
      <c r="N294" s="140"/>
      <c r="O294" s="140"/>
      <c r="P294" s="140"/>
    </row>
  </sheetData>
  <sheetProtection algorithmName="SHA-512" hashValue="c9keV6Iqm3Z+iyYd1wjIj31fE42HQgVwHjPBkqUXvXuuRphtS1zvQ2OvyLD5deH1zvDHaYj/XhKPfn20Zjv+qw==" saltValue="2wqzPZeOa8IQkH3BVkeJ/A==" spinCount="100000" sheet="1" objects="1" scenarios="1"/>
  <mergeCells count="475">
    <mergeCell ref="S2:U2"/>
    <mergeCell ref="S3:U3"/>
    <mergeCell ref="S4:U4"/>
    <mergeCell ref="T1:U1"/>
    <mergeCell ref="L194:P203"/>
    <mergeCell ref="L204:P205"/>
    <mergeCell ref="L212:P217"/>
    <mergeCell ref="L218:P226"/>
    <mergeCell ref="L230:P234"/>
    <mergeCell ref="T35:T37"/>
    <mergeCell ref="U35:U37"/>
    <mergeCell ref="R39:S43"/>
    <mergeCell ref="R44:S46"/>
    <mergeCell ref="T39:T53"/>
    <mergeCell ref="U39:U53"/>
    <mergeCell ref="R35:S37"/>
    <mergeCell ref="R38:S38"/>
    <mergeCell ref="Q47:Q48"/>
    <mergeCell ref="R47:S48"/>
    <mergeCell ref="R49:S49"/>
    <mergeCell ref="R50:S50"/>
    <mergeCell ref="L54:P54"/>
    <mergeCell ref="R54:S54"/>
    <mergeCell ref="Q55:Q57"/>
    <mergeCell ref="F5:I5"/>
    <mergeCell ref="J5:M5"/>
    <mergeCell ref="N5:Q5"/>
    <mergeCell ref="F6:G6"/>
    <mergeCell ref="H6:I6"/>
    <mergeCell ref="J6:K6"/>
    <mergeCell ref="L6:M6"/>
    <mergeCell ref="N6:O6"/>
    <mergeCell ref="P6:Q6"/>
    <mergeCell ref="L35:P37"/>
    <mergeCell ref="Q58:Q60"/>
    <mergeCell ref="B109:G110"/>
    <mergeCell ref="B8:E8"/>
    <mergeCell ref="F8:G8"/>
    <mergeCell ref="H8:I8"/>
    <mergeCell ref="J8:K8"/>
    <mergeCell ref="L8:M8"/>
    <mergeCell ref="N8:O8"/>
    <mergeCell ref="P8:Q8"/>
    <mergeCell ref="H109:H110"/>
    <mergeCell ref="B38:G38"/>
    <mergeCell ref="I38:K38"/>
    <mergeCell ref="L38:P38"/>
    <mergeCell ref="Q39:Q43"/>
    <mergeCell ref="Q44:Q46"/>
    <mergeCell ref="Q35:Q37"/>
    <mergeCell ref="L44:P46"/>
    <mergeCell ref="B35:G37"/>
    <mergeCell ref="H35:H37"/>
    <mergeCell ref="Q61:Q63"/>
    <mergeCell ref="F9:I11"/>
    <mergeCell ref="J9:M11"/>
    <mergeCell ref="N9:Q11"/>
    <mergeCell ref="B7:E7"/>
    <mergeCell ref="F7:G7"/>
    <mergeCell ref="H7:I7"/>
    <mergeCell ref="J7:K7"/>
    <mergeCell ref="L7:M7"/>
    <mergeCell ref="N7:O7"/>
    <mergeCell ref="B23:E23"/>
    <mergeCell ref="F23:Q23"/>
    <mergeCell ref="B15:E15"/>
    <mergeCell ref="F15:Q15"/>
    <mergeCell ref="B16:E16"/>
    <mergeCell ref="F16:Q16"/>
    <mergeCell ref="F17:I18"/>
    <mergeCell ref="J17:M18"/>
    <mergeCell ref="N17:Q18"/>
    <mergeCell ref="F19:I19"/>
    <mergeCell ref="J19:M19"/>
    <mergeCell ref="N19:Q19"/>
    <mergeCell ref="P7:Q7"/>
    <mergeCell ref="A32:A126"/>
    <mergeCell ref="B32:G34"/>
    <mergeCell ref="H32:H34"/>
    <mergeCell ref="I32:I34"/>
    <mergeCell ref="J32:K34"/>
    <mergeCell ref="I35:K37"/>
    <mergeCell ref="B39:G41"/>
    <mergeCell ref="H39:H41"/>
    <mergeCell ref="I39:I53"/>
    <mergeCell ref="B54:G54"/>
    <mergeCell ref="I54:K54"/>
    <mergeCell ref="B101:G106"/>
    <mergeCell ref="H101:H106"/>
    <mergeCell ref="B118:G118"/>
    <mergeCell ref="I118:K118"/>
    <mergeCell ref="B55:G56"/>
    <mergeCell ref="H55:H56"/>
    <mergeCell ref="I55:I77"/>
    <mergeCell ref="J55:K77"/>
    <mergeCell ref="B42:G44"/>
    <mergeCell ref="H42:H44"/>
    <mergeCell ref="H111:H112"/>
    <mergeCell ref="B45:G53"/>
    <mergeCell ref="B71:G73"/>
    <mergeCell ref="H45:H53"/>
    <mergeCell ref="L47:P48"/>
    <mergeCell ref="L49:P49"/>
    <mergeCell ref="L50:P50"/>
    <mergeCell ref="J39:K53"/>
    <mergeCell ref="L39:P43"/>
    <mergeCell ref="Q51:Q52"/>
    <mergeCell ref="R51:S52"/>
    <mergeCell ref="R53:S53"/>
    <mergeCell ref="R55:S57"/>
    <mergeCell ref="L55:P57"/>
    <mergeCell ref="L51:P52"/>
    <mergeCell ref="L53:P53"/>
    <mergeCell ref="R61:S63"/>
    <mergeCell ref="B111:G112"/>
    <mergeCell ref="L70:P72"/>
    <mergeCell ref="H71:H73"/>
    <mergeCell ref="T55:T77"/>
    <mergeCell ref="I78:K80"/>
    <mergeCell ref="T78:T80"/>
    <mergeCell ref="Q73:Q75"/>
    <mergeCell ref="R73:S75"/>
    <mergeCell ref="Q76:Q77"/>
    <mergeCell ref="R76:S77"/>
    <mergeCell ref="Q104:Q106"/>
    <mergeCell ref="R104:S106"/>
    <mergeCell ref="R110:S112"/>
    <mergeCell ref="L107:P109"/>
    <mergeCell ref="L94:P97"/>
    <mergeCell ref="L98:P100"/>
    <mergeCell ref="Q88:Q90"/>
    <mergeCell ref="R88:S90"/>
    <mergeCell ref="Q91:Q93"/>
    <mergeCell ref="U55:U77"/>
    <mergeCell ref="B57:G64"/>
    <mergeCell ref="H57:H64"/>
    <mergeCell ref="L58:P60"/>
    <mergeCell ref="L61:P63"/>
    <mergeCell ref="L64:P66"/>
    <mergeCell ref="L73:P75"/>
    <mergeCell ref="B74:G75"/>
    <mergeCell ref="H74:H75"/>
    <mergeCell ref="B76:G77"/>
    <mergeCell ref="H76:H77"/>
    <mergeCell ref="L76:P77"/>
    <mergeCell ref="B65:G66"/>
    <mergeCell ref="H65:H66"/>
    <mergeCell ref="B67:G70"/>
    <mergeCell ref="H67:H70"/>
    <mergeCell ref="L67:P69"/>
    <mergeCell ref="R58:S60"/>
    <mergeCell ref="Q64:Q66"/>
    <mergeCell ref="R64:S66"/>
    <mergeCell ref="Q67:Q69"/>
    <mergeCell ref="R67:S69"/>
    <mergeCell ref="Q70:Q72"/>
    <mergeCell ref="R70:S72"/>
    <mergeCell ref="U78:U80"/>
    <mergeCell ref="B81:G81"/>
    <mergeCell ref="I81:K81"/>
    <mergeCell ref="L81:P81"/>
    <mergeCell ref="Q85:Q87"/>
    <mergeCell ref="R85:S87"/>
    <mergeCell ref="B78:G80"/>
    <mergeCell ref="H78:H80"/>
    <mergeCell ref="L78:P80"/>
    <mergeCell ref="Q78:Q80"/>
    <mergeCell ref="R78:S80"/>
    <mergeCell ref="R81:S81"/>
    <mergeCell ref="Q82:Q84"/>
    <mergeCell ref="R82:S84"/>
    <mergeCell ref="T115:T117"/>
    <mergeCell ref="U115:U117"/>
    <mergeCell ref="L101:P103"/>
    <mergeCell ref="L104:P106"/>
    <mergeCell ref="T82:T114"/>
    <mergeCell ref="U82:U114"/>
    <mergeCell ref="L85:P87"/>
    <mergeCell ref="B87:G87"/>
    <mergeCell ref="B88:G100"/>
    <mergeCell ref="H88:H100"/>
    <mergeCell ref="L88:P90"/>
    <mergeCell ref="L91:P93"/>
    <mergeCell ref="B82:G86"/>
    <mergeCell ref="H82:H86"/>
    <mergeCell ref="I82:I114"/>
    <mergeCell ref="J82:K114"/>
    <mergeCell ref="L82:P84"/>
    <mergeCell ref="B107:G108"/>
    <mergeCell ref="H107:H108"/>
    <mergeCell ref="Q101:Q103"/>
    <mergeCell ref="R101:S103"/>
    <mergeCell ref="Q107:Q109"/>
    <mergeCell ref="R107:S109"/>
    <mergeCell ref="Q110:Q112"/>
    <mergeCell ref="B113:G114"/>
    <mergeCell ref="H113:H114"/>
    <mergeCell ref="L113:P114"/>
    <mergeCell ref="I115:K117"/>
    <mergeCell ref="L115:P117"/>
    <mergeCell ref="Q115:Q117"/>
    <mergeCell ref="R115:S117"/>
    <mergeCell ref="R118:S118"/>
    <mergeCell ref="Q113:Q114"/>
    <mergeCell ref="R113:S114"/>
    <mergeCell ref="B115:G117"/>
    <mergeCell ref="H115:H117"/>
    <mergeCell ref="T119:T126"/>
    <mergeCell ref="U119:U126"/>
    <mergeCell ref="L122:P124"/>
    <mergeCell ref="B124:G126"/>
    <mergeCell ref="H124:H126"/>
    <mergeCell ref="L125:P126"/>
    <mergeCell ref="B119:G123"/>
    <mergeCell ref="H119:H123"/>
    <mergeCell ref="I119:I126"/>
    <mergeCell ref="J119:K126"/>
    <mergeCell ref="L119:P121"/>
    <mergeCell ref="Q119:Q121"/>
    <mergeCell ref="R119:S121"/>
    <mergeCell ref="Q122:Q124"/>
    <mergeCell ref="R122:S124"/>
    <mergeCell ref="Q125:Q126"/>
    <mergeCell ref="R125:S126"/>
    <mergeCell ref="A133:A142"/>
    <mergeCell ref="B133:G142"/>
    <mergeCell ref="H133:H142"/>
    <mergeCell ref="I133:I142"/>
    <mergeCell ref="J133:K142"/>
    <mergeCell ref="B127:G127"/>
    <mergeCell ref="I127:K127"/>
    <mergeCell ref="L127:P127"/>
    <mergeCell ref="A128:A132"/>
    <mergeCell ref="B128:G132"/>
    <mergeCell ref="H128:H132"/>
    <mergeCell ref="I128:I132"/>
    <mergeCell ref="J128:K132"/>
    <mergeCell ref="L142:P142"/>
    <mergeCell ref="B143:G143"/>
    <mergeCell ref="J143:K143"/>
    <mergeCell ref="L143:P143"/>
    <mergeCell ref="T128:T132"/>
    <mergeCell ref="U128:U132"/>
    <mergeCell ref="L128:P130"/>
    <mergeCell ref="Q128:Q130"/>
    <mergeCell ref="R128:S130"/>
    <mergeCell ref="L131:P132"/>
    <mergeCell ref="Q131:Q132"/>
    <mergeCell ref="R131:S132"/>
    <mergeCell ref="L133:P135"/>
    <mergeCell ref="Q133:Q135"/>
    <mergeCell ref="R133:S135"/>
    <mergeCell ref="L136:P138"/>
    <mergeCell ref="Q136:Q138"/>
    <mergeCell ref="R136:S138"/>
    <mergeCell ref="L139:P141"/>
    <mergeCell ref="Q139:Q141"/>
    <mergeCell ref="R139:S141"/>
    <mergeCell ref="R142:S142"/>
    <mergeCell ref="T133:T142"/>
    <mergeCell ref="U133:U142"/>
    <mergeCell ref="R143:S143"/>
    <mergeCell ref="T145:T149"/>
    <mergeCell ref="U145:U149"/>
    <mergeCell ref="A150:A152"/>
    <mergeCell ref="B150:G152"/>
    <mergeCell ref="H150:H152"/>
    <mergeCell ref="I150:I152"/>
    <mergeCell ref="J150:K152"/>
    <mergeCell ref="L150:P152"/>
    <mergeCell ref="B144:G144"/>
    <mergeCell ref="J144:K144"/>
    <mergeCell ref="L144:P144"/>
    <mergeCell ref="A145:A149"/>
    <mergeCell ref="B145:G149"/>
    <mergeCell ref="H145:H149"/>
    <mergeCell ref="I145:I149"/>
    <mergeCell ref="J145:K149"/>
    <mergeCell ref="R144:S144"/>
    <mergeCell ref="L145:P147"/>
    <mergeCell ref="Q145:Q147"/>
    <mergeCell ref="R145:S147"/>
    <mergeCell ref="L148:P149"/>
    <mergeCell ref="Q148:Q149"/>
    <mergeCell ref="R148:S149"/>
    <mergeCell ref="A153:A244"/>
    <mergeCell ref="B153:G153"/>
    <mergeCell ref="I153:K153"/>
    <mergeCell ref="L153:P153"/>
    <mergeCell ref="B154:G156"/>
    <mergeCell ref="H154:H156"/>
    <mergeCell ref="I154:I177"/>
    <mergeCell ref="L154:P156"/>
    <mergeCell ref="B178:G178"/>
    <mergeCell ref="L178:P178"/>
    <mergeCell ref="B179:G179"/>
    <mergeCell ref="I179:I192"/>
    <mergeCell ref="J179:K192"/>
    <mergeCell ref="L179:P181"/>
    <mergeCell ref="H186:H188"/>
    <mergeCell ref="L188:P190"/>
    <mergeCell ref="B189:G190"/>
    <mergeCell ref="H189:H190"/>
    <mergeCell ref="B191:G192"/>
    <mergeCell ref="H191:H192"/>
    <mergeCell ref="L191:P192"/>
    <mergeCell ref="B224:G227"/>
    <mergeCell ref="H224:H227"/>
    <mergeCell ref="B204:G204"/>
    <mergeCell ref="T154:T177"/>
    <mergeCell ref="U154:U177"/>
    <mergeCell ref="B157:G167"/>
    <mergeCell ref="H157:H167"/>
    <mergeCell ref="L157:P166"/>
    <mergeCell ref="L167:P169"/>
    <mergeCell ref="T150:T152"/>
    <mergeCell ref="U150:U152"/>
    <mergeCell ref="B174:G176"/>
    <mergeCell ref="H174:H176"/>
    <mergeCell ref="L174:P176"/>
    <mergeCell ref="B177:G177"/>
    <mergeCell ref="L177:P177"/>
    <mergeCell ref="B168:G170"/>
    <mergeCell ref="H168:H170"/>
    <mergeCell ref="L170:P173"/>
    <mergeCell ref="B171:G173"/>
    <mergeCell ref="H171:H173"/>
    <mergeCell ref="J154:K177"/>
    <mergeCell ref="Q150:Q152"/>
    <mergeCell ref="R150:S152"/>
    <mergeCell ref="R153:S153"/>
    <mergeCell ref="Q154:Q156"/>
    <mergeCell ref="R154:S156"/>
    <mergeCell ref="T179:T192"/>
    <mergeCell ref="U179:U192"/>
    <mergeCell ref="B180:G184"/>
    <mergeCell ref="H180:H184"/>
    <mergeCell ref="L182:P184"/>
    <mergeCell ref="B185:G185"/>
    <mergeCell ref="L185:P187"/>
    <mergeCell ref="B186:G188"/>
    <mergeCell ref="Q188:Q190"/>
    <mergeCell ref="R188:S190"/>
    <mergeCell ref="Q191:Q192"/>
    <mergeCell ref="R191:S192"/>
    <mergeCell ref="Q182:Q184"/>
    <mergeCell ref="R182:S184"/>
    <mergeCell ref="Q185:Q187"/>
    <mergeCell ref="R185:S187"/>
    <mergeCell ref="B230:G231"/>
    <mergeCell ref="H230:H231"/>
    <mergeCell ref="B232:G234"/>
    <mergeCell ref="H232:H234"/>
    <mergeCell ref="L227:P229"/>
    <mergeCell ref="B228:G229"/>
    <mergeCell ref="H228:H229"/>
    <mergeCell ref="B235:G235"/>
    <mergeCell ref="B193:G193"/>
    <mergeCell ref="L193:P193"/>
    <mergeCell ref="B194:G200"/>
    <mergeCell ref="H194:H200"/>
    <mergeCell ref="I194:I234"/>
    <mergeCell ref="J194:K234"/>
    <mergeCell ref="B201:G201"/>
    <mergeCell ref="B202:G203"/>
    <mergeCell ref="H202:H203"/>
    <mergeCell ref="B205:G207"/>
    <mergeCell ref="H205:H207"/>
    <mergeCell ref="L206:P208"/>
    <mergeCell ref="B209:G212"/>
    <mergeCell ref="H209:H212"/>
    <mergeCell ref="L209:P211"/>
    <mergeCell ref="B213:G216"/>
    <mergeCell ref="B236:G240"/>
    <mergeCell ref="H236:H240"/>
    <mergeCell ref="I236:I244"/>
    <mergeCell ref="J236:K244"/>
    <mergeCell ref="L236:P238"/>
    <mergeCell ref="T194:T234"/>
    <mergeCell ref="B208:G208"/>
    <mergeCell ref="T236:T244"/>
    <mergeCell ref="U236:U244"/>
    <mergeCell ref="L239:P241"/>
    <mergeCell ref="B241:G243"/>
    <mergeCell ref="H241:H243"/>
    <mergeCell ref="L242:P244"/>
    <mergeCell ref="B244:G244"/>
    <mergeCell ref="H213:H216"/>
    <mergeCell ref="B217:G217"/>
    <mergeCell ref="B218:G218"/>
    <mergeCell ref="B219:G222"/>
    <mergeCell ref="H219:H222"/>
    <mergeCell ref="U194:U234"/>
    <mergeCell ref="Q206:Q208"/>
    <mergeCell ref="R206:S208"/>
    <mergeCell ref="Q209:Q211"/>
    <mergeCell ref="B223:G223"/>
    <mergeCell ref="B258:F258"/>
    <mergeCell ref="H258:J258"/>
    <mergeCell ref="B260:F261"/>
    <mergeCell ref="H260:J261"/>
    <mergeCell ref="U245:U246"/>
    <mergeCell ref="B250:F250"/>
    <mergeCell ref="H250:J250"/>
    <mergeCell ref="B252:F252"/>
    <mergeCell ref="H252:J252"/>
    <mergeCell ref="B254:F254"/>
    <mergeCell ref="H254:J254"/>
    <mergeCell ref="B245:H246"/>
    <mergeCell ref="I245:I246"/>
    <mergeCell ref="J245:K246"/>
    <mergeCell ref="L245:P246"/>
    <mergeCell ref="T245:T246"/>
    <mergeCell ref="Q245:Q246"/>
    <mergeCell ref="R245:S246"/>
    <mergeCell ref="G255:J255"/>
    <mergeCell ref="B256:F256"/>
    <mergeCell ref="H256:J256"/>
    <mergeCell ref="G270:J270"/>
    <mergeCell ref="B271:F271"/>
    <mergeCell ref="H271:J271"/>
    <mergeCell ref="B273:F273"/>
    <mergeCell ref="H273:J273"/>
    <mergeCell ref="B275:F276"/>
    <mergeCell ref="H275:J276"/>
    <mergeCell ref="B265:F265"/>
    <mergeCell ref="H265:J265"/>
    <mergeCell ref="B267:F267"/>
    <mergeCell ref="H267:J267"/>
    <mergeCell ref="B269:F269"/>
    <mergeCell ref="H269:J269"/>
    <mergeCell ref="R91:S93"/>
    <mergeCell ref="Q94:Q97"/>
    <mergeCell ref="R94:S97"/>
    <mergeCell ref="Q98:Q100"/>
    <mergeCell ref="R98:S100"/>
    <mergeCell ref="L110:P112"/>
    <mergeCell ref="R127:S127"/>
    <mergeCell ref="Q157:Q166"/>
    <mergeCell ref="R157:S166"/>
    <mergeCell ref="L118:P118"/>
    <mergeCell ref="Q167:Q169"/>
    <mergeCell ref="R167:S169"/>
    <mergeCell ref="Q170:Q173"/>
    <mergeCell ref="R170:S173"/>
    <mergeCell ref="Q174:Q176"/>
    <mergeCell ref="R174:S176"/>
    <mergeCell ref="R177:S177"/>
    <mergeCell ref="R178:S178"/>
    <mergeCell ref="Q179:Q181"/>
    <mergeCell ref="R179:S181"/>
    <mergeCell ref="I178:K178"/>
    <mergeCell ref="R235:S235"/>
    <mergeCell ref="Q236:Q238"/>
    <mergeCell ref="R236:S238"/>
    <mergeCell ref="Q239:Q241"/>
    <mergeCell ref="R239:S241"/>
    <mergeCell ref="Q242:Q244"/>
    <mergeCell ref="R242:S244"/>
    <mergeCell ref="Q227:Q229"/>
    <mergeCell ref="R227:S229"/>
    <mergeCell ref="R193:S193"/>
    <mergeCell ref="Q204:Q205"/>
    <mergeCell ref="R204:S205"/>
    <mergeCell ref="Q194:Q203"/>
    <mergeCell ref="R194:S203"/>
    <mergeCell ref="Q212:Q217"/>
    <mergeCell ref="R212:S217"/>
    <mergeCell ref="R218:S226"/>
    <mergeCell ref="Q218:Q226"/>
    <mergeCell ref="Q230:Q234"/>
    <mergeCell ref="R230:S234"/>
    <mergeCell ref="R209:S211"/>
    <mergeCell ref="I235:K235"/>
    <mergeCell ref="L235:P235"/>
  </mergeCells>
  <conditionalFormatting sqref="AA39">
    <cfRule type="containsText" dxfId="1207" priority="137" operator="containsText" text="Ja">
      <formula>NOT(ISERROR(SEARCH("Ja",AA39)))</formula>
    </cfRule>
  </conditionalFormatting>
  <conditionalFormatting sqref="AA233">
    <cfRule type="containsText" dxfId="1206" priority="129" operator="containsText" text="Ja">
      <formula>NOT(ISERROR(SEARCH("Ja",AA233)))</formula>
    </cfRule>
  </conditionalFormatting>
  <conditionalFormatting sqref="AA55">
    <cfRule type="containsText" dxfId="1205" priority="136" operator="containsText" text="Ja">
      <formula>NOT(ISERROR(SEARCH("Ja",AA55)))</formula>
    </cfRule>
  </conditionalFormatting>
  <conditionalFormatting sqref="AA79">
    <cfRule type="containsText" dxfId="1204" priority="135" operator="containsText" text="Ja">
      <formula>NOT(ISERROR(SEARCH("Ja",AA79)))</formula>
    </cfRule>
  </conditionalFormatting>
  <conditionalFormatting sqref="AA113">
    <cfRule type="containsText" dxfId="1203" priority="134" operator="containsText" text="Ja">
      <formula>NOT(ISERROR(SEARCH("Ja",AA113)))</formula>
    </cfRule>
  </conditionalFormatting>
  <conditionalFormatting sqref="AA125">
    <cfRule type="containsText" dxfId="1202" priority="133" operator="containsText" text="Ja">
      <formula>NOT(ISERROR(SEARCH("Ja",AA125)))</formula>
    </cfRule>
  </conditionalFormatting>
  <conditionalFormatting sqref="AA151">
    <cfRule type="containsText" dxfId="1201" priority="132" operator="containsText" text="Ja">
      <formula>NOT(ISERROR(SEARCH("Ja",AA151)))</formula>
    </cfRule>
  </conditionalFormatting>
  <conditionalFormatting sqref="AA176">
    <cfRule type="containsText" dxfId="1200" priority="131" operator="containsText" text="Ja">
      <formula>NOT(ISERROR(SEARCH("Ja",AA176)))</formula>
    </cfRule>
  </conditionalFormatting>
  <conditionalFormatting sqref="AA191">
    <cfRule type="containsText" dxfId="1199" priority="130" operator="containsText" text="Ja">
      <formula>NOT(ISERROR(SEARCH("Ja",AA191)))</formula>
    </cfRule>
  </conditionalFormatting>
  <conditionalFormatting sqref="B281:B289">
    <cfRule type="cellIs" dxfId="1198" priority="81" operator="greaterThan">
      <formula>0</formula>
    </cfRule>
  </conditionalFormatting>
  <conditionalFormatting sqref="C281:P289">
    <cfRule type="expression" dxfId="1197" priority="80">
      <formula>$B281&gt;=1</formula>
    </cfRule>
  </conditionalFormatting>
  <conditionalFormatting sqref="C282:P282">
    <cfRule type="expression" dxfId="1196" priority="79">
      <formula>$B282&gt;=1</formula>
    </cfRule>
  </conditionalFormatting>
  <conditionalFormatting sqref="C283:P283">
    <cfRule type="expression" dxfId="1195" priority="78">
      <formula>$B283&gt;=1</formula>
    </cfRule>
  </conditionalFormatting>
  <conditionalFormatting sqref="C284:P284">
    <cfRule type="expression" dxfId="1194" priority="77">
      <formula>$B284&gt;=1</formula>
    </cfRule>
  </conditionalFormatting>
  <conditionalFormatting sqref="C285:P285">
    <cfRule type="expression" dxfId="1193" priority="76">
      <formula>$B285&gt;=1</formula>
    </cfRule>
  </conditionalFormatting>
  <conditionalFormatting sqref="C286:P286">
    <cfRule type="expression" dxfId="1192" priority="75">
      <formula>$B286&gt;=1</formula>
    </cfRule>
  </conditionalFormatting>
  <conditionalFormatting sqref="C287:P287">
    <cfRule type="expression" dxfId="1191" priority="74">
      <formula>$B287&gt;=1</formula>
    </cfRule>
  </conditionalFormatting>
  <conditionalFormatting sqref="C288:P289">
    <cfRule type="expression" dxfId="1190" priority="73">
      <formula>$B288&gt;=1</formula>
    </cfRule>
  </conditionalFormatting>
  <conditionalFormatting sqref="C281:P289">
    <cfRule type="cellIs" dxfId="1189" priority="72" operator="greaterThan">
      <formula>0</formula>
    </cfRule>
  </conditionalFormatting>
  <conditionalFormatting sqref="F23">
    <cfRule type="expression" dxfId="1188" priority="71">
      <formula>$H$8+$L$8+$P$8&gt;0</formula>
    </cfRule>
  </conditionalFormatting>
  <conditionalFormatting sqref="R230">
    <cfRule type="expression" dxfId="1187" priority="11">
      <formula>Q230="ja"</formula>
    </cfRule>
  </conditionalFormatting>
  <conditionalFormatting sqref="R236">
    <cfRule type="expression" dxfId="1186" priority="9">
      <formula>Q236="ja"</formula>
    </cfRule>
  </conditionalFormatting>
  <conditionalFormatting sqref="R239">
    <cfRule type="expression" dxfId="1185" priority="8">
      <formula>Q239="ja"</formula>
    </cfRule>
  </conditionalFormatting>
  <conditionalFormatting sqref="R242">
    <cfRule type="expression" dxfId="1184" priority="7">
      <formula>Q242="ja"</formula>
    </cfRule>
  </conditionalFormatting>
  <conditionalFormatting sqref="R39">
    <cfRule type="expression" dxfId="1183" priority="58">
      <formula>Q39="ja"</formula>
    </cfRule>
  </conditionalFormatting>
  <conditionalFormatting sqref="R44">
    <cfRule type="expression" dxfId="1182" priority="57">
      <formula>Q44="ja"</formula>
    </cfRule>
  </conditionalFormatting>
  <conditionalFormatting sqref="R47">
    <cfRule type="expression" dxfId="1181" priority="56">
      <formula>Q47="ja"</formula>
    </cfRule>
  </conditionalFormatting>
  <conditionalFormatting sqref="R49 R51 R53">
    <cfRule type="expression" dxfId="1180" priority="55">
      <formula>Q49="ja"</formula>
    </cfRule>
  </conditionalFormatting>
  <conditionalFormatting sqref="R50">
    <cfRule type="expression" dxfId="1179" priority="54">
      <formula>Q50="ja"</formula>
    </cfRule>
  </conditionalFormatting>
  <conditionalFormatting sqref="R55">
    <cfRule type="expression" dxfId="1178" priority="53">
      <formula>Q55="ja"</formula>
    </cfRule>
  </conditionalFormatting>
  <conditionalFormatting sqref="R58 R61 R64 R67 R70 R73">
    <cfRule type="expression" dxfId="1177" priority="52">
      <formula>Q58="ja"</formula>
    </cfRule>
  </conditionalFormatting>
  <conditionalFormatting sqref="R76">
    <cfRule type="expression" dxfId="1176" priority="51">
      <formula>Q76="ja"</formula>
    </cfRule>
  </conditionalFormatting>
  <conditionalFormatting sqref="R82 R85 R88 R91 R94:R95 R98 R101 R104 R107 R110">
    <cfRule type="expression" dxfId="1175" priority="50">
      <formula>Q82="ja"</formula>
    </cfRule>
  </conditionalFormatting>
  <conditionalFormatting sqref="R113">
    <cfRule type="expression" dxfId="1174" priority="49">
      <formula>Q113="ja"</formula>
    </cfRule>
  </conditionalFormatting>
  <conditionalFormatting sqref="R125">
    <cfRule type="expression" dxfId="1173" priority="46">
      <formula>Q125="ja"</formula>
    </cfRule>
  </conditionalFormatting>
  <conditionalFormatting sqref="R119">
    <cfRule type="expression" dxfId="1172" priority="48">
      <formula>Q119="ja"</formula>
    </cfRule>
  </conditionalFormatting>
  <conditionalFormatting sqref="R122">
    <cfRule type="expression" dxfId="1171" priority="47">
      <formula>Q122="ja"</formula>
    </cfRule>
  </conditionalFormatting>
  <conditionalFormatting sqref="R128">
    <cfRule type="expression" dxfId="1170" priority="45">
      <formula>Q128="ja"</formula>
    </cfRule>
  </conditionalFormatting>
  <conditionalFormatting sqref="R131">
    <cfRule type="expression" dxfId="1169" priority="44">
      <formula>Q131="ja"</formula>
    </cfRule>
  </conditionalFormatting>
  <conditionalFormatting sqref="R133">
    <cfRule type="expression" dxfId="1168" priority="43">
      <formula>Q133="ja"</formula>
    </cfRule>
  </conditionalFormatting>
  <conditionalFormatting sqref="R136">
    <cfRule type="expression" dxfId="1167" priority="42">
      <formula>Q136="ja"</formula>
    </cfRule>
  </conditionalFormatting>
  <conditionalFormatting sqref="R139">
    <cfRule type="expression" dxfId="1166" priority="41">
      <formula>Q139="ja"</formula>
    </cfRule>
  </conditionalFormatting>
  <conditionalFormatting sqref="R142">
    <cfRule type="expression" dxfId="1165" priority="40">
      <formula>Q142="ja"</formula>
    </cfRule>
  </conditionalFormatting>
  <conditionalFormatting sqref="R143">
    <cfRule type="expression" dxfId="1164" priority="39">
      <formula>Q143="ja"</formula>
    </cfRule>
  </conditionalFormatting>
  <conditionalFormatting sqref="R144">
    <cfRule type="expression" dxfId="1163" priority="38">
      <formula>Q144="ja"</formula>
    </cfRule>
  </conditionalFormatting>
  <conditionalFormatting sqref="R145">
    <cfRule type="expression" dxfId="1162" priority="37">
      <formula>Q145="ja"</formula>
    </cfRule>
  </conditionalFormatting>
  <conditionalFormatting sqref="R148">
    <cfRule type="expression" dxfId="1161" priority="36">
      <formula>Q148="ja"</formula>
    </cfRule>
  </conditionalFormatting>
  <conditionalFormatting sqref="R150">
    <cfRule type="expression" dxfId="1160" priority="35">
      <formula>Q150="ja"</formula>
    </cfRule>
  </conditionalFormatting>
  <conditionalFormatting sqref="R154">
    <cfRule type="expression" dxfId="1159" priority="34">
      <formula>Q154="ja"</formula>
    </cfRule>
  </conditionalFormatting>
  <conditionalFormatting sqref="R157:R164">
    <cfRule type="expression" dxfId="1158" priority="33">
      <formula>Q157="ja"</formula>
    </cfRule>
  </conditionalFormatting>
  <conditionalFormatting sqref="R167">
    <cfRule type="expression" dxfId="1157" priority="32">
      <formula>Q167="ja"</formula>
    </cfRule>
  </conditionalFormatting>
  <conditionalFormatting sqref="R170">
    <cfRule type="expression" dxfId="1156" priority="31">
      <formula>Q170="ja"</formula>
    </cfRule>
  </conditionalFormatting>
  <conditionalFormatting sqref="R174">
    <cfRule type="expression" dxfId="1155" priority="30">
      <formula>Q174="ja"</formula>
    </cfRule>
  </conditionalFormatting>
  <conditionalFormatting sqref="R177">
    <cfRule type="expression" dxfId="1154" priority="29">
      <formula>Q177="ja"</formula>
    </cfRule>
  </conditionalFormatting>
  <conditionalFormatting sqref="R179">
    <cfRule type="expression" dxfId="1153" priority="28">
      <formula>Q179="ja"</formula>
    </cfRule>
  </conditionalFormatting>
  <conditionalFormatting sqref="R182">
    <cfRule type="expression" dxfId="1152" priority="27">
      <formula>Q182="ja"</formula>
    </cfRule>
  </conditionalFormatting>
  <conditionalFormatting sqref="R185">
    <cfRule type="expression" dxfId="1151" priority="26">
      <formula>Q185="ja"</formula>
    </cfRule>
  </conditionalFormatting>
  <conditionalFormatting sqref="R188">
    <cfRule type="expression" dxfId="1150" priority="25">
      <formula>Q188="ja"</formula>
    </cfRule>
  </conditionalFormatting>
  <conditionalFormatting sqref="R191">
    <cfRule type="expression" dxfId="1149" priority="24">
      <formula>Q191="ja"</formula>
    </cfRule>
  </conditionalFormatting>
  <conditionalFormatting sqref="R227">
    <cfRule type="expression" dxfId="1148" priority="12">
      <formula>Q227="ja"</formula>
    </cfRule>
  </conditionalFormatting>
  <conditionalFormatting sqref="R194">
    <cfRule type="expression" dxfId="1147" priority="23">
      <formula>Q194="ja"</formula>
    </cfRule>
  </conditionalFormatting>
  <conditionalFormatting sqref="R206">
    <cfRule type="expression" dxfId="1146" priority="19">
      <formula>Q206="ja"</formula>
    </cfRule>
  </conditionalFormatting>
  <conditionalFormatting sqref="R209">
    <cfRule type="expression" dxfId="1145" priority="18">
      <formula>Q209="ja"</formula>
    </cfRule>
  </conditionalFormatting>
  <conditionalFormatting sqref="R212">
    <cfRule type="expression" dxfId="1144" priority="17">
      <formula>Q212="ja"</formula>
    </cfRule>
  </conditionalFormatting>
  <conditionalFormatting sqref="R218">
    <cfRule type="expression" dxfId="1143" priority="15">
      <formula>Q218="ja"</formula>
    </cfRule>
  </conditionalFormatting>
  <conditionalFormatting sqref="T154:T177">
    <cfRule type="cellIs" dxfId="1142" priority="5" operator="equal">
      <formula>"ja"</formula>
    </cfRule>
  </conditionalFormatting>
  <conditionalFormatting sqref="T39:T53 T55:T77 T82:T114">
    <cfRule type="cellIs" dxfId="1141" priority="4" operator="equal">
      <formula>"ja"</formula>
    </cfRule>
  </conditionalFormatting>
  <conditionalFormatting sqref="T119:T126">
    <cfRule type="cellIs" dxfId="1140" priority="3" operator="equal">
      <formula>"ja"</formula>
    </cfRule>
  </conditionalFormatting>
  <conditionalFormatting sqref="T128:T152">
    <cfRule type="cellIs" dxfId="1139" priority="2" operator="equal">
      <formula>"ja"</formula>
    </cfRule>
  </conditionalFormatting>
  <conditionalFormatting sqref="T179:T192 T194:T234 T236:T244">
    <cfRule type="cellIs" dxfId="1138" priority="1" operator="equal">
      <formula>"ja"</formula>
    </cfRule>
  </conditionalFormatting>
  <conditionalFormatting sqref="R204">
    <cfRule type="expression" dxfId="1137" priority="773">
      <formula>Q204="ja"</formula>
    </cfRule>
  </conditionalFormatting>
  <dataValidations count="2">
    <dataValidation type="list" allowBlank="1" showInputMessage="1" showErrorMessage="1" sqref="Q39:Q53 H154:H177 H128:H152 H119:H126 H236:H244 H82:H114 H55:H77 H194:H234 H179:H192 H39:H53 Q55:Q77 Q82:Q114 Q236:Q244 Q179:Q192 Q154:Q177 Q128:Q152 Q119:Q126 Q194 Q204 Q206:Q212 Q218 Q227:Q230" xr:uid="{BED02F40-2890-464D-88F9-ABD564E688F2}">
      <formula1>$T$32:$T$33</formula1>
    </dataValidation>
    <dataValidation type="list" allowBlank="1" showInputMessage="1" showErrorMessage="1" sqref="F15:Q15" xr:uid="{14FA5418-8B09-436D-B7F9-6E6DB6615F81}">
      <formula1>$V$15:$V$17</formula1>
    </dataValidation>
  </dataValidations>
  <pageMargins left="0.23622047244094491" right="0.23622047244094491" top="0.74803149606299213" bottom="0.74803149606299213" header="0.31496062992125984" footer="0.31496062992125984"/>
  <pageSetup paperSize="9" scale="50" fitToHeight="8" orientation="portrait" r:id="rId1"/>
  <rowBreaks count="3" manualBreakCount="3">
    <brk id="87" max="16383" man="1"/>
    <brk id="188" max="16383" man="1"/>
    <brk id="27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7D72AAB-5010-4BC7-8152-68096A14FA69}">
          <x14:formula1>
            <xm:f>'Berechnung - Hochbau'!$B$109:$B$112</xm:f>
          </x14:formula1>
          <xm:sqref>R5:S6 W5:X6</xm:sqref>
        </x14:dataValidation>
        <x14:dataValidation type="list" allowBlank="1" showInputMessage="1" showErrorMessage="1" xr:uid="{148BAF7F-B301-4FF4-9281-5EF8B6084747}">
          <x14:formula1>
            <xm:f>'Berechnung - Hochbau'!$H$52:$H$56</xm:f>
          </x14:formula1>
          <xm:sqref>F16</xm:sqref>
        </x14:dataValidation>
        <x14:dataValidation type="list" allowBlank="1" showInputMessage="1" showErrorMessage="1" xr:uid="{B61FA436-9EEA-4B96-B79C-9E45764E25FB}">
          <x14:formula1>
            <xm:f>'Berechnung - Abwasser'!$B$138:$B$147</xm:f>
          </x14:formula1>
          <xm:sqref>U39:U114 U119:U126 U128:U152 U154:U177 U179:U234 U236:U244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1EC4A-3DB2-4E6B-834F-42517A262F0B}">
  <sheetPr codeName="Tabelle8">
    <tabColor rgb="FFFFC000"/>
  </sheetPr>
  <dimension ref="A1:AK293"/>
  <sheetViews>
    <sheetView workbookViewId="0">
      <selection activeCell="F3" sqref="F3:K3"/>
    </sheetView>
  </sheetViews>
  <sheetFormatPr baseColWidth="10" defaultColWidth="11.44140625" defaultRowHeight="13.9" x14ac:dyDescent="0.25"/>
  <cols>
    <col min="1" max="1" width="9.21875" style="41" customWidth="1"/>
    <col min="2" max="21" width="9.21875" style="39" customWidth="1"/>
    <col min="22" max="22" width="9.21875" style="72" customWidth="1"/>
    <col min="23" max="27" width="11.44140625" style="72"/>
    <col min="28" max="28" width="11.44140625" style="39"/>
    <col min="29" max="30" width="11.44140625" style="72"/>
    <col min="31" max="31" width="11.44140625" style="68"/>
    <col min="32" max="16384" width="11.44140625" style="39"/>
  </cols>
  <sheetData>
    <row r="1" spans="1:34" x14ac:dyDescent="0.25">
      <c r="A1" s="493" t="str">
        <f>Überblick!X105</f>
        <v/>
      </c>
      <c r="B1" s="188" t="str">
        <f>IF(Überblick!B2=Überblick!L4,Fernmeldeanlagen!Q1,Fernmeldeanlagen!Q2)</f>
        <v xml:space="preserve">Honorarangebot - Fernmelde- und informationstechnische Anlagen </v>
      </c>
      <c r="Q1" s="185" t="s">
        <v>483</v>
      </c>
      <c r="T1" s="963" t="str">
        <f>'Hochbauplanung '!T1</f>
        <v>Version: 27.06.2023</v>
      </c>
      <c r="U1" s="963"/>
    </row>
    <row r="2" spans="1:34" x14ac:dyDescent="0.25">
      <c r="A2" s="491"/>
      <c r="Q2" s="185" t="s">
        <v>484</v>
      </c>
      <c r="R2" s="535" t="s">
        <v>110</v>
      </c>
      <c r="S2" s="1389" t="str">
        <f>IF(Überblick!Q2=0,"",Überblick!Q2)</f>
        <v/>
      </c>
      <c r="T2" s="1389"/>
      <c r="U2" s="1389"/>
    </row>
    <row r="3" spans="1:34" x14ac:dyDescent="0.25">
      <c r="A3" s="491" t="s">
        <v>112</v>
      </c>
      <c r="B3" s="40" t="s">
        <v>452</v>
      </c>
      <c r="F3" s="883" t="s">
        <v>998</v>
      </c>
      <c r="G3" s="878"/>
      <c r="H3" s="878"/>
      <c r="I3" s="878"/>
      <c r="J3" s="878"/>
      <c r="K3" s="878"/>
      <c r="R3" s="535" t="s">
        <v>24</v>
      </c>
      <c r="S3" s="1389" t="str">
        <f>IF(Überblick!G29=0,"",Überblick!G29)</f>
        <v>Breite Strasse, 10178 Berlin-Mitte, zw. Neumannsgasse und Scharrenstrasse</v>
      </c>
      <c r="T3" s="1389"/>
      <c r="U3" s="1389"/>
    </row>
    <row r="4" spans="1:34" ht="14.55" thickBot="1" x14ac:dyDescent="0.3">
      <c r="A4" s="491"/>
      <c r="R4" s="535" t="s">
        <v>17</v>
      </c>
      <c r="S4" s="1389" t="str">
        <f>IF(Überblick!D19=0,"",Überblick!D19)</f>
        <v/>
      </c>
      <c r="T4" s="1389"/>
      <c r="U4" s="1389"/>
    </row>
    <row r="5" spans="1:3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34"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3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34" ht="14.55" thickBot="1" x14ac:dyDescent="0.3">
      <c r="A8" s="491"/>
      <c r="B8" s="1229" t="s">
        <v>366</v>
      </c>
      <c r="C8" s="1230"/>
      <c r="D8" s="1230"/>
      <c r="E8" s="1231"/>
      <c r="F8" s="1205">
        <f>H8*1.19</f>
        <v>0</v>
      </c>
      <c r="G8" s="1237"/>
      <c r="H8" s="1219"/>
      <c r="I8" s="1220"/>
      <c r="J8" s="1205">
        <f>L8*1.19</f>
        <v>0</v>
      </c>
      <c r="K8" s="1206"/>
      <c r="L8" s="1207"/>
      <c r="M8" s="1208"/>
      <c r="N8" s="1205">
        <f>P8*1.19</f>
        <v>0</v>
      </c>
      <c r="O8" s="1206"/>
      <c r="P8" s="1207"/>
      <c r="Q8" s="1208"/>
      <c r="R8" s="96">
        <f>H8+L8+P8</f>
        <v>0</v>
      </c>
      <c r="S8" s="96">
        <f>IF((R8+AB245)&gt;0,1,0)</f>
        <v>0</v>
      </c>
      <c r="T8" s="96"/>
      <c r="U8" s="96"/>
      <c r="V8" s="96"/>
      <c r="W8" s="96"/>
      <c r="X8" s="96"/>
    </row>
    <row r="9" spans="1:34" x14ac:dyDescent="0.25">
      <c r="A9" s="491"/>
      <c r="B9" s="49"/>
      <c r="C9" s="49"/>
      <c r="D9" s="49"/>
      <c r="E9" s="49"/>
      <c r="F9" s="1138" t="str">
        <f>IF(H8&gt;'Berechnung - Fernmeldeanlagen'!$A$25,$R$9,"")</f>
        <v/>
      </c>
      <c r="G9" s="1138"/>
      <c r="H9" s="1138"/>
      <c r="I9" s="1138"/>
      <c r="J9" s="1138" t="str">
        <f>IF(L8&gt;'Berechnung - Fernmeldeanlagen'!$A$25,$R$9,"")</f>
        <v/>
      </c>
      <c r="K9" s="1138"/>
      <c r="L9" s="1138"/>
      <c r="M9" s="1138"/>
      <c r="N9" s="1138" t="str">
        <f>IF(P8&gt;'Berechnung - Fernmeldeanlagen'!$A$25,$R$9,"")</f>
        <v/>
      </c>
      <c r="O9" s="1138"/>
      <c r="P9" s="1138"/>
      <c r="Q9" s="1138"/>
      <c r="R9" s="96" t="s">
        <v>124</v>
      </c>
      <c r="S9" s="96"/>
      <c r="T9" s="96"/>
      <c r="U9" s="96"/>
      <c r="V9" s="96"/>
      <c r="W9" s="96"/>
      <c r="X9" s="96"/>
      <c r="AF9" s="68"/>
      <c r="AG9" s="68"/>
      <c r="AH9" s="68"/>
    </row>
    <row r="10" spans="1:3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c r="AF10" s="68"/>
      <c r="AG10" s="68"/>
      <c r="AH10" s="68"/>
    </row>
    <row r="11" spans="1:3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c r="AF11" s="68"/>
      <c r="AG11" s="68"/>
      <c r="AH11" s="68"/>
    </row>
    <row r="12" spans="1:34" x14ac:dyDescent="0.25">
      <c r="A12" s="491"/>
      <c r="B12" s="39" t="s">
        <v>130</v>
      </c>
      <c r="R12" s="72"/>
      <c r="S12" s="72"/>
      <c r="T12" s="72"/>
      <c r="U12" s="72"/>
    </row>
    <row r="13" spans="1:34" x14ac:dyDescent="0.25">
      <c r="A13" s="491"/>
      <c r="B13" s="39" t="s">
        <v>131</v>
      </c>
      <c r="R13" s="72"/>
      <c r="S13" s="72"/>
      <c r="T13" s="72"/>
      <c r="U13" s="72"/>
    </row>
    <row r="14" spans="1:34" ht="14.55" thickBot="1" x14ac:dyDescent="0.3">
      <c r="A14" s="491"/>
      <c r="B14" s="40"/>
      <c r="G14" s="54"/>
      <c r="H14" s="41"/>
      <c r="I14" s="57"/>
      <c r="J14" s="54"/>
      <c r="K14" s="54"/>
      <c r="L14" s="57"/>
      <c r="M14" s="58"/>
      <c r="N14" s="58"/>
      <c r="O14" s="59"/>
      <c r="R14" s="72"/>
      <c r="S14" s="351"/>
      <c r="T14" s="96"/>
      <c r="U14" s="72"/>
    </row>
    <row r="15" spans="1:3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3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row>
    <row r="19" spans="1:24" ht="14.55" thickBot="1" x14ac:dyDescent="0.3">
      <c r="A19" s="491"/>
      <c r="B19" s="40"/>
      <c r="C19" s="40"/>
      <c r="D19" s="40"/>
      <c r="E19" s="69"/>
      <c r="F19" s="1596">
        <f>'Berechnung - Fernmeldeanlagen'!H105</f>
        <v>0</v>
      </c>
      <c r="G19" s="1597"/>
      <c r="H19" s="1597"/>
      <c r="I19" s="1598"/>
      <c r="J19" s="1596" t="str">
        <f>IF('Berechnung - Fernmeldeanlagen'!J105=0,"Kostenschätzung liegt noch nicht vor",'Berechnung - Fernmeldeanlagen'!J105)</f>
        <v>Kostenschätzung liegt noch nicht vor</v>
      </c>
      <c r="K19" s="1597"/>
      <c r="L19" s="1597"/>
      <c r="M19" s="1598"/>
      <c r="N19" s="1596" t="str">
        <f>IF('Berechnung - Fernmeldeanlagen'!L105=0,"Kostenberechnung liegt noch nicht vor",'Berechnung - Fernmeldeanlagen'!L105)</f>
        <v>Kostenberechnung liegt noch nicht vor</v>
      </c>
      <c r="O19" s="1597"/>
      <c r="P19" s="1597"/>
      <c r="Q19" s="1598"/>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0</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485</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37" ht="14.55" thickBot="1" x14ac:dyDescent="0.3">
      <c r="A34" s="1516"/>
      <c r="B34" s="1129"/>
      <c r="C34" s="1130"/>
      <c r="D34" s="1130"/>
      <c r="E34" s="1130"/>
      <c r="F34" s="1130"/>
      <c r="G34" s="1130"/>
      <c r="H34" s="1133"/>
      <c r="I34" s="1136"/>
      <c r="J34" s="1521"/>
      <c r="K34" s="1522"/>
      <c r="L34" s="176"/>
      <c r="M34" s="115"/>
      <c r="N34" s="115"/>
      <c r="O34" s="115"/>
      <c r="P34" s="116"/>
      <c r="Q34" s="116"/>
      <c r="R34" s="837"/>
      <c r="S34" s="73"/>
      <c r="T34" s="73"/>
      <c r="U34" s="81"/>
      <c r="V34" s="81"/>
      <c r="W34" s="81"/>
    </row>
    <row r="35" spans="1:37" ht="15" customHeight="1" thickBot="1" x14ac:dyDescent="0.3">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608"/>
      <c r="T35" s="1605" t="s">
        <v>156</v>
      </c>
      <c r="U35" s="1371" t="s">
        <v>157</v>
      </c>
      <c r="Y35" s="73" t="s">
        <v>5</v>
      </c>
      <c r="Z35" s="72" t="s">
        <v>374</v>
      </c>
      <c r="AA35" s="81"/>
      <c r="AB35" s="256"/>
      <c r="AC35" s="81"/>
      <c r="AF35" s="68"/>
      <c r="AG35" s="68"/>
      <c r="AH35" s="68"/>
      <c r="AI35" s="68"/>
      <c r="AJ35" s="68"/>
      <c r="AK35" s="68"/>
    </row>
    <row r="36" spans="1:37"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c r="AF36" s="68"/>
      <c r="AG36" s="68"/>
      <c r="AH36" s="68"/>
      <c r="AI36" s="68"/>
      <c r="AJ36" s="68"/>
      <c r="AK36" s="68"/>
    </row>
    <row r="37" spans="1:37"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c r="AF37" s="68"/>
      <c r="AG37" s="68"/>
      <c r="AH37" s="68"/>
      <c r="AI37" s="68"/>
      <c r="AJ37" s="68"/>
      <c r="AK37" s="68"/>
    </row>
    <row r="38" spans="1:37" ht="14.55" thickBot="1" x14ac:dyDescent="0.3">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171"/>
      <c r="AC38" s="149"/>
      <c r="AF38" s="68"/>
      <c r="AG38" s="68"/>
      <c r="AH38" s="68"/>
      <c r="AI38" s="68"/>
      <c r="AJ38" s="68"/>
      <c r="AK38" s="68"/>
    </row>
    <row r="39" spans="1:37" ht="15.95" customHeight="1" thickBot="1" x14ac:dyDescent="0.3">
      <c r="A39" s="1516"/>
      <c r="B39" s="1497" t="s">
        <v>375</v>
      </c>
      <c r="C39" s="1498"/>
      <c r="D39" s="1498"/>
      <c r="E39" s="1498"/>
      <c r="F39" s="1498"/>
      <c r="G39" s="1499"/>
      <c r="H39" s="1194" t="s">
        <v>100</v>
      </c>
      <c r="I39" s="1016">
        <f>Z54</f>
        <v>0</v>
      </c>
      <c r="J39" s="1027">
        <f>I35*I39</f>
        <v>0</v>
      </c>
      <c r="K39" s="1028"/>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213">
        <f>IF(Q39="ja",1,0)</f>
        <v>0</v>
      </c>
      <c r="AF39" s="68"/>
      <c r="AG39" s="68"/>
      <c r="AH39" s="68"/>
      <c r="AI39" s="68"/>
      <c r="AJ39" s="68"/>
      <c r="AK39" s="68"/>
    </row>
    <row r="40" spans="1:37" ht="15" customHeight="1"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213">
        <f t="shared" ref="AB40:AB103" si="0">IF(Q40="ja",1,0)</f>
        <v>0</v>
      </c>
      <c r="AF40" s="68"/>
      <c r="AG40" s="68"/>
      <c r="AH40" s="68"/>
      <c r="AI40" s="68"/>
      <c r="AJ40" s="68"/>
      <c r="AK40" s="68"/>
    </row>
    <row r="41" spans="1:37" ht="15" customHeight="1"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213">
        <f t="shared" si="0"/>
        <v>0</v>
      </c>
      <c r="AF41" s="68"/>
      <c r="AG41" s="68"/>
      <c r="AH41" s="68"/>
      <c r="AI41" s="68"/>
      <c r="AJ41" s="68"/>
      <c r="AK41" s="68"/>
    </row>
    <row r="42" spans="1:37" ht="15" customHeight="1" thickBot="1" x14ac:dyDescent="0.3">
      <c r="A42" s="1516"/>
      <c r="B42" s="1493" t="s">
        <v>377</v>
      </c>
      <c r="C42" s="1317"/>
      <c r="D42" s="1317"/>
      <c r="E42" s="1317"/>
      <c r="F42" s="1317"/>
      <c r="G42" s="1494"/>
      <c r="H42" s="982" t="s">
        <v>100</v>
      </c>
      <c r="I42" s="1017"/>
      <c r="J42" s="1029"/>
      <c r="K42" s="1030"/>
      <c r="L42" s="1544"/>
      <c r="M42" s="1545"/>
      <c r="N42" s="1545"/>
      <c r="O42" s="1545"/>
      <c r="P42" s="1545"/>
      <c r="Q42" s="978"/>
      <c r="R42" s="972"/>
      <c r="S42" s="973"/>
      <c r="T42" s="1543"/>
      <c r="U42" s="1337"/>
      <c r="Y42" s="74">
        <v>3.0000000000000001E-3</v>
      </c>
      <c r="Z42" s="77">
        <f>IF(H42="ja",Y42,0)</f>
        <v>0</v>
      </c>
      <c r="AA42" s="78"/>
      <c r="AB42" s="213">
        <f t="shared" si="0"/>
        <v>0</v>
      </c>
      <c r="AF42" s="68"/>
      <c r="AG42" s="68"/>
      <c r="AH42" s="68"/>
      <c r="AI42" s="68"/>
      <c r="AJ42" s="68"/>
      <c r="AK42" s="68"/>
    </row>
    <row r="43" spans="1:37" ht="15" customHeight="1"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213">
        <f t="shared" si="0"/>
        <v>0</v>
      </c>
      <c r="AF43" s="68"/>
      <c r="AG43" s="68"/>
      <c r="AH43" s="68"/>
      <c r="AI43" s="68"/>
      <c r="AJ43" s="68"/>
      <c r="AK43" s="68"/>
    </row>
    <row r="44" spans="1:37" ht="15.95" customHeight="1" thickBot="1" x14ac:dyDescent="0.3">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213">
        <f t="shared" si="0"/>
        <v>0</v>
      </c>
      <c r="AF44" s="68"/>
      <c r="AG44" s="68"/>
      <c r="AH44" s="68"/>
      <c r="AI44" s="68"/>
      <c r="AJ44" s="68"/>
      <c r="AK44" s="68"/>
    </row>
    <row r="45" spans="1:37" ht="15" customHeight="1" thickBot="1" x14ac:dyDescent="0.3">
      <c r="A45" s="1516"/>
      <c r="B45" s="1493" t="s">
        <v>171</v>
      </c>
      <c r="C45" s="1317"/>
      <c r="D45" s="1317"/>
      <c r="E45" s="1317"/>
      <c r="F45" s="1317"/>
      <c r="G45" s="1494"/>
      <c r="H45" s="1191" t="s">
        <v>100</v>
      </c>
      <c r="I45" s="1017"/>
      <c r="J45" s="1029"/>
      <c r="K45" s="1030"/>
      <c r="L45" s="1544"/>
      <c r="M45" s="1545"/>
      <c r="N45" s="1545"/>
      <c r="O45" s="1545"/>
      <c r="P45" s="1545"/>
      <c r="Q45" s="978"/>
      <c r="R45" s="972"/>
      <c r="S45" s="973"/>
      <c r="T45" s="1543"/>
      <c r="U45" s="1337"/>
      <c r="Y45" s="74">
        <v>2E-3</v>
      </c>
      <c r="Z45" s="77">
        <f>IF(H45="ja",Y45,0)</f>
        <v>0</v>
      </c>
      <c r="AA45" s="78"/>
      <c r="AB45" s="213">
        <f t="shared" si="0"/>
        <v>0</v>
      </c>
      <c r="AF45" s="68"/>
      <c r="AG45" s="68"/>
      <c r="AH45" s="68"/>
      <c r="AI45" s="68"/>
      <c r="AJ45" s="68"/>
      <c r="AK45" s="68"/>
    </row>
    <row r="46" spans="1:37" ht="15" customHeight="1"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213">
        <f t="shared" si="0"/>
        <v>0</v>
      </c>
      <c r="AF46" s="68"/>
      <c r="AG46" s="68"/>
      <c r="AH46" s="68"/>
      <c r="AI46" s="68"/>
      <c r="AJ46" s="68"/>
      <c r="AK46" s="68"/>
    </row>
    <row r="47" spans="1:37" ht="15.95" customHeight="1" thickBot="1" x14ac:dyDescent="0.3">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213">
        <f t="shared" si="0"/>
        <v>0</v>
      </c>
      <c r="AF47" s="68"/>
      <c r="AG47" s="68"/>
      <c r="AH47" s="68"/>
      <c r="AI47" s="68"/>
      <c r="AJ47" s="68"/>
      <c r="AK47" s="68"/>
    </row>
    <row r="48" spans="1:37" ht="15" customHeight="1"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213">
        <f t="shared" si="0"/>
        <v>0</v>
      </c>
      <c r="AF48" s="68"/>
      <c r="AG48" s="68"/>
      <c r="AH48" s="68"/>
      <c r="AI48" s="68"/>
      <c r="AJ48" s="68"/>
      <c r="AK48" s="68"/>
    </row>
    <row r="49" spans="1:37" ht="15" customHeight="1" thickBot="1" x14ac:dyDescent="0.3">
      <c r="A49" s="1516"/>
      <c r="B49" s="1493"/>
      <c r="C49" s="1317"/>
      <c r="D49" s="1317"/>
      <c r="E49" s="1317"/>
      <c r="F49" s="1317"/>
      <c r="G49" s="1494"/>
      <c r="H49" s="1191"/>
      <c r="I49" s="1017"/>
      <c r="J49" s="1029"/>
      <c r="K49" s="1030"/>
      <c r="L49" s="1532" t="s">
        <v>380</v>
      </c>
      <c r="M49" s="1533"/>
      <c r="N49" s="1533"/>
      <c r="O49" s="1533"/>
      <c r="P49" s="1533"/>
      <c r="Q49" s="329" t="s">
        <v>100</v>
      </c>
      <c r="R49" s="972"/>
      <c r="S49" s="973"/>
      <c r="T49" s="1543"/>
      <c r="U49" s="1337"/>
      <c r="V49" s="72">
        <f>IF(AND(Q49="ja",R49=""),1,0)</f>
        <v>0</v>
      </c>
      <c r="Y49" s="74"/>
      <c r="Z49" s="77"/>
      <c r="AA49" s="78"/>
      <c r="AB49" s="213">
        <f t="shared" si="0"/>
        <v>0</v>
      </c>
      <c r="AF49" s="68"/>
      <c r="AG49" s="68"/>
      <c r="AH49" s="68"/>
      <c r="AI49" s="68"/>
      <c r="AJ49" s="68"/>
      <c r="AK49" s="68"/>
    </row>
    <row r="50" spans="1:37" ht="15" customHeight="1" thickBot="1" x14ac:dyDescent="0.3">
      <c r="A50" s="1516"/>
      <c r="B50" s="1493"/>
      <c r="C50" s="1317"/>
      <c r="D50" s="1317"/>
      <c r="E50" s="1317"/>
      <c r="F50" s="1317"/>
      <c r="G50" s="1494"/>
      <c r="H50" s="1191"/>
      <c r="I50" s="1017"/>
      <c r="J50" s="1029"/>
      <c r="K50" s="1030"/>
      <c r="L50" s="1532" t="s">
        <v>381</v>
      </c>
      <c r="M50" s="1533"/>
      <c r="N50" s="1533"/>
      <c r="O50" s="1533"/>
      <c r="P50" s="1533"/>
      <c r="Q50" s="329" t="s">
        <v>100</v>
      </c>
      <c r="R50" s="972"/>
      <c r="S50" s="973"/>
      <c r="T50" s="1543"/>
      <c r="U50" s="1337"/>
      <c r="V50" s="72">
        <f>IF(AND(Q50="ja",R50=""),1,0)</f>
        <v>0</v>
      </c>
      <c r="Y50" s="74"/>
      <c r="Z50" s="77"/>
      <c r="AA50" s="78"/>
      <c r="AB50" s="213">
        <f t="shared" si="0"/>
        <v>0</v>
      </c>
      <c r="AF50" s="68"/>
      <c r="AG50" s="68"/>
      <c r="AH50" s="68"/>
      <c r="AI50" s="68"/>
      <c r="AJ50" s="68"/>
      <c r="AK50" s="68"/>
    </row>
    <row r="51" spans="1:37" ht="15.95" customHeight="1" thickBot="1" x14ac:dyDescent="0.3">
      <c r="A51" s="1516"/>
      <c r="B51" s="1493"/>
      <c r="C51" s="1317"/>
      <c r="D51" s="1317"/>
      <c r="E51" s="1317"/>
      <c r="F51" s="1317"/>
      <c r="G51" s="1494"/>
      <c r="H51" s="1191"/>
      <c r="I51" s="1017"/>
      <c r="J51" s="1029"/>
      <c r="K51" s="1030"/>
      <c r="L51" s="1544" t="s">
        <v>382</v>
      </c>
      <c r="M51" s="1545"/>
      <c r="N51" s="1545"/>
      <c r="O51" s="1545"/>
      <c r="P51" s="1545"/>
      <c r="Q51" s="978" t="s">
        <v>100</v>
      </c>
      <c r="R51" s="972"/>
      <c r="S51" s="973"/>
      <c r="T51" s="1543"/>
      <c r="U51" s="1337"/>
      <c r="V51" s="72">
        <f>IF(AND(Q51="ja",R51=""),1,0)</f>
        <v>0</v>
      </c>
      <c r="Y51" s="74"/>
      <c r="Z51" s="77"/>
      <c r="AA51" s="78"/>
      <c r="AB51" s="213">
        <f t="shared" si="0"/>
        <v>0</v>
      </c>
      <c r="AF51" s="68"/>
      <c r="AG51" s="68"/>
      <c r="AH51" s="68"/>
      <c r="AI51" s="68"/>
      <c r="AJ51" s="68"/>
      <c r="AK51" s="68"/>
    </row>
    <row r="52" spans="1:37" ht="15" customHeight="1"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213">
        <f t="shared" si="0"/>
        <v>0</v>
      </c>
      <c r="AF52" s="68"/>
      <c r="AG52" s="68"/>
      <c r="AH52" s="68"/>
      <c r="AI52" s="68"/>
      <c r="AJ52" s="68"/>
      <c r="AK52" s="68"/>
    </row>
    <row r="53" spans="1:37" ht="15.95" customHeight="1" thickBot="1" x14ac:dyDescent="0.3">
      <c r="A53" s="1516"/>
      <c r="B53" s="1592"/>
      <c r="C53" s="1593"/>
      <c r="D53" s="1593"/>
      <c r="E53" s="1593"/>
      <c r="F53" s="1593"/>
      <c r="G53" s="1594"/>
      <c r="H53" s="1192"/>
      <c r="I53" s="1018"/>
      <c r="J53" s="1031"/>
      <c r="K53" s="1032"/>
      <c r="L53" s="1546" t="s">
        <v>383</v>
      </c>
      <c r="M53" s="1547"/>
      <c r="N53" s="1547"/>
      <c r="O53" s="1547"/>
      <c r="P53" s="1547"/>
      <c r="Q53" s="330" t="s">
        <v>100</v>
      </c>
      <c r="R53" s="976"/>
      <c r="S53" s="977"/>
      <c r="T53" s="1543"/>
      <c r="U53" s="1337"/>
      <c r="V53" s="72">
        <f>IF(AND(Q53="ja",R53=""),1,0)</f>
        <v>0</v>
      </c>
      <c r="Y53" s="74"/>
      <c r="Z53" s="77"/>
      <c r="AA53" s="78"/>
      <c r="AB53" s="213">
        <f t="shared" si="0"/>
        <v>0</v>
      </c>
      <c r="AF53" s="68"/>
      <c r="AG53" s="68"/>
      <c r="AH53" s="68"/>
      <c r="AI53" s="68"/>
      <c r="AJ53" s="68"/>
      <c r="AK53" s="68"/>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0</v>
      </c>
      <c r="AA54" s="77"/>
      <c r="AB54" s="213">
        <f t="shared" si="0"/>
        <v>0</v>
      </c>
      <c r="AF54" s="68"/>
      <c r="AG54" s="68"/>
      <c r="AH54" s="68"/>
      <c r="AI54" s="68"/>
      <c r="AJ54" s="68"/>
      <c r="AK54" s="68"/>
    </row>
    <row r="55" spans="1:37" ht="15.95" customHeight="1" thickBot="1" x14ac:dyDescent="0.3">
      <c r="A55" s="1516"/>
      <c r="B55" s="1497" t="s">
        <v>384</v>
      </c>
      <c r="C55" s="1498"/>
      <c r="D55" s="1498"/>
      <c r="E55" s="1498"/>
      <c r="F55" s="1498"/>
      <c r="G55" s="1498"/>
      <c r="H55" s="1194" t="s">
        <v>100</v>
      </c>
      <c r="I55" s="1016">
        <f>Z78</f>
        <v>0</v>
      </c>
      <c r="J55" s="1027">
        <f>I35*I55</f>
        <v>0</v>
      </c>
      <c r="K55" s="1028"/>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0</v>
      </c>
      <c r="AA55" s="78"/>
      <c r="AB55" s="213">
        <f t="shared" si="0"/>
        <v>0</v>
      </c>
      <c r="AF55" s="68"/>
      <c r="AG55" s="68"/>
      <c r="AH55" s="68"/>
      <c r="AI55" s="68"/>
      <c r="AJ55" s="68"/>
      <c r="AK55" s="68"/>
    </row>
    <row r="56" spans="1:37" ht="15" customHeight="1" thickBot="1" x14ac:dyDescent="0.3">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213">
        <f t="shared" si="0"/>
        <v>0</v>
      </c>
      <c r="AF56" s="68"/>
      <c r="AG56" s="68"/>
      <c r="AH56" s="68"/>
      <c r="AI56" s="68"/>
      <c r="AJ56" s="68"/>
      <c r="AK56" s="68"/>
    </row>
    <row r="57" spans="1:37" s="70" customFormat="1" ht="15" customHeight="1" thickBot="1" x14ac:dyDescent="0.3">
      <c r="A57" s="1516"/>
      <c r="B57" s="1487" t="s">
        <v>385</v>
      </c>
      <c r="C57" s="1488"/>
      <c r="D57" s="1488"/>
      <c r="E57" s="1488"/>
      <c r="F57" s="1488"/>
      <c r="G57" s="1489"/>
      <c r="H57" s="1583" t="s">
        <v>100</v>
      </c>
      <c r="I57" s="1017"/>
      <c r="J57" s="1029"/>
      <c r="K57" s="1030"/>
      <c r="L57" s="984"/>
      <c r="M57" s="985"/>
      <c r="N57" s="985"/>
      <c r="O57" s="985"/>
      <c r="P57" s="985"/>
      <c r="Q57" s="1548"/>
      <c r="R57" s="972"/>
      <c r="S57" s="973"/>
      <c r="T57" s="1543"/>
      <c r="U57" s="1337"/>
      <c r="V57" s="339"/>
      <c r="W57" s="339"/>
      <c r="X57" s="339"/>
      <c r="Y57" s="340">
        <v>5.2499999999999998E-2</v>
      </c>
      <c r="Z57" s="77">
        <f>IF(H57="ja",Y57,0)</f>
        <v>0</v>
      </c>
      <c r="AA57" s="78"/>
      <c r="AB57" s="213">
        <f t="shared" si="0"/>
        <v>0</v>
      </c>
      <c r="AC57" s="339"/>
      <c r="AD57" s="339"/>
      <c r="AE57" s="341"/>
      <c r="AF57" s="341"/>
      <c r="AG57" s="341"/>
      <c r="AH57" s="341"/>
      <c r="AI57" s="341"/>
      <c r="AJ57" s="341"/>
      <c r="AK57" s="341"/>
    </row>
    <row r="58" spans="1:37" s="70" customFormat="1" ht="15" customHeight="1" thickBot="1" x14ac:dyDescent="0.3">
      <c r="A58" s="1516"/>
      <c r="B58" s="1493"/>
      <c r="C58" s="1317"/>
      <c r="D58" s="1317"/>
      <c r="E58" s="1317"/>
      <c r="F58" s="1317"/>
      <c r="G58" s="1494"/>
      <c r="H58" s="1584"/>
      <c r="I58" s="1017"/>
      <c r="J58" s="1029"/>
      <c r="K58" s="1030"/>
      <c r="L58" s="984"/>
      <c r="M58" s="985"/>
      <c r="N58" s="985"/>
      <c r="O58" s="985"/>
      <c r="P58" s="985"/>
      <c r="Q58" s="1548" t="s">
        <v>100</v>
      </c>
      <c r="R58" s="972"/>
      <c r="S58" s="973"/>
      <c r="T58" s="1543"/>
      <c r="U58" s="1337"/>
      <c r="V58" s="72">
        <f>IF(AND(Q58="ja",R58=""),1,0)</f>
        <v>0</v>
      </c>
      <c r="W58" s="339"/>
      <c r="X58" s="339"/>
      <c r="Y58" s="340"/>
      <c r="Z58" s="207"/>
      <c r="AA58" s="78"/>
      <c r="AB58" s="213">
        <f t="shared" si="0"/>
        <v>0</v>
      </c>
      <c r="AC58" s="339"/>
      <c r="AD58" s="339"/>
      <c r="AE58" s="341"/>
      <c r="AF58" s="341"/>
      <c r="AG58" s="341"/>
      <c r="AH58" s="341"/>
      <c r="AI58" s="341"/>
      <c r="AJ58" s="341"/>
      <c r="AK58" s="341"/>
    </row>
    <row r="59" spans="1:37" s="70" customFormat="1" ht="15" customHeight="1" thickBot="1" x14ac:dyDescent="0.3">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213">
        <f t="shared" si="0"/>
        <v>0</v>
      </c>
      <c r="AC59" s="339"/>
      <c r="AD59" s="339"/>
      <c r="AE59" s="341"/>
      <c r="AF59" s="341"/>
      <c r="AG59" s="341"/>
      <c r="AH59" s="341"/>
      <c r="AI59" s="341"/>
      <c r="AJ59" s="341"/>
      <c r="AK59" s="341"/>
    </row>
    <row r="60" spans="1:37" s="70" customFormat="1" ht="15" customHeight="1" thickBot="1" x14ac:dyDescent="0.3">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213">
        <f t="shared" si="0"/>
        <v>0</v>
      </c>
      <c r="AC60" s="339"/>
      <c r="AD60" s="339"/>
      <c r="AE60" s="341"/>
      <c r="AF60" s="341"/>
      <c r="AG60" s="341"/>
      <c r="AH60" s="341"/>
      <c r="AI60" s="341"/>
      <c r="AJ60" s="341"/>
      <c r="AK60" s="341"/>
    </row>
    <row r="61" spans="1:37" ht="15" customHeight="1" thickBot="1" x14ac:dyDescent="0.3">
      <c r="A61" s="1516"/>
      <c r="B61" s="1493"/>
      <c r="C61" s="1317"/>
      <c r="D61" s="1317"/>
      <c r="E61" s="1317"/>
      <c r="F61" s="1317"/>
      <c r="G61" s="1494"/>
      <c r="H61" s="1584"/>
      <c r="I61" s="1017"/>
      <c r="J61" s="1029"/>
      <c r="K61" s="1030"/>
      <c r="L61" s="984"/>
      <c r="M61" s="985"/>
      <c r="N61" s="985"/>
      <c r="O61" s="985"/>
      <c r="P61" s="985"/>
      <c r="Q61" s="1548" t="s">
        <v>100</v>
      </c>
      <c r="R61" s="972"/>
      <c r="S61" s="973"/>
      <c r="T61" s="1543"/>
      <c r="U61" s="1337"/>
      <c r="V61" s="72">
        <f>IF(AND(Q61="ja",R61=""),1,0)</f>
        <v>0</v>
      </c>
      <c r="Y61" s="340"/>
      <c r="Z61" s="77"/>
      <c r="AA61" s="78"/>
      <c r="AB61" s="213">
        <f t="shared" si="0"/>
        <v>0</v>
      </c>
      <c r="AF61" s="68"/>
      <c r="AG61" s="68"/>
      <c r="AH61" s="68"/>
      <c r="AI61" s="68"/>
      <c r="AJ61" s="68"/>
      <c r="AK61" s="68"/>
    </row>
    <row r="62" spans="1:37" ht="15" customHeight="1" thickBot="1" x14ac:dyDescent="0.3">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213">
        <f t="shared" si="0"/>
        <v>0</v>
      </c>
      <c r="AF62" s="68"/>
      <c r="AG62" s="68"/>
      <c r="AH62" s="68"/>
      <c r="AI62" s="68"/>
      <c r="AJ62" s="68"/>
      <c r="AK62" s="68"/>
    </row>
    <row r="63" spans="1:37" ht="15" customHeight="1" thickBot="1" x14ac:dyDescent="0.3">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213">
        <f t="shared" si="0"/>
        <v>0</v>
      </c>
      <c r="AF63" s="68"/>
      <c r="AG63" s="68"/>
      <c r="AH63" s="68"/>
      <c r="AI63" s="68"/>
      <c r="AJ63" s="68"/>
      <c r="AK63" s="68"/>
    </row>
    <row r="64" spans="1:37" ht="15" customHeight="1" thickBot="1" x14ac:dyDescent="0.3">
      <c r="A64" s="1516"/>
      <c r="B64" s="1490"/>
      <c r="C64" s="1491"/>
      <c r="D64" s="1491"/>
      <c r="E64" s="1491"/>
      <c r="F64" s="1491"/>
      <c r="G64" s="1492"/>
      <c r="H64" s="1585"/>
      <c r="I64" s="1017"/>
      <c r="J64" s="1029"/>
      <c r="K64" s="1030"/>
      <c r="L64" s="984"/>
      <c r="M64" s="985"/>
      <c r="N64" s="985"/>
      <c r="O64" s="985"/>
      <c r="P64" s="985"/>
      <c r="Q64" s="1548" t="s">
        <v>100</v>
      </c>
      <c r="R64" s="972"/>
      <c r="S64" s="973"/>
      <c r="T64" s="1543"/>
      <c r="U64" s="1337"/>
      <c r="V64" s="72">
        <f>IF(AND(Q64="ja",R64=""),1,0)</f>
        <v>0</v>
      </c>
      <c r="Y64" s="340"/>
      <c r="Z64" s="77"/>
      <c r="AA64" s="78"/>
      <c r="AB64" s="213">
        <f t="shared" si="0"/>
        <v>0</v>
      </c>
      <c r="AF64" s="68"/>
      <c r="AG64" s="68"/>
      <c r="AH64" s="68"/>
      <c r="AI64" s="68"/>
      <c r="AJ64" s="68"/>
      <c r="AK64" s="68"/>
    </row>
    <row r="65" spans="1:37" ht="15" customHeight="1" thickBot="1" x14ac:dyDescent="0.3">
      <c r="A65" s="1516"/>
      <c r="B65" s="1487" t="s">
        <v>386</v>
      </c>
      <c r="C65" s="1488"/>
      <c r="D65" s="1488"/>
      <c r="E65" s="1488"/>
      <c r="F65" s="1488"/>
      <c r="G65" s="1489"/>
      <c r="H65" s="981" t="s">
        <v>100</v>
      </c>
      <c r="I65" s="1017"/>
      <c r="J65" s="1029"/>
      <c r="K65" s="1030"/>
      <c r="L65" s="984"/>
      <c r="M65" s="985"/>
      <c r="N65" s="985"/>
      <c r="O65" s="985"/>
      <c r="P65" s="985"/>
      <c r="Q65" s="1548"/>
      <c r="R65" s="972"/>
      <c r="S65" s="973"/>
      <c r="T65" s="1543"/>
      <c r="U65" s="1337"/>
      <c r="V65" s="339"/>
      <c r="Y65" s="74">
        <v>0.01</v>
      </c>
      <c r="Z65" s="77">
        <f>IF(H65="ja",Y65,0)</f>
        <v>0</v>
      </c>
      <c r="AA65" s="78"/>
      <c r="AB65" s="213">
        <f t="shared" si="0"/>
        <v>0</v>
      </c>
      <c r="AF65" s="68"/>
      <c r="AG65" s="68"/>
      <c r="AH65" s="68"/>
      <c r="AI65" s="68"/>
      <c r="AJ65" s="68"/>
      <c r="AK65" s="68"/>
    </row>
    <row r="66" spans="1:37" ht="15" customHeight="1" thickBot="1" x14ac:dyDescent="0.3">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213">
        <f t="shared" si="0"/>
        <v>0</v>
      </c>
      <c r="AF66" s="68"/>
      <c r="AG66" s="68"/>
      <c r="AH66" s="68"/>
      <c r="AI66" s="68"/>
      <c r="AJ66" s="68"/>
      <c r="AK66" s="68"/>
    </row>
    <row r="67" spans="1:37" ht="15" customHeight="1" thickBot="1" x14ac:dyDescent="0.3">
      <c r="A67" s="1516"/>
      <c r="B67" s="1487" t="s">
        <v>387</v>
      </c>
      <c r="C67" s="1488"/>
      <c r="D67" s="1488"/>
      <c r="E67" s="1488"/>
      <c r="F67" s="1488"/>
      <c r="G67" s="1489"/>
      <c r="H67" s="981" t="s">
        <v>100</v>
      </c>
      <c r="I67" s="1017"/>
      <c r="J67" s="1029"/>
      <c r="K67" s="1030"/>
      <c r="L67" s="984"/>
      <c r="M67" s="985"/>
      <c r="N67" s="985"/>
      <c r="O67" s="985"/>
      <c r="P67" s="985"/>
      <c r="Q67" s="1548" t="s">
        <v>100</v>
      </c>
      <c r="R67" s="972"/>
      <c r="S67" s="973"/>
      <c r="T67" s="1543"/>
      <c r="U67" s="1337"/>
      <c r="V67" s="72">
        <f>IF(AND(Q67="ja",R67=""),1,0)</f>
        <v>0</v>
      </c>
      <c r="Y67" s="74">
        <v>8.0000000000000002E-3</v>
      </c>
      <c r="Z67" s="77">
        <f>IF(H67="ja",Y67,0)</f>
        <v>0</v>
      </c>
      <c r="AA67" s="78"/>
      <c r="AB67" s="213">
        <f t="shared" si="0"/>
        <v>0</v>
      </c>
      <c r="AF67" s="68"/>
      <c r="AG67" s="68"/>
      <c r="AH67" s="68"/>
      <c r="AI67" s="68"/>
      <c r="AJ67" s="68"/>
      <c r="AK67" s="68"/>
    </row>
    <row r="68" spans="1:37" ht="15" customHeight="1" thickBot="1" x14ac:dyDescent="0.3">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213">
        <f t="shared" si="0"/>
        <v>0</v>
      </c>
      <c r="AF68" s="68"/>
      <c r="AG68" s="68"/>
      <c r="AH68" s="68"/>
      <c r="AI68" s="68"/>
      <c r="AJ68" s="68"/>
      <c r="AK68" s="68"/>
    </row>
    <row r="69" spans="1:37" ht="15" customHeight="1" thickBot="1" x14ac:dyDescent="0.3">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213">
        <f t="shared" si="0"/>
        <v>0</v>
      </c>
      <c r="AF69" s="68"/>
      <c r="AG69" s="68"/>
      <c r="AH69" s="68"/>
      <c r="AI69" s="68"/>
      <c r="AJ69" s="68"/>
      <c r="AK69" s="68"/>
    </row>
    <row r="70" spans="1:37" ht="15" customHeight="1" thickBot="1" x14ac:dyDescent="0.3">
      <c r="A70" s="1516"/>
      <c r="B70" s="1490"/>
      <c r="C70" s="1491"/>
      <c r="D70" s="1491"/>
      <c r="E70" s="1491"/>
      <c r="F70" s="1491"/>
      <c r="G70" s="1492"/>
      <c r="H70" s="983"/>
      <c r="I70" s="1017"/>
      <c r="J70" s="1029"/>
      <c r="K70" s="1030"/>
      <c r="L70" s="984"/>
      <c r="M70" s="985"/>
      <c r="N70" s="985"/>
      <c r="O70" s="985"/>
      <c r="P70" s="985"/>
      <c r="Q70" s="1548" t="s">
        <v>100</v>
      </c>
      <c r="R70" s="972"/>
      <c r="S70" s="973"/>
      <c r="T70" s="1543"/>
      <c r="U70" s="1337"/>
      <c r="V70" s="72">
        <f>IF(AND(Q70="ja",R70=""),1,0)</f>
        <v>0</v>
      </c>
      <c r="Y70" s="74"/>
      <c r="Z70" s="77"/>
      <c r="AA70" s="78"/>
      <c r="AB70" s="213">
        <f t="shared" si="0"/>
        <v>0</v>
      </c>
      <c r="AF70" s="68"/>
      <c r="AG70" s="68"/>
      <c r="AH70" s="68"/>
      <c r="AI70" s="68"/>
      <c r="AJ70" s="68"/>
      <c r="AK70" s="68"/>
    </row>
    <row r="71" spans="1:37" ht="15" customHeight="1" thickBot="1" x14ac:dyDescent="0.3">
      <c r="A71" s="1516"/>
      <c r="B71" s="1487" t="s">
        <v>388</v>
      </c>
      <c r="C71" s="1488"/>
      <c r="D71" s="1488"/>
      <c r="E71" s="1488"/>
      <c r="F71" s="1488"/>
      <c r="G71" s="1489"/>
      <c r="H71" s="981" t="s">
        <v>100</v>
      </c>
      <c r="I71" s="1017"/>
      <c r="J71" s="1029"/>
      <c r="K71" s="1030"/>
      <c r="L71" s="984"/>
      <c r="M71" s="985"/>
      <c r="N71" s="985"/>
      <c r="O71" s="985"/>
      <c r="P71" s="985"/>
      <c r="Q71" s="1548"/>
      <c r="R71" s="972"/>
      <c r="S71" s="973"/>
      <c r="T71" s="1543"/>
      <c r="U71" s="1337"/>
      <c r="V71" s="339"/>
      <c r="Y71" s="74">
        <v>2E-3</v>
      </c>
      <c r="Z71" s="77">
        <f>IF(H71="ja",Y71,0)</f>
        <v>0</v>
      </c>
      <c r="AA71" s="78"/>
      <c r="AB71" s="213">
        <f t="shared" si="0"/>
        <v>0</v>
      </c>
      <c r="AF71" s="68"/>
      <c r="AG71" s="68"/>
      <c r="AH71" s="68"/>
      <c r="AI71" s="68"/>
      <c r="AJ71" s="68"/>
      <c r="AK71" s="68"/>
    </row>
    <row r="72" spans="1:37" ht="15" customHeight="1" thickBot="1" x14ac:dyDescent="0.3">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213">
        <f t="shared" si="0"/>
        <v>0</v>
      </c>
      <c r="AF72" s="68"/>
      <c r="AG72" s="68"/>
      <c r="AH72" s="68"/>
      <c r="AI72" s="68"/>
      <c r="AJ72" s="68"/>
      <c r="AK72" s="68"/>
    </row>
    <row r="73" spans="1:37" ht="15" customHeight="1" thickBot="1" x14ac:dyDescent="0.3">
      <c r="A73" s="1516"/>
      <c r="B73" s="1490"/>
      <c r="C73" s="1491"/>
      <c r="D73" s="1491"/>
      <c r="E73" s="1491"/>
      <c r="F73" s="1491"/>
      <c r="G73" s="1492"/>
      <c r="H73" s="983"/>
      <c r="I73" s="1017"/>
      <c r="J73" s="1029"/>
      <c r="K73" s="1030"/>
      <c r="L73" s="984"/>
      <c r="M73" s="985"/>
      <c r="N73" s="985"/>
      <c r="O73" s="985"/>
      <c r="P73" s="985"/>
      <c r="Q73" s="1548" t="s">
        <v>100</v>
      </c>
      <c r="R73" s="972"/>
      <c r="S73" s="973"/>
      <c r="T73" s="1543"/>
      <c r="U73" s="1337"/>
      <c r="V73" s="72">
        <f>IF(AND(Q73="ja",R73=""),1,0)</f>
        <v>0</v>
      </c>
      <c r="Y73" s="74"/>
      <c r="Z73" s="77"/>
      <c r="AA73" s="78"/>
      <c r="AB73" s="213">
        <f t="shared" si="0"/>
        <v>0</v>
      </c>
      <c r="AF73" s="68"/>
      <c r="AG73" s="68"/>
      <c r="AH73" s="68"/>
      <c r="AI73" s="68"/>
      <c r="AJ73" s="68"/>
      <c r="AK73" s="68"/>
    </row>
    <row r="74" spans="1:37" ht="15" customHeight="1" thickBot="1" x14ac:dyDescent="0.3">
      <c r="A74" s="1516"/>
      <c r="B74" s="1487" t="s">
        <v>389</v>
      </c>
      <c r="C74" s="1488"/>
      <c r="D74" s="1488"/>
      <c r="E74" s="1488"/>
      <c r="F74" s="1488"/>
      <c r="G74" s="1489"/>
      <c r="H74" s="981" t="s">
        <v>100</v>
      </c>
      <c r="I74" s="1017"/>
      <c r="J74" s="1029"/>
      <c r="K74" s="1030"/>
      <c r="L74" s="984"/>
      <c r="M74" s="985"/>
      <c r="N74" s="985"/>
      <c r="O74" s="985"/>
      <c r="P74" s="985"/>
      <c r="Q74" s="1548"/>
      <c r="R74" s="972"/>
      <c r="S74" s="973"/>
      <c r="T74" s="1543"/>
      <c r="U74" s="1337"/>
      <c r="Y74" s="74">
        <v>7.0000000000000001E-3</v>
      </c>
      <c r="Z74" s="77">
        <f>IF(H74="ja",Y74,0)</f>
        <v>0</v>
      </c>
      <c r="AA74" s="78"/>
      <c r="AB74" s="213">
        <f t="shared" si="0"/>
        <v>0</v>
      </c>
      <c r="AF74" s="68"/>
      <c r="AG74" s="68"/>
      <c r="AH74" s="68"/>
      <c r="AI74" s="68"/>
      <c r="AJ74" s="68"/>
      <c r="AK74" s="68"/>
    </row>
    <row r="75" spans="1:37" ht="15" customHeight="1" thickBot="1" x14ac:dyDescent="0.3">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213">
        <f t="shared" si="0"/>
        <v>0</v>
      </c>
      <c r="AF75" s="68"/>
      <c r="AG75" s="68"/>
      <c r="AH75" s="68"/>
      <c r="AI75" s="68"/>
      <c r="AJ75" s="68"/>
      <c r="AK75" s="68"/>
    </row>
    <row r="76" spans="1:37" ht="15" customHeight="1" thickBot="1" x14ac:dyDescent="0.3">
      <c r="A76" s="1516"/>
      <c r="B76" s="1487" t="s">
        <v>171</v>
      </c>
      <c r="C76" s="1488"/>
      <c r="D76" s="1488"/>
      <c r="E76" s="1488"/>
      <c r="F76" s="1488"/>
      <c r="G76" s="1489"/>
      <c r="H76" s="981" t="s">
        <v>100</v>
      </c>
      <c r="I76" s="1017"/>
      <c r="J76" s="1029"/>
      <c r="K76" s="1030"/>
      <c r="L76" s="1539"/>
      <c r="M76" s="1540"/>
      <c r="N76" s="1540"/>
      <c r="O76" s="1540"/>
      <c r="P76" s="1540"/>
      <c r="Q76" s="1548" t="s">
        <v>100</v>
      </c>
      <c r="R76" s="972"/>
      <c r="S76" s="973"/>
      <c r="T76" s="1543"/>
      <c r="U76" s="1337"/>
      <c r="V76" s="72">
        <f>IF(AND(Q76="ja",R76=""),1,0)</f>
        <v>0</v>
      </c>
      <c r="Y76" s="74">
        <v>2.5000000000000001E-3</v>
      </c>
      <c r="Z76" s="77">
        <f>IF(H76="ja",Y76,0)</f>
        <v>0</v>
      </c>
      <c r="AA76" s="78"/>
      <c r="AB76" s="213">
        <f t="shared" si="0"/>
        <v>0</v>
      </c>
      <c r="AF76" s="68"/>
      <c r="AG76" s="68"/>
      <c r="AH76" s="68"/>
      <c r="AI76" s="68"/>
      <c r="AJ76" s="68"/>
      <c r="AK76" s="68"/>
    </row>
    <row r="77" spans="1:37" ht="15" customHeight="1" thickBot="1" x14ac:dyDescent="0.3">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213">
        <f t="shared" si="0"/>
        <v>0</v>
      </c>
      <c r="AF77" s="68"/>
      <c r="AG77" s="68"/>
      <c r="AH77" s="68"/>
      <c r="AI77" s="68"/>
      <c r="AJ77" s="68"/>
      <c r="AK77" s="68"/>
    </row>
    <row r="78" spans="1:37" ht="15.95" customHeight="1" thickBot="1" x14ac:dyDescent="0.3">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552"/>
      <c r="S78" s="1553"/>
      <c r="T78" s="1567"/>
      <c r="U78" s="1610"/>
      <c r="Y78" s="74"/>
      <c r="Z78" s="152">
        <f>SUM(Z55:Z76)</f>
        <v>0</v>
      </c>
      <c r="AA78" s="77"/>
      <c r="AB78" s="213">
        <f t="shared" si="0"/>
        <v>0</v>
      </c>
      <c r="AF78" s="68"/>
      <c r="AG78" s="68"/>
      <c r="AH78" s="68"/>
      <c r="AI78" s="68"/>
      <c r="AJ78" s="68"/>
      <c r="AK78" s="68"/>
    </row>
    <row r="79" spans="1:37" ht="14.55" thickBot="1" x14ac:dyDescent="0.3">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213">
        <f t="shared" si="0"/>
        <v>0</v>
      </c>
      <c r="AF79" s="68"/>
      <c r="AG79" s="68"/>
      <c r="AH79" s="68"/>
      <c r="AI79" s="68"/>
      <c r="AJ79" s="68"/>
      <c r="AK79" s="68"/>
    </row>
    <row r="80" spans="1:37" ht="14.55" thickBot="1" x14ac:dyDescent="0.3">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213">
        <f t="shared" si="0"/>
        <v>0</v>
      </c>
      <c r="AF80" s="68"/>
      <c r="AG80" s="68"/>
      <c r="AH80" s="68"/>
      <c r="AI80" s="68"/>
      <c r="AJ80" s="68"/>
      <c r="AK80" s="68"/>
    </row>
    <row r="81" spans="1:37"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213">
        <f t="shared" si="0"/>
        <v>0</v>
      </c>
      <c r="AF81" s="68"/>
      <c r="AG81" s="68"/>
      <c r="AH81" s="68"/>
      <c r="AI81" s="68"/>
      <c r="AJ81" s="68"/>
      <c r="AK81" s="68"/>
    </row>
    <row r="82" spans="1:37" ht="15" customHeight="1" thickBot="1" x14ac:dyDescent="0.3">
      <c r="A82" s="1516"/>
      <c r="B82" s="1497" t="s">
        <v>391</v>
      </c>
      <c r="C82" s="1498"/>
      <c r="D82" s="1498"/>
      <c r="E82" s="1498"/>
      <c r="F82" s="1498"/>
      <c r="G82" s="1499"/>
      <c r="H82" s="1194" t="s">
        <v>100</v>
      </c>
      <c r="I82" s="1016">
        <f>Z115</f>
        <v>0</v>
      </c>
      <c r="J82" s="1027">
        <f>I78*I82</f>
        <v>0</v>
      </c>
      <c r="K82" s="1028"/>
      <c r="L82" s="987" t="s">
        <v>392</v>
      </c>
      <c r="M82" s="988"/>
      <c r="N82" s="988"/>
      <c r="O82" s="988"/>
      <c r="P82" s="988"/>
      <c r="Q82" s="1548" t="s">
        <v>100</v>
      </c>
      <c r="R82" s="972"/>
      <c r="S82" s="973"/>
      <c r="T82" s="1257" t="str">
        <f>IFERROR(IF((VLOOKUP(U82,Überblick!$M$125:$N$133,2))="ja","ja","nein"),"")</f>
        <v/>
      </c>
      <c r="U82" s="1337"/>
      <c r="V82" s="72">
        <f>IF(AND(Q82="ja",R82=""),1,0)</f>
        <v>0</v>
      </c>
      <c r="Y82" s="74">
        <v>5.5E-2</v>
      </c>
      <c r="Z82" s="77">
        <f>IF(H82="ja",Y82,0)</f>
        <v>0</v>
      </c>
      <c r="AA82" s="78"/>
      <c r="AB82" s="213">
        <f t="shared" si="0"/>
        <v>0</v>
      </c>
      <c r="AF82" s="68"/>
      <c r="AG82" s="68"/>
      <c r="AH82" s="68"/>
      <c r="AI82" s="68"/>
      <c r="AJ82" s="68"/>
      <c r="AK82" s="68"/>
    </row>
    <row r="83" spans="1:37" ht="15" customHeight="1" thickBot="1" x14ac:dyDescent="0.3">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213">
        <f t="shared" si="0"/>
        <v>0</v>
      </c>
      <c r="AF83" s="68"/>
      <c r="AG83" s="68"/>
      <c r="AH83" s="68"/>
      <c r="AI83" s="68"/>
      <c r="AJ83" s="68"/>
      <c r="AK83" s="68"/>
    </row>
    <row r="84" spans="1:37" ht="15" customHeight="1" thickBot="1" x14ac:dyDescent="0.3">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213">
        <f t="shared" si="0"/>
        <v>0</v>
      </c>
      <c r="AF84" s="68"/>
      <c r="AG84" s="68"/>
      <c r="AH84" s="68"/>
      <c r="AI84" s="68"/>
      <c r="AJ84" s="68"/>
      <c r="AK84" s="68"/>
    </row>
    <row r="85" spans="1:37" ht="15" customHeight="1" thickBot="1" x14ac:dyDescent="0.3">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213">
        <f t="shared" si="0"/>
        <v>0</v>
      </c>
      <c r="AF85" s="68"/>
      <c r="AG85" s="68"/>
      <c r="AH85" s="68"/>
      <c r="AI85" s="68"/>
      <c r="AJ85" s="68"/>
      <c r="AK85" s="68"/>
    </row>
    <row r="86" spans="1:37" ht="15" customHeight="1" thickBot="1" x14ac:dyDescent="0.3">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213">
        <f t="shared" si="0"/>
        <v>0</v>
      </c>
      <c r="AF86" s="68"/>
      <c r="AG86" s="68"/>
      <c r="AH86" s="68"/>
      <c r="AI86" s="68"/>
      <c r="AJ86" s="68"/>
      <c r="AK86" s="68"/>
    </row>
    <row r="87" spans="1:37" ht="15" customHeight="1" thickBot="1" x14ac:dyDescent="0.3">
      <c r="A87" s="1516"/>
      <c r="B87" s="1103" t="s">
        <v>394</v>
      </c>
      <c r="C87" s="1104"/>
      <c r="D87" s="1104"/>
      <c r="E87" s="1104"/>
      <c r="F87" s="1104"/>
      <c r="G87" s="1105"/>
      <c r="H87" s="314" t="s">
        <v>100</v>
      </c>
      <c r="I87" s="1017"/>
      <c r="J87" s="1029"/>
      <c r="K87" s="1030"/>
      <c r="L87" s="984"/>
      <c r="M87" s="985"/>
      <c r="N87" s="985"/>
      <c r="O87" s="985"/>
      <c r="P87" s="985"/>
      <c r="Q87" s="1548"/>
      <c r="R87" s="972"/>
      <c r="S87" s="973"/>
      <c r="T87" s="1258"/>
      <c r="U87" s="1337"/>
      <c r="Y87" s="74">
        <v>2.5000000000000001E-3</v>
      </c>
      <c r="Z87" s="77">
        <f>IF(H87="ja",Y87,0)</f>
        <v>0</v>
      </c>
      <c r="AA87" s="78"/>
      <c r="AB87" s="213">
        <f t="shared" si="0"/>
        <v>0</v>
      </c>
      <c r="AF87" s="68"/>
      <c r="AG87" s="68"/>
      <c r="AH87" s="68"/>
      <c r="AI87" s="68"/>
      <c r="AJ87" s="68"/>
      <c r="AK87" s="68"/>
    </row>
    <row r="88" spans="1:37" ht="15" customHeight="1" thickBot="1" x14ac:dyDescent="0.3">
      <c r="A88" s="1516"/>
      <c r="B88" s="1487" t="s">
        <v>395</v>
      </c>
      <c r="C88" s="1488"/>
      <c r="D88" s="1488"/>
      <c r="E88" s="1488"/>
      <c r="F88" s="1488"/>
      <c r="G88" s="1489"/>
      <c r="H88" s="981" t="s">
        <v>100</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0</v>
      </c>
      <c r="AA88" s="78"/>
      <c r="AB88" s="213">
        <f t="shared" si="0"/>
        <v>0</v>
      </c>
      <c r="AF88" s="68"/>
      <c r="AG88" s="68"/>
      <c r="AH88" s="68"/>
      <c r="AI88" s="68"/>
      <c r="AJ88" s="68"/>
      <c r="AK88" s="68"/>
    </row>
    <row r="89" spans="1:37" ht="15" customHeight="1" thickBot="1" x14ac:dyDescent="0.3">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213">
        <f t="shared" si="0"/>
        <v>0</v>
      </c>
      <c r="AF89" s="68"/>
      <c r="AG89" s="68"/>
      <c r="AH89" s="68"/>
      <c r="AI89" s="68"/>
      <c r="AJ89" s="68"/>
      <c r="AK89" s="68"/>
    </row>
    <row r="90" spans="1:37" ht="15" customHeight="1" thickBot="1" x14ac:dyDescent="0.3">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213">
        <f t="shared" si="0"/>
        <v>0</v>
      </c>
      <c r="AF90" s="68"/>
      <c r="AG90" s="68"/>
      <c r="AH90" s="68"/>
      <c r="AI90" s="68"/>
      <c r="AJ90" s="68"/>
      <c r="AK90" s="68"/>
    </row>
    <row r="91" spans="1:37" ht="15" customHeight="1" thickBot="1" x14ac:dyDescent="0.3">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213">
        <f t="shared" si="0"/>
        <v>0</v>
      </c>
      <c r="AF91" s="68"/>
      <c r="AG91" s="68"/>
      <c r="AH91" s="68"/>
      <c r="AI91" s="68"/>
      <c r="AJ91" s="68"/>
      <c r="AK91" s="68"/>
    </row>
    <row r="92" spans="1:37" ht="15" customHeight="1" thickBot="1" x14ac:dyDescent="0.3">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213">
        <f t="shared" si="0"/>
        <v>0</v>
      </c>
      <c r="AF92" s="68"/>
      <c r="AG92" s="68"/>
      <c r="AH92" s="68"/>
      <c r="AI92" s="68"/>
      <c r="AJ92" s="68"/>
      <c r="AK92" s="68"/>
    </row>
    <row r="93" spans="1:37" ht="15" customHeight="1" thickBot="1" x14ac:dyDescent="0.3">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213">
        <f t="shared" si="0"/>
        <v>0</v>
      </c>
      <c r="AF93" s="68"/>
      <c r="AG93" s="68"/>
      <c r="AH93" s="68"/>
      <c r="AI93" s="68"/>
      <c r="AJ93" s="68"/>
      <c r="AK93" s="68"/>
    </row>
    <row r="94" spans="1:37" ht="15" customHeight="1" thickBot="1" x14ac:dyDescent="0.3">
      <c r="A94" s="1516"/>
      <c r="B94" s="1493"/>
      <c r="C94" s="1317"/>
      <c r="D94" s="1317"/>
      <c r="E94" s="1317"/>
      <c r="F94" s="1317"/>
      <c r="G94" s="1494"/>
      <c r="H94" s="982"/>
      <c r="I94" s="1017"/>
      <c r="J94" s="1029"/>
      <c r="K94" s="1030"/>
      <c r="L94" s="984" t="s">
        <v>192</v>
      </c>
      <c r="M94" s="985"/>
      <c r="N94" s="985"/>
      <c r="O94" s="985"/>
      <c r="P94" s="985"/>
      <c r="Q94" s="1548" t="s">
        <v>100</v>
      </c>
      <c r="R94" s="972"/>
      <c r="S94" s="973"/>
      <c r="T94" s="1258"/>
      <c r="U94" s="1337"/>
      <c r="V94" s="72">
        <f>IF(AND(Q94="ja",R94=""),1,0)</f>
        <v>0</v>
      </c>
      <c r="Y94" s="74"/>
      <c r="Z94" s="77"/>
      <c r="AA94" s="78"/>
      <c r="AB94" s="213">
        <f t="shared" si="0"/>
        <v>0</v>
      </c>
      <c r="AF94" s="68"/>
      <c r="AG94" s="68"/>
      <c r="AH94" s="68"/>
      <c r="AI94" s="68"/>
      <c r="AJ94" s="68"/>
      <c r="AK94" s="68"/>
    </row>
    <row r="95" spans="1:37" ht="15" customHeight="1" thickBot="1" x14ac:dyDescent="0.3">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213">
        <f t="shared" si="0"/>
        <v>0</v>
      </c>
      <c r="AF95" s="68"/>
      <c r="AG95" s="68"/>
      <c r="AH95" s="68"/>
      <c r="AI95" s="68"/>
      <c r="AJ95" s="68"/>
      <c r="AK95" s="68"/>
    </row>
    <row r="96" spans="1:37" ht="15" customHeight="1" thickBot="1" x14ac:dyDescent="0.3">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213">
        <f t="shared" si="0"/>
        <v>0</v>
      </c>
      <c r="AF96" s="68"/>
      <c r="AG96" s="68"/>
      <c r="AH96" s="68"/>
      <c r="AI96" s="68"/>
      <c r="AJ96" s="68"/>
      <c r="AK96" s="68"/>
    </row>
    <row r="97" spans="1:37" ht="15" customHeight="1" thickBot="1" x14ac:dyDescent="0.3">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213">
        <f t="shared" si="0"/>
        <v>0</v>
      </c>
      <c r="AF97" s="68"/>
      <c r="AG97" s="68"/>
      <c r="AH97" s="68"/>
      <c r="AI97" s="68"/>
      <c r="AJ97" s="68"/>
      <c r="AK97" s="68"/>
    </row>
    <row r="98" spans="1:37" ht="15" customHeight="1" thickBot="1" x14ac:dyDescent="0.3">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213">
        <f t="shared" si="0"/>
        <v>0</v>
      </c>
      <c r="AF98" s="68"/>
      <c r="AG98" s="68"/>
      <c r="AH98" s="68"/>
      <c r="AI98" s="68"/>
      <c r="AJ98" s="68"/>
      <c r="AK98" s="68"/>
    </row>
    <row r="99" spans="1:37" ht="15" customHeight="1" thickBot="1" x14ac:dyDescent="0.3">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213">
        <f t="shared" si="0"/>
        <v>0</v>
      </c>
      <c r="AF99" s="68"/>
      <c r="AG99" s="68"/>
      <c r="AH99" s="68"/>
      <c r="AI99" s="68"/>
      <c r="AJ99" s="68"/>
      <c r="AK99" s="68"/>
    </row>
    <row r="100" spans="1:37" ht="15" customHeight="1" thickBot="1" x14ac:dyDescent="0.3">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213">
        <f t="shared" si="0"/>
        <v>0</v>
      </c>
      <c r="AF100" s="68"/>
      <c r="AG100" s="68"/>
      <c r="AH100" s="68"/>
      <c r="AI100" s="68"/>
      <c r="AJ100" s="68"/>
      <c r="AK100" s="68"/>
    </row>
    <row r="101" spans="1:37" ht="15" customHeight="1" thickBot="1" x14ac:dyDescent="0.3">
      <c r="A101" s="1516"/>
      <c r="B101" s="1487" t="s">
        <v>398</v>
      </c>
      <c r="C101" s="1488"/>
      <c r="D101" s="1488"/>
      <c r="E101" s="1488"/>
      <c r="F101" s="1488"/>
      <c r="G101" s="1489"/>
      <c r="H101" s="981" t="s">
        <v>100</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0</v>
      </c>
      <c r="AA101" s="78"/>
      <c r="AB101" s="213">
        <f t="shared" si="0"/>
        <v>0</v>
      </c>
      <c r="AF101" s="68"/>
      <c r="AG101" s="68"/>
      <c r="AH101" s="68"/>
      <c r="AI101" s="68"/>
      <c r="AJ101" s="68"/>
      <c r="AK101" s="68"/>
    </row>
    <row r="102" spans="1:37" ht="15" customHeight="1" thickBot="1" x14ac:dyDescent="0.3">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213">
        <f t="shared" si="0"/>
        <v>0</v>
      </c>
      <c r="AF102" s="68"/>
      <c r="AG102" s="68"/>
      <c r="AH102" s="68"/>
      <c r="AI102" s="68"/>
      <c r="AJ102" s="68"/>
      <c r="AK102" s="68"/>
    </row>
    <row r="103" spans="1:37" ht="15" customHeight="1" thickBot="1" x14ac:dyDescent="0.3">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213">
        <f t="shared" si="0"/>
        <v>0</v>
      </c>
      <c r="AF103" s="68"/>
      <c r="AG103" s="68"/>
      <c r="AH103" s="68"/>
      <c r="AI103" s="68"/>
      <c r="AJ103" s="68"/>
      <c r="AK103" s="68"/>
    </row>
    <row r="104" spans="1:37" ht="15" customHeight="1" thickBot="1" x14ac:dyDescent="0.3">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213">
        <f t="shared" ref="AB104:AB167" si="1">IF(Q104="ja",1,0)</f>
        <v>0</v>
      </c>
      <c r="AF104" s="68"/>
      <c r="AG104" s="68"/>
      <c r="AH104" s="68"/>
      <c r="AI104" s="68"/>
      <c r="AJ104" s="68"/>
      <c r="AK104" s="68"/>
    </row>
    <row r="105" spans="1:37" ht="15" customHeight="1" thickBot="1" x14ac:dyDescent="0.3">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213">
        <f t="shared" si="1"/>
        <v>0</v>
      </c>
      <c r="AF105" s="68"/>
      <c r="AG105" s="68"/>
      <c r="AH105" s="68"/>
      <c r="AI105" s="68"/>
      <c r="AJ105" s="68"/>
      <c r="AK105" s="68"/>
    </row>
    <row r="106" spans="1:37" ht="15" customHeight="1" thickBot="1" x14ac:dyDescent="0.3">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213">
        <f t="shared" si="1"/>
        <v>0</v>
      </c>
      <c r="AF106" s="68"/>
      <c r="AG106" s="68"/>
      <c r="AH106" s="68"/>
      <c r="AI106" s="68"/>
      <c r="AJ106" s="68"/>
      <c r="AK106" s="68"/>
    </row>
    <row r="107" spans="1:37" ht="15" customHeight="1" thickBot="1" x14ac:dyDescent="0.3">
      <c r="A107" s="1516"/>
      <c r="B107" s="1487" t="s">
        <v>399</v>
      </c>
      <c r="C107" s="1488"/>
      <c r="D107" s="1488"/>
      <c r="E107" s="1488"/>
      <c r="F107" s="1488"/>
      <c r="G107" s="1489"/>
      <c r="H107" s="981" t="s">
        <v>100</v>
      </c>
      <c r="I107" s="1017"/>
      <c r="J107" s="1029"/>
      <c r="K107" s="1030"/>
      <c r="L107" s="984"/>
      <c r="M107" s="985"/>
      <c r="N107" s="985"/>
      <c r="O107" s="985"/>
      <c r="P107" s="985"/>
      <c r="Q107" s="1548" t="s">
        <v>100</v>
      </c>
      <c r="R107" s="972"/>
      <c r="S107" s="973"/>
      <c r="T107" s="1258"/>
      <c r="U107" s="1337"/>
      <c r="V107" s="72">
        <f>IF(AND(Q107="ja",R107=""),1,0)</f>
        <v>0</v>
      </c>
      <c r="Y107" s="74">
        <v>1.5E-3</v>
      </c>
      <c r="Z107" s="77">
        <f>IF(H107="ja",Y107,0)</f>
        <v>0</v>
      </c>
      <c r="AA107" s="78"/>
      <c r="AB107" s="213">
        <f t="shared" si="1"/>
        <v>0</v>
      </c>
      <c r="AF107" s="68"/>
      <c r="AG107" s="68"/>
      <c r="AH107" s="68"/>
      <c r="AI107" s="68"/>
      <c r="AJ107" s="68"/>
      <c r="AK107" s="68"/>
    </row>
    <row r="108" spans="1:37" ht="15" customHeight="1" thickBot="1" x14ac:dyDescent="0.3">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213">
        <f t="shared" si="1"/>
        <v>0</v>
      </c>
      <c r="AF108" s="68"/>
      <c r="AG108" s="68"/>
      <c r="AH108" s="68"/>
      <c r="AI108" s="68"/>
      <c r="AJ108" s="68"/>
      <c r="AK108" s="68"/>
    </row>
    <row r="109" spans="1:37" ht="15" customHeight="1" thickBot="1" x14ac:dyDescent="0.3">
      <c r="A109" s="1516"/>
      <c r="B109" s="1487" t="s">
        <v>400</v>
      </c>
      <c r="C109" s="1488"/>
      <c r="D109" s="1488"/>
      <c r="E109" s="1488"/>
      <c r="F109" s="1488"/>
      <c r="G109" s="1489"/>
      <c r="H109" s="981" t="s">
        <v>100</v>
      </c>
      <c r="I109" s="1017"/>
      <c r="J109" s="1029"/>
      <c r="K109" s="1030"/>
      <c r="L109" s="984"/>
      <c r="M109" s="985"/>
      <c r="N109" s="985"/>
      <c r="O109" s="985"/>
      <c r="P109" s="985"/>
      <c r="Q109" s="1548"/>
      <c r="R109" s="972"/>
      <c r="S109" s="973"/>
      <c r="T109" s="1258"/>
      <c r="U109" s="1337"/>
      <c r="V109" s="339"/>
      <c r="Y109" s="74">
        <v>6.4999999999999997E-3</v>
      </c>
      <c r="Z109" s="77">
        <f>IF(H109="ja",Y109,0)</f>
        <v>0</v>
      </c>
      <c r="AA109" s="78"/>
      <c r="AB109" s="213">
        <f t="shared" si="1"/>
        <v>0</v>
      </c>
      <c r="AF109" s="68"/>
      <c r="AG109" s="68"/>
      <c r="AH109" s="68"/>
      <c r="AI109" s="68"/>
      <c r="AJ109" s="68"/>
      <c r="AK109" s="68"/>
    </row>
    <row r="110" spans="1:37" ht="15" customHeight="1" thickBot="1" x14ac:dyDescent="0.3">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213">
        <f t="shared" si="1"/>
        <v>0</v>
      </c>
      <c r="AF110" s="68"/>
      <c r="AG110" s="68"/>
      <c r="AH110" s="68"/>
      <c r="AI110" s="68"/>
      <c r="AJ110" s="68"/>
      <c r="AK110" s="68"/>
    </row>
    <row r="111" spans="1:37" ht="15" customHeight="1" thickBot="1" x14ac:dyDescent="0.3">
      <c r="A111" s="1516"/>
      <c r="B111" s="1487" t="s">
        <v>401</v>
      </c>
      <c r="C111" s="1488"/>
      <c r="D111" s="1488"/>
      <c r="E111" s="1488"/>
      <c r="F111" s="1488"/>
      <c r="G111" s="1489"/>
      <c r="H111" s="981" t="s">
        <v>100</v>
      </c>
      <c r="I111" s="1017"/>
      <c r="J111" s="1029"/>
      <c r="K111" s="1030"/>
      <c r="L111" s="984"/>
      <c r="M111" s="985"/>
      <c r="N111" s="985"/>
      <c r="O111" s="985"/>
      <c r="P111" s="985"/>
      <c r="Q111" s="1548"/>
      <c r="R111" s="972"/>
      <c r="S111" s="973"/>
      <c r="T111" s="1258"/>
      <c r="U111" s="1337"/>
      <c r="Y111" s="74">
        <v>1E-3</v>
      </c>
      <c r="Z111" s="77">
        <f>IF(H111="ja",Y111,0)</f>
        <v>0</v>
      </c>
      <c r="AA111" s="78"/>
      <c r="AB111" s="213">
        <f t="shared" si="1"/>
        <v>0</v>
      </c>
      <c r="AF111" s="68"/>
      <c r="AG111" s="68"/>
      <c r="AH111" s="68"/>
      <c r="AI111" s="68"/>
      <c r="AJ111" s="68"/>
      <c r="AK111" s="68"/>
    </row>
    <row r="112" spans="1:37" ht="15" customHeight="1" thickBot="1" x14ac:dyDescent="0.3">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213">
        <f t="shared" si="1"/>
        <v>0</v>
      </c>
      <c r="AF112" s="68"/>
      <c r="AG112" s="68"/>
      <c r="AH112" s="68"/>
      <c r="AI112" s="68"/>
      <c r="AJ112" s="68"/>
      <c r="AK112" s="68"/>
    </row>
    <row r="113" spans="1:37" ht="15" customHeight="1" thickBot="1" x14ac:dyDescent="0.3">
      <c r="A113" s="1516"/>
      <c r="B113" s="1487" t="s">
        <v>171</v>
      </c>
      <c r="C113" s="1488"/>
      <c r="D113" s="1488"/>
      <c r="E113" s="1488"/>
      <c r="F113" s="1488"/>
      <c r="G113" s="1489"/>
      <c r="H113" s="981" t="s">
        <v>100</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0</v>
      </c>
      <c r="AA113" s="78"/>
      <c r="AB113" s="213">
        <f t="shared" si="1"/>
        <v>0</v>
      </c>
      <c r="AF113" s="68"/>
      <c r="AG113" s="68"/>
      <c r="AH113" s="68"/>
      <c r="AI113" s="68"/>
      <c r="AJ113" s="68"/>
      <c r="AK113" s="68"/>
    </row>
    <row r="114" spans="1:37" ht="15" customHeight="1" thickBot="1" x14ac:dyDescent="0.3">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213">
        <f t="shared" si="1"/>
        <v>0</v>
      </c>
      <c r="AF114" s="68"/>
      <c r="AG114" s="68"/>
      <c r="AH114" s="68"/>
      <c r="AI114" s="68"/>
      <c r="AJ114" s="68"/>
      <c r="AK114" s="68"/>
    </row>
    <row r="115" spans="1:37"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552"/>
      <c r="S115" s="1553"/>
      <c r="T115" s="1567"/>
      <c r="U115" s="1567"/>
      <c r="Y115" s="74"/>
      <c r="Z115" s="152">
        <f>SUM(Z82:Z113)</f>
        <v>0</v>
      </c>
      <c r="AA115" s="78"/>
      <c r="AB115" s="213">
        <f t="shared" si="1"/>
        <v>0</v>
      </c>
      <c r="AF115" s="68"/>
      <c r="AG115" s="68"/>
      <c r="AH115" s="68"/>
      <c r="AI115" s="68"/>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550"/>
      <c r="R116" s="1554"/>
      <c r="S116" s="1555"/>
      <c r="T116" s="1568"/>
      <c r="U116" s="1568"/>
      <c r="AA116" s="78"/>
      <c r="AB116" s="213">
        <f t="shared" si="1"/>
        <v>0</v>
      </c>
      <c r="AF116" s="68"/>
      <c r="AG116" s="68"/>
      <c r="AH116" s="68"/>
      <c r="AI116" s="68"/>
      <c r="AJ116" s="68"/>
      <c r="AK116" s="68"/>
    </row>
    <row r="117" spans="1:37"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556"/>
      <c r="S117" s="1557"/>
      <c r="T117" s="1568"/>
      <c r="U117" s="1569"/>
      <c r="AA117" s="78"/>
      <c r="AB117" s="213">
        <f t="shared" si="1"/>
        <v>0</v>
      </c>
      <c r="AF117" s="68"/>
      <c r="AG117" s="68"/>
      <c r="AH117" s="68"/>
      <c r="AI117" s="68"/>
      <c r="AJ117" s="68"/>
      <c r="AK117" s="68"/>
    </row>
    <row r="118" spans="1:37"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213">
        <f t="shared" si="1"/>
        <v>0</v>
      </c>
      <c r="AF118" s="68"/>
      <c r="AG118" s="68"/>
      <c r="AH118" s="68"/>
      <c r="AI118" s="68"/>
      <c r="AJ118" s="68"/>
      <c r="AK118" s="68"/>
    </row>
    <row r="119" spans="1:37" ht="15" customHeight="1" thickBot="1" x14ac:dyDescent="0.3">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213">
        <f t="shared" si="1"/>
        <v>0</v>
      </c>
      <c r="AF119" s="68"/>
      <c r="AG119" s="68"/>
      <c r="AH119" s="68"/>
      <c r="AI119" s="68"/>
      <c r="AJ119" s="68"/>
      <c r="AK119" s="68"/>
    </row>
    <row r="120" spans="1:37" ht="15" customHeight="1" thickBot="1" x14ac:dyDescent="0.3">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213">
        <f t="shared" si="1"/>
        <v>0</v>
      </c>
      <c r="AF120" s="68"/>
      <c r="AG120" s="68"/>
      <c r="AH120" s="68"/>
      <c r="AI120" s="68"/>
      <c r="AJ120" s="68"/>
      <c r="AK120" s="68"/>
    </row>
    <row r="121" spans="1:37" ht="15" customHeight="1" thickBot="1" x14ac:dyDescent="0.3">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213">
        <f t="shared" si="1"/>
        <v>0</v>
      </c>
      <c r="AF121" s="68"/>
      <c r="AG121" s="68"/>
      <c r="AH121" s="68"/>
      <c r="AI121" s="68"/>
      <c r="AJ121" s="68"/>
      <c r="AK121" s="68"/>
    </row>
    <row r="122" spans="1:37" ht="15" customHeight="1" thickBot="1" x14ac:dyDescent="0.3">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213">
        <f t="shared" si="1"/>
        <v>0</v>
      </c>
      <c r="AF122" s="68"/>
      <c r="AG122" s="68"/>
      <c r="AH122" s="68"/>
      <c r="AI122" s="68"/>
      <c r="AJ122" s="68"/>
      <c r="AK122" s="68"/>
    </row>
    <row r="123" spans="1:37" ht="15" customHeight="1" thickBot="1" x14ac:dyDescent="0.3">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213">
        <f t="shared" si="1"/>
        <v>0</v>
      </c>
      <c r="AF123" s="68"/>
      <c r="AG123" s="68"/>
      <c r="AH123" s="68"/>
      <c r="AI123" s="68"/>
      <c r="AJ123" s="68"/>
      <c r="AK123" s="68"/>
    </row>
    <row r="124" spans="1:37" ht="15" customHeight="1" thickBot="1" x14ac:dyDescent="0.3">
      <c r="A124" s="1516"/>
      <c r="B124" s="1487" t="s">
        <v>403</v>
      </c>
      <c r="C124" s="1488"/>
      <c r="D124" s="1488"/>
      <c r="E124" s="1488"/>
      <c r="F124" s="1488"/>
      <c r="G124" s="1489"/>
      <c r="H124" s="981" t="s">
        <v>100</v>
      </c>
      <c r="I124" s="1017"/>
      <c r="J124" s="1029"/>
      <c r="K124" s="1030"/>
      <c r="L124" s="984"/>
      <c r="M124" s="985"/>
      <c r="N124" s="985"/>
      <c r="O124" s="985"/>
      <c r="P124" s="985"/>
      <c r="Q124" s="1548"/>
      <c r="R124" s="972"/>
      <c r="S124" s="973"/>
      <c r="T124" s="1258"/>
      <c r="U124" s="1337"/>
      <c r="Y124" s="74">
        <v>2.5000000000000001E-3</v>
      </c>
      <c r="Z124" s="77">
        <f>IF(H124="ja",Y124,0)</f>
        <v>0</v>
      </c>
      <c r="AA124" s="77"/>
      <c r="AB124" s="213">
        <f t="shared" si="1"/>
        <v>0</v>
      </c>
      <c r="AF124" s="68"/>
      <c r="AG124" s="68"/>
      <c r="AH124" s="68"/>
      <c r="AI124" s="68"/>
      <c r="AJ124" s="68"/>
      <c r="AK124" s="68"/>
    </row>
    <row r="125" spans="1:37" ht="15" customHeight="1" thickBot="1" x14ac:dyDescent="0.3">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213">
        <f t="shared" si="1"/>
        <v>0</v>
      </c>
      <c r="AF125" s="68"/>
      <c r="AG125" s="68"/>
      <c r="AH125" s="68"/>
      <c r="AI125" s="68"/>
      <c r="AJ125" s="68"/>
      <c r="AK125" s="68"/>
    </row>
    <row r="126" spans="1:37" ht="15" customHeight="1" thickBot="1" x14ac:dyDescent="0.3">
      <c r="A126" s="1516"/>
      <c r="B126" s="1490"/>
      <c r="C126" s="1491"/>
      <c r="D126" s="1491"/>
      <c r="E126" s="1491"/>
      <c r="F126" s="1491"/>
      <c r="G126" s="1492"/>
      <c r="H126" s="983"/>
      <c r="I126" s="1018"/>
      <c r="J126" s="1031"/>
      <c r="K126" s="1032"/>
      <c r="L126" s="1559"/>
      <c r="M126" s="1560"/>
      <c r="N126" s="1560"/>
      <c r="O126" s="1560"/>
      <c r="P126" s="1560"/>
      <c r="Q126" s="1548"/>
      <c r="R126" s="972"/>
      <c r="S126" s="973"/>
      <c r="T126" s="1259"/>
      <c r="U126" s="1337"/>
      <c r="V126" s="339"/>
      <c r="Y126" s="74"/>
      <c r="Z126" s="77"/>
      <c r="AA126" s="78"/>
      <c r="AB126" s="213">
        <f t="shared" si="1"/>
        <v>0</v>
      </c>
      <c r="AF126" s="68"/>
      <c r="AG126" s="68"/>
      <c r="AH126" s="68"/>
      <c r="AI126" s="68"/>
      <c r="AJ126" s="68"/>
      <c r="AK126" s="68"/>
    </row>
    <row r="127" spans="1:37"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213">
        <f t="shared" si="1"/>
        <v>0</v>
      </c>
      <c r="AF127" s="68"/>
      <c r="AG127" s="68"/>
      <c r="AH127" s="68"/>
      <c r="AI127" s="68"/>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213">
        <f t="shared" si="1"/>
        <v>0</v>
      </c>
      <c r="AF128" s="68"/>
      <c r="AG128" s="68"/>
      <c r="AH128" s="68"/>
      <c r="AI128" s="68"/>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213">
        <f t="shared" si="1"/>
        <v>0</v>
      </c>
      <c r="AF129" s="68"/>
      <c r="AG129" s="68"/>
      <c r="AH129" s="68"/>
      <c r="AI129" s="68"/>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213">
        <f t="shared" si="1"/>
        <v>0</v>
      </c>
      <c r="AF130" s="68"/>
      <c r="AG130" s="68"/>
      <c r="AH130" s="68"/>
      <c r="AI130" s="68"/>
      <c r="AJ130" s="68"/>
      <c r="AK130" s="68"/>
    </row>
    <row r="131" spans="1:37" ht="14.25" customHeight="1" x14ac:dyDescent="0.25">
      <c r="A131" s="1523"/>
      <c r="B131" s="1493"/>
      <c r="C131" s="1317"/>
      <c r="D131" s="1317"/>
      <c r="E131" s="1317"/>
      <c r="F131" s="1317"/>
      <c r="G131" s="1494"/>
      <c r="H131" s="982"/>
      <c r="I131" s="1663"/>
      <c r="J131" s="1528"/>
      <c r="K131" s="1529"/>
      <c r="L131" s="984" t="s">
        <v>406</v>
      </c>
      <c r="M131" s="985"/>
      <c r="N131" s="985"/>
      <c r="O131" s="985"/>
      <c r="P131" s="985"/>
      <c r="Q131" s="978" t="s">
        <v>100</v>
      </c>
      <c r="R131" s="972"/>
      <c r="S131" s="973"/>
      <c r="T131" s="1621"/>
      <c r="U131" s="1372"/>
      <c r="V131" s="72">
        <f>IF(AND(Q131="ja",R131=""),1,0)</f>
        <v>0</v>
      </c>
      <c r="Y131" s="74"/>
      <c r="Z131" s="77"/>
      <c r="AA131" s="78"/>
      <c r="AB131" s="213">
        <f t="shared" si="1"/>
        <v>0</v>
      </c>
      <c r="AF131" s="68"/>
      <c r="AG131" s="68"/>
      <c r="AH131" s="68"/>
      <c r="AI131" s="68"/>
      <c r="AJ131" s="68"/>
      <c r="AK131" s="68"/>
    </row>
    <row r="132" spans="1:37" ht="14.25" customHeight="1" x14ac:dyDescent="0.25">
      <c r="A132" s="1523"/>
      <c r="B132" s="1490"/>
      <c r="C132" s="1491"/>
      <c r="D132" s="1491"/>
      <c r="E132" s="1491"/>
      <c r="F132" s="1491"/>
      <c r="G132" s="1492"/>
      <c r="H132" s="983"/>
      <c r="I132" s="1663"/>
      <c r="J132" s="1528"/>
      <c r="K132" s="1529"/>
      <c r="L132" s="984"/>
      <c r="M132" s="985"/>
      <c r="N132" s="985"/>
      <c r="O132" s="985"/>
      <c r="P132" s="985"/>
      <c r="Q132" s="978"/>
      <c r="R132" s="972"/>
      <c r="S132" s="973"/>
      <c r="T132" s="1621"/>
      <c r="U132" s="1372"/>
      <c r="Y132" s="74"/>
      <c r="Z132" s="77"/>
      <c r="AA132" s="78"/>
      <c r="AB132" s="213">
        <f t="shared" si="1"/>
        <v>0</v>
      </c>
      <c r="AF132" s="68"/>
      <c r="AG132" s="68"/>
      <c r="AH132" s="68"/>
      <c r="AI132" s="68"/>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213">
        <f t="shared" si="1"/>
        <v>0</v>
      </c>
      <c r="AF133" s="68"/>
      <c r="AG133" s="68"/>
      <c r="AH133" s="68"/>
      <c r="AI133" s="68"/>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213">
        <f t="shared" si="1"/>
        <v>0</v>
      </c>
      <c r="AF134" s="68"/>
      <c r="AG134" s="68"/>
      <c r="AH134" s="68"/>
      <c r="AI134" s="68"/>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213">
        <f t="shared" si="1"/>
        <v>0</v>
      </c>
      <c r="AF135" s="68"/>
      <c r="AG135" s="68"/>
      <c r="AH135" s="68"/>
      <c r="AI135" s="68"/>
      <c r="AJ135" s="68"/>
      <c r="AK135" s="68"/>
    </row>
    <row r="136" spans="1:37"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972"/>
      <c r="S136" s="973"/>
      <c r="T136" s="1621"/>
      <c r="U136" s="1372"/>
      <c r="V136" s="72">
        <f>IF(AND(Q136="ja",R136=""),1,0)</f>
        <v>0</v>
      </c>
      <c r="AA136" s="78"/>
      <c r="AB136" s="213">
        <f t="shared" si="1"/>
        <v>0</v>
      </c>
      <c r="AF136" s="68"/>
      <c r="AG136" s="68"/>
      <c r="AH136" s="68"/>
      <c r="AI136" s="68"/>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213">
        <f t="shared" si="1"/>
        <v>0</v>
      </c>
      <c r="AF137" s="68"/>
      <c r="AG137" s="68"/>
      <c r="AH137" s="68"/>
      <c r="AI137" s="68"/>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213">
        <f t="shared" si="1"/>
        <v>0</v>
      </c>
      <c r="AF138" s="68"/>
      <c r="AG138" s="68"/>
      <c r="AH138" s="68"/>
      <c r="AI138" s="68"/>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213">
        <f t="shared" si="1"/>
        <v>0</v>
      </c>
      <c r="AF139" s="68"/>
      <c r="AG139" s="68"/>
      <c r="AH139" s="68"/>
      <c r="AI139" s="68"/>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213">
        <f t="shared" si="1"/>
        <v>0</v>
      </c>
      <c r="AF140" s="68"/>
      <c r="AG140" s="68"/>
      <c r="AH140" s="68"/>
      <c r="AI140" s="68"/>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213">
        <f t="shared" si="1"/>
        <v>0</v>
      </c>
      <c r="AF141" s="68"/>
      <c r="AG141" s="68"/>
      <c r="AH141" s="68"/>
      <c r="AI141" s="68"/>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213">
        <f t="shared" si="1"/>
        <v>0</v>
      </c>
      <c r="AF142" s="68"/>
      <c r="AG142" s="68"/>
      <c r="AH142" s="68"/>
      <c r="AI142" s="68"/>
      <c r="AJ142" s="68"/>
      <c r="AK142" s="68"/>
    </row>
    <row r="143" spans="1:37" x14ac:dyDescent="0.25">
      <c r="A143" s="496" t="s">
        <v>210</v>
      </c>
      <c r="B143" s="1103" t="s">
        <v>409</v>
      </c>
      <c r="C143" s="1104"/>
      <c r="D143" s="1104"/>
      <c r="E143" s="1104"/>
      <c r="F143" s="1104"/>
      <c r="G143" s="1105"/>
      <c r="H143" s="314" t="s">
        <v>100</v>
      </c>
      <c r="I143" s="328">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213">
        <f t="shared" si="1"/>
        <v>0</v>
      </c>
      <c r="AF143" s="68"/>
      <c r="AG143" s="68"/>
      <c r="AH143" s="68"/>
      <c r="AI143" s="68"/>
      <c r="AJ143" s="68"/>
      <c r="AK143" s="68"/>
    </row>
    <row r="144" spans="1:37" x14ac:dyDescent="0.25">
      <c r="A144" s="496" t="s">
        <v>212</v>
      </c>
      <c r="B144" s="1103" t="s">
        <v>410</v>
      </c>
      <c r="C144" s="1104"/>
      <c r="D144" s="1104"/>
      <c r="E144" s="1104"/>
      <c r="F144" s="1104"/>
      <c r="G144" s="1105"/>
      <c r="H144" s="314" t="s">
        <v>100</v>
      </c>
      <c r="I144" s="328">
        <f>Z144</f>
        <v>0</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0</v>
      </c>
      <c r="AA144" s="78"/>
      <c r="AB144" s="213">
        <f t="shared" si="1"/>
        <v>0</v>
      </c>
      <c r="AF144" s="68"/>
      <c r="AG144" s="68"/>
      <c r="AH144" s="68"/>
      <c r="AI144" s="68"/>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213">
        <f t="shared" si="1"/>
        <v>0</v>
      </c>
      <c r="AF145" s="68"/>
      <c r="AG145" s="68"/>
      <c r="AH145" s="68"/>
      <c r="AI145" s="68"/>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213">
        <f t="shared" si="1"/>
        <v>0</v>
      </c>
      <c r="AF146" s="68"/>
      <c r="AG146" s="68"/>
      <c r="AH146" s="68"/>
      <c r="AI146" s="68"/>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213">
        <f t="shared" si="1"/>
        <v>0</v>
      </c>
      <c r="AF147" s="68"/>
      <c r="AG147" s="68"/>
      <c r="AH147" s="68"/>
      <c r="AI147" s="68"/>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213">
        <f t="shared" si="1"/>
        <v>0</v>
      </c>
      <c r="AF148" s="68"/>
      <c r="AG148" s="68"/>
      <c r="AH148" s="68"/>
      <c r="AI148" s="68"/>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213">
        <f t="shared" si="1"/>
        <v>0</v>
      </c>
      <c r="AF149" s="68"/>
      <c r="AG149" s="68"/>
      <c r="AH149" s="68"/>
      <c r="AI149" s="68"/>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213">
        <f t="shared" si="1"/>
        <v>0</v>
      </c>
      <c r="AF150" s="68"/>
      <c r="AG150" s="68"/>
      <c r="AH150" s="68"/>
      <c r="AI150" s="68"/>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213">
        <f t="shared" si="1"/>
        <v>0</v>
      </c>
      <c r="AF151" s="68"/>
      <c r="AG151" s="68"/>
      <c r="AH151" s="68"/>
      <c r="AI151" s="68"/>
      <c r="AJ151" s="68"/>
      <c r="AK151" s="68"/>
    </row>
    <row r="152" spans="1:37"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213">
        <f t="shared" si="1"/>
        <v>0</v>
      </c>
      <c r="AF152" s="68"/>
      <c r="AG152" s="68"/>
      <c r="AH152" s="68"/>
      <c r="AI152" s="68"/>
      <c r="AJ152" s="68"/>
      <c r="AK152" s="68"/>
    </row>
    <row r="153" spans="1:37" ht="14.55" thickBot="1" x14ac:dyDescent="0.3">
      <c r="A153" s="1595" t="s">
        <v>486</v>
      </c>
      <c r="B153" s="1511" t="s">
        <v>487</v>
      </c>
      <c r="C153" s="1512"/>
      <c r="D153" s="1512"/>
      <c r="E153" s="1512"/>
      <c r="F153" s="1512"/>
      <c r="G153" s="1513"/>
      <c r="H153" s="342"/>
      <c r="I153" s="1361"/>
      <c r="J153" s="1362"/>
      <c r="K153" s="1362"/>
      <c r="L153" s="1534">
        <f>SUM(Q128:R152)</f>
        <v>0</v>
      </c>
      <c r="M153" s="1535"/>
      <c r="N153" s="1535"/>
      <c r="O153" s="1535"/>
      <c r="P153" s="1535"/>
      <c r="Q153" s="338"/>
      <c r="R153" s="1495"/>
      <c r="S153" s="1496"/>
      <c r="U153" s="334"/>
      <c r="Y153" s="74"/>
      <c r="Z153" s="152">
        <f>SUM(Z128:Z150)</f>
        <v>0</v>
      </c>
      <c r="AA153" s="78"/>
      <c r="AB153" s="213">
        <f t="shared" si="1"/>
        <v>0</v>
      </c>
      <c r="AF153" s="68"/>
      <c r="AG153" s="68"/>
      <c r="AH153" s="68"/>
      <c r="AI153" s="68"/>
      <c r="AJ153" s="68"/>
      <c r="AK153" s="68"/>
    </row>
    <row r="154" spans="1:37" ht="15" customHeight="1" thickBot="1" x14ac:dyDescent="0.3">
      <c r="A154" s="1595"/>
      <c r="B154" s="1497" t="s">
        <v>415</v>
      </c>
      <c r="C154" s="1498"/>
      <c r="D154" s="1498"/>
      <c r="E154" s="1498"/>
      <c r="F154" s="1498"/>
      <c r="G154" s="1499"/>
      <c r="H154" s="1194" t="s">
        <v>100</v>
      </c>
      <c r="I154" s="1016">
        <f>Z178</f>
        <v>0</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213">
        <f t="shared" si="1"/>
        <v>0</v>
      </c>
      <c r="AF154" s="68"/>
      <c r="AG154" s="68"/>
      <c r="AH154" s="68"/>
      <c r="AI154" s="68"/>
      <c r="AJ154" s="68"/>
      <c r="AK154" s="68"/>
    </row>
    <row r="155" spans="1:37" ht="15" customHeight="1" thickBot="1" x14ac:dyDescent="0.3">
      <c r="A155" s="159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213">
        <f t="shared" si="1"/>
        <v>0</v>
      </c>
      <c r="AF155" s="68"/>
      <c r="AG155" s="68"/>
      <c r="AH155" s="68"/>
      <c r="AI155" s="68"/>
      <c r="AJ155" s="68"/>
      <c r="AK155" s="68"/>
    </row>
    <row r="156" spans="1:37" ht="15" customHeight="1" thickBot="1" x14ac:dyDescent="0.3">
      <c r="A156" s="159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213">
        <f t="shared" si="1"/>
        <v>0</v>
      </c>
      <c r="AF156" s="68"/>
      <c r="AG156" s="68"/>
      <c r="AH156" s="68"/>
      <c r="AI156" s="68"/>
      <c r="AJ156" s="68"/>
      <c r="AK156" s="68"/>
    </row>
    <row r="157" spans="1:37" ht="15" customHeight="1" thickBot="1" x14ac:dyDescent="0.3">
      <c r="A157" s="1595"/>
      <c r="B157" s="1487" t="s">
        <v>417</v>
      </c>
      <c r="C157" s="1488"/>
      <c r="D157" s="1488"/>
      <c r="E157" s="1488"/>
      <c r="F157" s="1488"/>
      <c r="G157" s="1489"/>
      <c r="H157" s="981" t="s">
        <v>100</v>
      </c>
      <c r="I157" s="1017"/>
      <c r="J157" s="1029"/>
      <c r="K157" s="1030"/>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213">
        <f t="shared" si="1"/>
        <v>0</v>
      </c>
      <c r="AF157" s="68"/>
      <c r="AG157" s="68"/>
      <c r="AH157" s="68"/>
      <c r="AI157" s="68"/>
      <c r="AJ157" s="68"/>
      <c r="AK157" s="68"/>
    </row>
    <row r="158" spans="1:37" ht="15" customHeight="1" thickBot="1" x14ac:dyDescent="0.3">
      <c r="A158" s="159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213">
        <f t="shared" si="1"/>
        <v>0</v>
      </c>
      <c r="AF158" s="68"/>
      <c r="AG158" s="68"/>
      <c r="AH158" s="68"/>
      <c r="AI158" s="68"/>
      <c r="AJ158" s="68"/>
      <c r="AK158" s="68"/>
    </row>
    <row r="159" spans="1:37" ht="15" customHeight="1" thickBot="1" x14ac:dyDescent="0.3">
      <c r="A159" s="159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213">
        <f t="shared" si="1"/>
        <v>0</v>
      </c>
      <c r="AF159" s="68"/>
      <c r="AG159" s="68"/>
      <c r="AH159" s="68"/>
      <c r="AI159" s="68"/>
      <c r="AJ159" s="68"/>
      <c r="AK159" s="68"/>
    </row>
    <row r="160" spans="1:37" ht="15" customHeight="1" thickBot="1" x14ac:dyDescent="0.3">
      <c r="A160" s="159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213">
        <f t="shared" si="1"/>
        <v>0</v>
      </c>
      <c r="AF160" s="68"/>
      <c r="AG160" s="68"/>
      <c r="AH160" s="68"/>
      <c r="AI160" s="68"/>
      <c r="AJ160" s="68"/>
      <c r="AK160" s="68"/>
    </row>
    <row r="161" spans="1:37" ht="15" customHeight="1" thickBot="1" x14ac:dyDescent="0.3">
      <c r="A161" s="159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213">
        <f t="shared" si="1"/>
        <v>0</v>
      </c>
      <c r="AF161" s="68"/>
      <c r="AG161" s="68"/>
      <c r="AH161" s="68"/>
      <c r="AI161" s="68"/>
      <c r="AJ161" s="68"/>
      <c r="AK161" s="68"/>
    </row>
    <row r="162" spans="1:37" ht="15" customHeight="1" thickBot="1" x14ac:dyDescent="0.3">
      <c r="A162" s="159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213">
        <f t="shared" si="1"/>
        <v>0</v>
      </c>
      <c r="AF162" s="68"/>
      <c r="AG162" s="68"/>
      <c r="AH162" s="68"/>
      <c r="AI162" s="68"/>
      <c r="AJ162" s="68"/>
      <c r="AK162" s="68"/>
    </row>
    <row r="163" spans="1:37" ht="15" customHeight="1" thickBot="1" x14ac:dyDescent="0.3">
      <c r="A163" s="159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213">
        <f t="shared" si="1"/>
        <v>0</v>
      </c>
      <c r="AF163" s="68"/>
      <c r="AG163" s="68"/>
      <c r="AH163" s="68"/>
      <c r="AI163" s="68"/>
      <c r="AJ163" s="68"/>
      <c r="AK163" s="68"/>
    </row>
    <row r="164" spans="1:37" ht="15" customHeight="1" thickBot="1" x14ac:dyDescent="0.3">
      <c r="A164" s="159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213">
        <f t="shared" si="1"/>
        <v>0</v>
      </c>
      <c r="AF164" s="68"/>
      <c r="AG164" s="68"/>
      <c r="AH164" s="68"/>
      <c r="AI164" s="68"/>
      <c r="AJ164" s="68"/>
      <c r="AK164" s="68"/>
    </row>
    <row r="165" spans="1:37" ht="15" customHeight="1" thickBot="1" x14ac:dyDescent="0.3">
      <c r="A165" s="1595"/>
      <c r="B165" s="1493"/>
      <c r="C165" s="1317"/>
      <c r="D165" s="1317"/>
      <c r="E165" s="1317"/>
      <c r="F165" s="1317"/>
      <c r="G165" s="1494"/>
      <c r="H165" s="982"/>
      <c r="I165" s="1017"/>
      <c r="J165" s="1029"/>
      <c r="K165" s="1030"/>
      <c r="L165" s="1288"/>
      <c r="M165" s="1289"/>
      <c r="N165" s="1289"/>
      <c r="O165" s="1289"/>
      <c r="P165" s="1290"/>
      <c r="Q165" s="1003"/>
      <c r="R165" s="1007"/>
      <c r="S165" s="1008"/>
      <c r="T165" s="1258"/>
      <c r="U165" s="1337"/>
      <c r="Y165" s="74"/>
      <c r="Z165" s="77"/>
      <c r="AA165" s="78"/>
      <c r="AB165" s="213">
        <f t="shared" si="1"/>
        <v>0</v>
      </c>
      <c r="AF165" s="68"/>
      <c r="AG165" s="68"/>
      <c r="AH165" s="68"/>
      <c r="AI165" s="68"/>
      <c r="AJ165" s="68"/>
      <c r="AK165" s="68"/>
    </row>
    <row r="166" spans="1:37" ht="15" customHeight="1" thickBot="1" x14ac:dyDescent="0.3">
      <c r="A166" s="1595"/>
      <c r="B166" s="1493"/>
      <c r="C166" s="1317"/>
      <c r="D166" s="1317"/>
      <c r="E166" s="1317"/>
      <c r="F166" s="1317"/>
      <c r="G166" s="1494"/>
      <c r="H166" s="982"/>
      <c r="I166" s="1017"/>
      <c r="J166" s="1029"/>
      <c r="K166" s="1030"/>
      <c r="L166" s="1291"/>
      <c r="M166" s="1292"/>
      <c r="N166" s="1292"/>
      <c r="O166" s="1292"/>
      <c r="P166" s="1293"/>
      <c r="Q166" s="1295"/>
      <c r="R166" s="1269"/>
      <c r="S166" s="1270"/>
      <c r="T166" s="1258"/>
      <c r="U166" s="1337"/>
      <c r="Y166" s="74"/>
      <c r="Z166" s="77"/>
      <c r="AA166" s="78"/>
      <c r="AB166" s="213">
        <f t="shared" si="1"/>
        <v>0</v>
      </c>
      <c r="AF166" s="68"/>
      <c r="AG166" s="68"/>
      <c r="AH166" s="68"/>
      <c r="AI166" s="68"/>
      <c r="AJ166" s="68"/>
      <c r="AK166" s="68"/>
    </row>
    <row r="167" spans="1:37" ht="15" customHeight="1" thickBot="1" x14ac:dyDescent="0.3">
      <c r="A167" s="1595"/>
      <c r="B167" s="1490"/>
      <c r="C167" s="1491"/>
      <c r="D167" s="1491"/>
      <c r="E167" s="1491"/>
      <c r="F167" s="1491"/>
      <c r="G167" s="1492"/>
      <c r="H167" s="983"/>
      <c r="I167" s="1017"/>
      <c r="J167" s="1029"/>
      <c r="K167" s="1030"/>
      <c r="L167" s="1484" t="s">
        <v>419</v>
      </c>
      <c r="M167" s="1485"/>
      <c r="N167" s="1485"/>
      <c r="O167" s="1485"/>
      <c r="P167" s="1486"/>
      <c r="Q167" s="979" t="s">
        <v>100</v>
      </c>
      <c r="R167" s="1005"/>
      <c r="S167" s="1006"/>
      <c r="T167" s="1258"/>
      <c r="U167" s="1337"/>
      <c r="V167" s="72">
        <f>IF(AND(Q167="ja",R167=""),1,0)</f>
        <v>0</v>
      </c>
      <c r="Y167" s="74"/>
      <c r="Z167" s="77"/>
      <c r="AA167" s="78"/>
      <c r="AB167" s="213">
        <f t="shared" si="1"/>
        <v>0</v>
      </c>
      <c r="AF167" s="68"/>
      <c r="AG167" s="68"/>
      <c r="AH167" s="68"/>
      <c r="AI167" s="68"/>
      <c r="AJ167" s="68"/>
      <c r="AK167" s="68"/>
    </row>
    <row r="168" spans="1:37" ht="15" customHeight="1" thickBot="1" x14ac:dyDescent="0.3">
      <c r="A168" s="1595"/>
      <c r="B168" s="1487" t="s">
        <v>420</v>
      </c>
      <c r="C168" s="1488"/>
      <c r="D168" s="1488"/>
      <c r="E168" s="1488"/>
      <c r="F168" s="1488"/>
      <c r="G168" s="1489"/>
      <c r="H168" s="981" t="s">
        <v>100</v>
      </c>
      <c r="I168" s="1017"/>
      <c r="J168" s="1029"/>
      <c r="K168" s="1030"/>
      <c r="L168" s="1288"/>
      <c r="M168" s="1289"/>
      <c r="N168" s="1289"/>
      <c r="O168" s="1289"/>
      <c r="P168" s="1290"/>
      <c r="Q168" s="1003"/>
      <c r="R168" s="1007"/>
      <c r="S168" s="1008"/>
      <c r="T168" s="1258"/>
      <c r="U168" s="1337"/>
      <c r="Y168" s="74">
        <v>1E-3</v>
      </c>
      <c r="Z168" s="77">
        <f>IF(H168="ja",Y168,0)</f>
        <v>0</v>
      </c>
      <c r="AA168" s="78"/>
      <c r="AB168" s="213">
        <f t="shared" ref="AB168:AB231" si="2">IF(Q168="ja",1,0)</f>
        <v>0</v>
      </c>
      <c r="AF168" s="68"/>
      <c r="AG168" s="68"/>
      <c r="AH168" s="68"/>
      <c r="AI168" s="68"/>
      <c r="AJ168" s="68"/>
      <c r="AK168" s="68"/>
    </row>
    <row r="169" spans="1:37" ht="15" customHeight="1" thickBot="1" x14ac:dyDescent="0.3">
      <c r="A169" s="1595"/>
      <c r="B169" s="1493"/>
      <c r="C169" s="1317"/>
      <c r="D169" s="1317"/>
      <c r="E169" s="1317"/>
      <c r="F169" s="1317"/>
      <c r="G169" s="1494"/>
      <c r="H169" s="982"/>
      <c r="I169" s="1017"/>
      <c r="J169" s="1029"/>
      <c r="K169" s="1030"/>
      <c r="L169" s="1291"/>
      <c r="M169" s="1292"/>
      <c r="N169" s="1292"/>
      <c r="O169" s="1292"/>
      <c r="P169" s="1293"/>
      <c r="Q169" s="1295"/>
      <c r="R169" s="1269"/>
      <c r="S169" s="1270"/>
      <c r="T169" s="1258"/>
      <c r="U169" s="1337"/>
      <c r="Y169" s="74"/>
      <c r="Z169" s="77"/>
      <c r="AA169" s="78"/>
      <c r="AB169" s="213">
        <f t="shared" si="2"/>
        <v>0</v>
      </c>
      <c r="AF169" s="68"/>
      <c r="AG169" s="68"/>
      <c r="AH169" s="68"/>
      <c r="AI169" s="68"/>
      <c r="AJ169" s="68"/>
      <c r="AK169" s="68"/>
    </row>
    <row r="170" spans="1:37" ht="15" customHeight="1" thickBot="1" x14ac:dyDescent="0.3">
      <c r="A170" s="1595"/>
      <c r="B170" s="1490"/>
      <c r="C170" s="1491"/>
      <c r="D170" s="1491"/>
      <c r="E170" s="1491"/>
      <c r="F170" s="1491"/>
      <c r="G170" s="1492"/>
      <c r="H170" s="983"/>
      <c r="I170" s="1017"/>
      <c r="J170" s="1029"/>
      <c r="K170" s="1030"/>
      <c r="L170" s="1484" t="s">
        <v>228</v>
      </c>
      <c r="M170" s="1485"/>
      <c r="N170" s="1485"/>
      <c r="O170" s="1485"/>
      <c r="P170" s="1486"/>
      <c r="Q170" s="979" t="s">
        <v>100</v>
      </c>
      <c r="R170" s="1005"/>
      <c r="S170" s="1006"/>
      <c r="T170" s="1258"/>
      <c r="U170" s="1337"/>
      <c r="V170" s="72">
        <f>IF(AND(Q170="ja",R170=""),1,0)</f>
        <v>0</v>
      </c>
      <c r="Y170" s="74"/>
      <c r="Z170" s="77"/>
      <c r="AA170" s="78"/>
      <c r="AB170" s="213">
        <f t="shared" si="2"/>
        <v>0</v>
      </c>
      <c r="AF170" s="68"/>
      <c r="AG170" s="68"/>
      <c r="AH170" s="68"/>
      <c r="AI170" s="68"/>
      <c r="AJ170" s="68"/>
      <c r="AK170" s="68"/>
    </row>
    <row r="171" spans="1:37" ht="15" customHeight="1" thickBot="1" x14ac:dyDescent="0.3">
      <c r="A171" s="1595"/>
      <c r="B171" s="1487" t="s">
        <v>421</v>
      </c>
      <c r="C171" s="1488"/>
      <c r="D171" s="1488"/>
      <c r="E171" s="1488"/>
      <c r="F171" s="1488"/>
      <c r="G171" s="1489"/>
      <c r="H171" s="981" t="s">
        <v>100</v>
      </c>
      <c r="I171" s="1017"/>
      <c r="J171" s="1029"/>
      <c r="K171" s="1030"/>
      <c r="L171" s="1288"/>
      <c r="M171" s="1289"/>
      <c r="N171" s="1289"/>
      <c r="O171" s="1289"/>
      <c r="P171" s="1290"/>
      <c r="Q171" s="1003"/>
      <c r="R171" s="1007"/>
      <c r="S171" s="1008"/>
      <c r="T171" s="1258"/>
      <c r="U171" s="1337"/>
      <c r="Y171" s="74">
        <v>7.4999999999999997E-3</v>
      </c>
      <c r="Z171" s="77">
        <f>IF(H171="ja",Y171,0)</f>
        <v>0</v>
      </c>
      <c r="AA171" s="78"/>
      <c r="AB171" s="213">
        <f t="shared" si="2"/>
        <v>0</v>
      </c>
      <c r="AF171" s="68"/>
      <c r="AG171" s="68"/>
      <c r="AH171" s="68"/>
      <c r="AI171" s="68"/>
      <c r="AJ171" s="68"/>
      <c r="AK171" s="68"/>
    </row>
    <row r="172" spans="1:37" ht="15" customHeight="1" thickBot="1" x14ac:dyDescent="0.3">
      <c r="A172" s="1595"/>
      <c r="B172" s="1493"/>
      <c r="C172" s="1317"/>
      <c r="D172" s="1317"/>
      <c r="E172" s="1317"/>
      <c r="F172" s="1317"/>
      <c r="G172" s="1494"/>
      <c r="H172" s="982"/>
      <c r="I172" s="1017"/>
      <c r="J172" s="1029"/>
      <c r="K172" s="1030"/>
      <c r="L172" s="1288"/>
      <c r="M172" s="1289"/>
      <c r="N172" s="1289"/>
      <c r="O172" s="1289"/>
      <c r="P172" s="1290"/>
      <c r="Q172" s="1003"/>
      <c r="R172" s="1007"/>
      <c r="S172" s="1008"/>
      <c r="T172" s="1258"/>
      <c r="U172" s="1337"/>
      <c r="Y172" s="74"/>
      <c r="Z172" s="77"/>
      <c r="AA172" s="78"/>
      <c r="AB172" s="213">
        <f t="shared" si="2"/>
        <v>0</v>
      </c>
      <c r="AF172" s="68"/>
      <c r="AG172" s="68"/>
      <c r="AH172" s="68"/>
      <c r="AI172" s="68"/>
      <c r="AJ172" s="68"/>
      <c r="AK172" s="68"/>
    </row>
    <row r="173" spans="1:37" ht="15" customHeight="1" thickBot="1" x14ac:dyDescent="0.3">
      <c r="A173" s="1595"/>
      <c r="B173" s="1490"/>
      <c r="C173" s="1491"/>
      <c r="D173" s="1491"/>
      <c r="E173" s="1491"/>
      <c r="F173" s="1491"/>
      <c r="G173" s="1492"/>
      <c r="H173" s="983"/>
      <c r="I173" s="1017"/>
      <c r="J173" s="1029"/>
      <c r="K173" s="1030"/>
      <c r="L173" s="1291"/>
      <c r="M173" s="1292"/>
      <c r="N173" s="1292"/>
      <c r="O173" s="1292"/>
      <c r="P173" s="1293"/>
      <c r="Q173" s="1295"/>
      <c r="R173" s="1269"/>
      <c r="S173" s="1270"/>
      <c r="T173" s="1258"/>
      <c r="U173" s="1337"/>
      <c r="Y173" s="74"/>
      <c r="Z173" s="77"/>
      <c r="AA173" s="78"/>
      <c r="AB173" s="213">
        <f t="shared" si="2"/>
        <v>0</v>
      </c>
      <c r="AF173" s="68"/>
      <c r="AG173" s="68"/>
      <c r="AH173" s="68"/>
      <c r="AI173" s="68"/>
      <c r="AJ173" s="68"/>
      <c r="AK173" s="68"/>
    </row>
    <row r="174" spans="1:37" ht="15" customHeight="1" thickBot="1" x14ac:dyDescent="0.3">
      <c r="A174" s="1595"/>
      <c r="B174" s="1487" t="s">
        <v>226</v>
      </c>
      <c r="C174" s="1488"/>
      <c r="D174" s="1488"/>
      <c r="E174" s="1488"/>
      <c r="F174" s="1488"/>
      <c r="G174" s="1489"/>
      <c r="H174" s="981" t="s">
        <v>100</v>
      </c>
      <c r="I174" s="1017"/>
      <c r="J174" s="1029"/>
      <c r="K174" s="1030"/>
      <c r="L174" s="1484"/>
      <c r="M174" s="1485"/>
      <c r="N174" s="1485"/>
      <c r="O174" s="1485"/>
      <c r="P174" s="1486"/>
      <c r="Q174" s="979" t="s">
        <v>100</v>
      </c>
      <c r="R174" s="1005"/>
      <c r="S174" s="1006"/>
      <c r="T174" s="1258"/>
      <c r="U174" s="1337"/>
      <c r="V174" s="72">
        <f>IF(AND(Q174="ja",R174=""),1,0)</f>
        <v>0</v>
      </c>
      <c r="Y174" s="74">
        <v>1E-3</v>
      </c>
      <c r="Z174" s="77">
        <f>IF(H174="ja",Y174,0)</f>
        <v>0</v>
      </c>
      <c r="AA174" s="78"/>
      <c r="AB174" s="213">
        <f t="shared" si="2"/>
        <v>0</v>
      </c>
      <c r="AF174" s="68"/>
      <c r="AG174" s="68"/>
      <c r="AH174" s="68"/>
      <c r="AI174" s="68"/>
      <c r="AJ174" s="68"/>
      <c r="AK174" s="68"/>
    </row>
    <row r="175" spans="1:37" ht="15" customHeight="1" thickBot="1" x14ac:dyDescent="0.3">
      <c r="A175" s="1595"/>
      <c r="B175" s="1493"/>
      <c r="C175" s="1317"/>
      <c r="D175" s="1317"/>
      <c r="E175" s="1317"/>
      <c r="F175" s="1317"/>
      <c r="G175" s="1494"/>
      <c r="H175" s="982"/>
      <c r="I175" s="1017"/>
      <c r="J175" s="1029"/>
      <c r="K175" s="1030"/>
      <c r="L175" s="1288"/>
      <c r="M175" s="1289"/>
      <c r="N175" s="1289"/>
      <c r="O175" s="1289"/>
      <c r="P175" s="1290"/>
      <c r="Q175" s="1003"/>
      <c r="R175" s="1007"/>
      <c r="S175" s="1008"/>
      <c r="T175" s="1258"/>
      <c r="U175" s="1337"/>
      <c r="Y175" s="74"/>
      <c r="Z175" s="77"/>
      <c r="AA175" s="77"/>
      <c r="AB175" s="213">
        <f t="shared" si="2"/>
        <v>0</v>
      </c>
      <c r="AF175" s="68"/>
      <c r="AG175" s="68"/>
      <c r="AH175" s="68"/>
      <c r="AI175" s="68"/>
      <c r="AJ175" s="68"/>
      <c r="AK175" s="68"/>
    </row>
    <row r="176" spans="1:37" ht="15" customHeight="1" thickBot="1" x14ac:dyDescent="0.3">
      <c r="A176" s="1595"/>
      <c r="B176" s="1490"/>
      <c r="C176" s="1491"/>
      <c r="D176" s="1491"/>
      <c r="E176" s="1491"/>
      <c r="F176" s="1491"/>
      <c r="G176" s="1492"/>
      <c r="H176" s="983"/>
      <c r="I176" s="1017"/>
      <c r="J176" s="1029"/>
      <c r="K176" s="1030"/>
      <c r="L176" s="1291"/>
      <c r="M176" s="1292"/>
      <c r="N176" s="1292"/>
      <c r="O176" s="1292"/>
      <c r="P176" s="1293"/>
      <c r="Q176" s="1295"/>
      <c r="R176" s="1269"/>
      <c r="S176" s="1270"/>
      <c r="T176" s="1258"/>
      <c r="U176" s="1337"/>
      <c r="Y176" s="74"/>
      <c r="Z176" s="77"/>
      <c r="AA176" s="78"/>
      <c r="AB176" s="213">
        <f t="shared" si="2"/>
        <v>0</v>
      </c>
      <c r="AF176" s="68"/>
      <c r="AG176" s="68"/>
      <c r="AH176" s="68"/>
      <c r="AI176" s="68"/>
      <c r="AJ176" s="68"/>
      <c r="AK176" s="68"/>
    </row>
    <row r="177" spans="1:37" ht="15" customHeight="1" thickBot="1" x14ac:dyDescent="0.3">
      <c r="A177" s="1595"/>
      <c r="B177" s="1103" t="s">
        <v>422</v>
      </c>
      <c r="C177" s="1104"/>
      <c r="D177" s="1104"/>
      <c r="E177" s="1104"/>
      <c r="F177" s="1104"/>
      <c r="G177" s="1105"/>
      <c r="H177" s="314" t="s">
        <v>100</v>
      </c>
      <c r="I177" s="1018"/>
      <c r="J177" s="1031"/>
      <c r="K177" s="1032"/>
      <c r="L177" s="1577"/>
      <c r="M177" s="1578"/>
      <c r="N177" s="1578"/>
      <c r="O177" s="1578"/>
      <c r="P177" s="1579"/>
      <c r="Q177" s="329" t="s">
        <v>100</v>
      </c>
      <c r="R177" s="1623"/>
      <c r="S177" s="1624"/>
      <c r="T177" s="1259"/>
      <c r="U177" s="1337"/>
      <c r="V177" s="72">
        <f>IF(AND(Q177="ja",R177=""),1,0)</f>
        <v>0</v>
      </c>
      <c r="Y177" s="74">
        <v>1E-3</v>
      </c>
      <c r="Z177" s="77">
        <f>IF(H177="ja",Y177,0)</f>
        <v>0</v>
      </c>
      <c r="AA177" s="78"/>
      <c r="AB177" s="213">
        <f t="shared" si="2"/>
        <v>0</v>
      </c>
      <c r="AF177" s="68"/>
      <c r="AG177" s="68"/>
      <c r="AH177" s="68"/>
      <c r="AI177" s="68"/>
      <c r="AJ177" s="68"/>
      <c r="AK177" s="68"/>
    </row>
    <row r="178" spans="1:37" ht="14.55" thickBot="1" x14ac:dyDescent="0.3">
      <c r="A178" s="1595"/>
      <c r="B178" s="1511" t="s">
        <v>229</v>
      </c>
      <c r="C178" s="1512"/>
      <c r="D178" s="1512"/>
      <c r="E178" s="1512"/>
      <c r="F178" s="1512"/>
      <c r="G178" s="1513"/>
      <c r="H178" s="342"/>
      <c r="I178" s="1361"/>
      <c r="J178" s="1362"/>
      <c r="K178" s="1576"/>
      <c r="L178" s="1534">
        <f>SUM(R154:S177)</f>
        <v>0</v>
      </c>
      <c r="M178" s="1535"/>
      <c r="N178" s="1535"/>
      <c r="O178" s="1535"/>
      <c r="P178" s="1535"/>
      <c r="Q178" s="338"/>
      <c r="R178" s="1495"/>
      <c r="S178" s="1496"/>
      <c r="U178" s="334"/>
      <c r="Y178" s="74"/>
      <c r="Z178" s="152">
        <f>SUM(Z154:Z177)</f>
        <v>0</v>
      </c>
      <c r="AA178" s="78"/>
      <c r="AB178" s="213">
        <f t="shared" si="2"/>
        <v>0</v>
      </c>
      <c r="AF178" s="68"/>
      <c r="AG178" s="68"/>
      <c r="AH178" s="68"/>
      <c r="AI178" s="68"/>
      <c r="AJ178" s="68"/>
      <c r="AK178" s="68"/>
    </row>
    <row r="179" spans="1:37" ht="15" customHeight="1" thickBot="1" x14ac:dyDescent="0.3">
      <c r="A179" s="1595"/>
      <c r="B179" s="1103" t="s">
        <v>233</v>
      </c>
      <c r="C179" s="1104"/>
      <c r="D179" s="1104"/>
      <c r="E179" s="1104"/>
      <c r="F179" s="1104"/>
      <c r="G179" s="1105"/>
      <c r="H179" s="314" t="s">
        <v>100</v>
      </c>
      <c r="I179" s="1016">
        <f>Z193</f>
        <v>0</v>
      </c>
      <c r="J179" s="1027">
        <f>I115*I179</f>
        <v>0</v>
      </c>
      <c r="K179" s="1028"/>
      <c r="L179" s="984" t="s">
        <v>423</v>
      </c>
      <c r="M179" s="985"/>
      <c r="N179" s="985"/>
      <c r="O179" s="985"/>
      <c r="P179" s="985"/>
      <c r="Q179" s="978" t="s">
        <v>100</v>
      </c>
      <c r="R179" s="972"/>
      <c r="S179" s="973"/>
      <c r="T179" s="1257" t="str">
        <f>IFERROR(IF((VLOOKUP(U179,Überblick!$M$125:$N$133,2))="ja","ja","nein"),"")</f>
        <v/>
      </c>
      <c r="U179" s="1337"/>
      <c r="V179" s="72">
        <f>IF(AND(Q179="ja",R179=""),1,0)</f>
        <v>0</v>
      </c>
      <c r="Y179" s="74">
        <v>1E-3</v>
      </c>
      <c r="Z179" s="77">
        <f>IF(H179="ja",Y179,0)</f>
        <v>0</v>
      </c>
      <c r="AA179" s="78"/>
      <c r="AB179" s="213">
        <f t="shared" si="2"/>
        <v>0</v>
      </c>
      <c r="AF179" s="68"/>
      <c r="AG179" s="68"/>
      <c r="AH179" s="68"/>
      <c r="AI179" s="68"/>
      <c r="AJ179" s="68"/>
      <c r="AK179" s="68"/>
    </row>
    <row r="180" spans="1:37" ht="15" customHeight="1" thickBot="1" x14ac:dyDescent="0.3">
      <c r="A180" s="1595"/>
      <c r="B180" s="1487" t="s">
        <v>424</v>
      </c>
      <c r="C180" s="1488"/>
      <c r="D180" s="1488"/>
      <c r="E180" s="1488"/>
      <c r="F180" s="1488"/>
      <c r="G180" s="1489"/>
      <c r="H180" s="981" t="s">
        <v>100</v>
      </c>
      <c r="I180" s="1017"/>
      <c r="J180" s="1029"/>
      <c r="K180" s="1030"/>
      <c r="L180" s="984"/>
      <c r="M180" s="985"/>
      <c r="N180" s="985"/>
      <c r="O180" s="985"/>
      <c r="P180" s="985"/>
      <c r="Q180" s="978"/>
      <c r="R180" s="972"/>
      <c r="S180" s="973"/>
      <c r="T180" s="1258"/>
      <c r="U180" s="1337"/>
      <c r="Y180" s="74">
        <v>3.5000000000000003E-2</v>
      </c>
      <c r="Z180" s="77">
        <f>IF(H180="ja",Y180,0)</f>
        <v>0</v>
      </c>
      <c r="AA180" s="78"/>
      <c r="AB180" s="213">
        <f t="shared" si="2"/>
        <v>0</v>
      </c>
      <c r="AF180" s="68"/>
      <c r="AG180" s="68"/>
      <c r="AH180" s="68"/>
      <c r="AI180" s="68"/>
      <c r="AJ180" s="68"/>
      <c r="AK180" s="68"/>
    </row>
    <row r="181" spans="1:37" ht="15" customHeight="1" thickBot="1" x14ac:dyDescent="0.3">
      <c r="A181" s="1595"/>
      <c r="B181" s="1493"/>
      <c r="C181" s="1317"/>
      <c r="D181" s="1317"/>
      <c r="E181" s="1317"/>
      <c r="F181" s="1317"/>
      <c r="G181" s="1494"/>
      <c r="H181" s="982"/>
      <c r="I181" s="1017"/>
      <c r="J181" s="1029"/>
      <c r="K181" s="1030"/>
      <c r="L181" s="984"/>
      <c r="M181" s="985"/>
      <c r="N181" s="985"/>
      <c r="O181" s="985"/>
      <c r="P181" s="985"/>
      <c r="Q181" s="978"/>
      <c r="R181" s="972"/>
      <c r="S181" s="973"/>
      <c r="T181" s="1258"/>
      <c r="U181" s="1337"/>
      <c r="Y181" s="74"/>
      <c r="Z181" s="77"/>
      <c r="AA181" s="78"/>
      <c r="AB181" s="213">
        <f t="shared" si="2"/>
        <v>0</v>
      </c>
      <c r="AF181" s="68"/>
      <c r="AG181" s="68"/>
      <c r="AH181" s="68"/>
      <c r="AI181" s="68"/>
      <c r="AJ181" s="68"/>
      <c r="AK181" s="68"/>
    </row>
    <row r="182" spans="1:37" ht="15" customHeight="1" thickBot="1" x14ac:dyDescent="0.3">
      <c r="A182" s="1595"/>
      <c r="B182" s="1493"/>
      <c r="C182" s="1317"/>
      <c r="D182" s="1317"/>
      <c r="E182" s="1317"/>
      <c r="F182" s="1317"/>
      <c r="G182" s="1494"/>
      <c r="H182" s="982"/>
      <c r="I182" s="1017"/>
      <c r="J182" s="1029"/>
      <c r="K182" s="1030"/>
      <c r="L182" s="984"/>
      <c r="M182" s="985"/>
      <c r="N182" s="985"/>
      <c r="O182" s="985"/>
      <c r="P182" s="985"/>
      <c r="Q182" s="978" t="s">
        <v>100</v>
      </c>
      <c r="R182" s="972"/>
      <c r="S182" s="973"/>
      <c r="T182" s="1258"/>
      <c r="U182" s="1337"/>
      <c r="V182" s="72">
        <f>IF(AND(Q182="ja",R182=""),1,0)</f>
        <v>0</v>
      </c>
      <c r="Y182" s="74"/>
      <c r="Z182" s="77"/>
      <c r="AA182" s="78"/>
      <c r="AB182" s="213">
        <f t="shared" si="2"/>
        <v>0</v>
      </c>
      <c r="AF182" s="68"/>
      <c r="AG182" s="68"/>
      <c r="AH182" s="68"/>
      <c r="AI182" s="68"/>
      <c r="AJ182" s="68"/>
      <c r="AK182" s="68"/>
    </row>
    <row r="183" spans="1:37" ht="15" customHeight="1" thickBot="1" x14ac:dyDescent="0.3">
      <c r="A183" s="1595"/>
      <c r="B183" s="1493"/>
      <c r="C183" s="1317"/>
      <c r="D183" s="1317"/>
      <c r="E183" s="1317"/>
      <c r="F183" s="1317"/>
      <c r="G183" s="1494"/>
      <c r="H183" s="982"/>
      <c r="I183" s="1017"/>
      <c r="J183" s="1029"/>
      <c r="K183" s="1030"/>
      <c r="L183" s="984"/>
      <c r="M183" s="985"/>
      <c r="N183" s="985"/>
      <c r="O183" s="985"/>
      <c r="P183" s="985"/>
      <c r="Q183" s="978"/>
      <c r="R183" s="972"/>
      <c r="S183" s="973"/>
      <c r="T183" s="1258"/>
      <c r="U183" s="1337"/>
      <c r="Y183" s="74"/>
      <c r="Z183" s="77"/>
      <c r="AA183" s="78"/>
      <c r="AB183" s="213">
        <f t="shared" si="2"/>
        <v>0</v>
      </c>
      <c r="AF183" s="68"/>
      <c r="AG183" s="68"/>
      <c r="AH183" s="68"/>
      <c r="AI183" s="68"/>
      <c r="AJ183" s="68"/>
      <c r="AK183" s="68"/>
    </row>
    <row r="184" spans="1:37" ht="15" customHeight="1" thickBot="1" x14ac:dyDescent="0.3">
      <c r="A184" s="1595"/>
      <c r="B184" s="1490"/>
      <c r="C184" s="1491"/>
      <c r="D184" s="1491"/>
      <c r="E184" s="1491"/>
      <c r="F184" s="1491"/>
      <c r="G184" s="1492"/>
      <c r="H184" s="983"/>
      <c r="I184" s="1017"/>
      <c r="J184" s="1029"/>
      <c r="K184" s="1030"/>
      <c r="L184" s="984"/>
      <c r="M184" s="985"/>
      <c r="N184" s="985"/>
      <c r="O184" s="985"/>
      <c r="P184" s="985"/>
      <c r="Q184" s="978"/>
      <c r="R184" s="972"/>
      <c r="S184" s="973"/>
      <c r="T184" s="1258"/>
      <c r="U184" s="1337"/>
      <c r="Y184" s="74"/>
      <c r="Z184" s="77"/>
      <c r="AA184" s="78"/>
      <c r="AB184" s="213">
        <f t="shared" si="2"/>
        <v>0</v>
      </c>
      <c r="AF184" s="68"/>
      <c r="AG184" s="68"/>
      <c r="AH184" s="68"/>
      <c r="AI184" s="68"/>
      <c r="AJ184" s="68"/>
      <c r="AK184" s="68"/>
    </row>
    <row r="185" spans="1:37" ht="15" customHeight="1" thickBot="1" x14ac:dyDescent="0.3">
      <c r="A185" s="1595"/>
      <c r="B185" s="1103" t="s">
        <v>237</v>
      </c>
      <c r="C185" s="1104"/>
      <c r="D185" s="1104"/>
      <c r="E185" s="1104"/>
      <c r="F185" s="1104"/>
      <c r="G185" s="1105"/>
      <c r="H185" s="314" t="s">
        <v>100</v>
      </c>
      <c r="I185" s="1017"/>
      <c r="J185" s="1029"/>
      <c r="K185" s="1030"/>
      <c r="L185" s="984" t="s">
        <v>236</v>
      </c>
      <c r="M185" s="985"/>
      <c r="N185" s="985"/>
      <c r="O185" s="985"/>
      <c r="P185" s="985"/>
      <c r="Q185" s="978" t="s">
        <v>100</v>
      </c>
      <c r="R185" s="972"/>
      <c r="S185" s="973"/>
      <c r="T185" s="1258"/>
      <c r="U185" s="1337"/>
      <c r="V185" s="72">
        <f>IF(AND(Q185="ja",R185=""),1,0)</f>
        <v>0</v>
      </c>
      <c r="Y185" s="74">
        <v>5.0000000000000001E-3</v>
      </c>
      <c r="Z185" s="77">
        <f>IF(H185="ja",Y185,0)</f>
        <v>0</v>
      </c>
      <c r="AA185" s="78"/>
      <c r="AB185" s="213">
        <f t="shared" si="2"/>
        <v>0</v>
      </c>
      <c r="AF185" s="68"/>
      <c r="AG185" s="68"/>
      <c r="AH185" s="68"/>
      <c r="AI185" s="68"/>
      <c r="AJ185" s="68"/>
      <c r="AK185" s="68"/>
    </row>
    <row r="186" spans="1:37" ht="15" customHeight="1" thickBot="1" x14ac:dyDescent="0.3">
      <c r="A186" s="1595"/>
      <c r="B186" s="1487" t="s">
        <v>425</v>
      </c>
      <c r="C186" s="1488"/>
      <c r="D186" s="1488"/>
      <c r="E186" s="1488"/>
      <c r="F186" s="1488"/>
      <c r="G186" s="1489"/>
      <c r="H186" s="981" t="s">
        <v>100</v>
      </c>
      <c r="I186" s="1017"/>
      <c r="J186" s="1029"/>
      <c r="K186" s="1030"/>
      <c r="L186" s="984"/>
      <c r="M186" s="985"/>
      <c r="N186" s="985"/>
      <c r="O186" s="985"/>
      <c r="P186" s="985"/>
      <c r="Q186" s="978"/>
      <c r="R186" s="972"/>
      <c r="S186" s="973"/>
      <c r="T186" s="1258"/>
      <c r="U186" s="1337"/>
      <c r="Y186" s="74">
        <v>2.5000000000000001E-3</v>
      </c>
      <c r="Z186" s="77">
        <f>IF(H186="ja",Y186,0)</f>
        <v>0</v>
      </c>
      <c r="AA186" s="78"/>
      <c r="AB186" s="213">
        <f t="shared" si="2"/>
        <v>0</v>
      </c>
      <c r="AF186" s="68"/>
      <c r="AG186" s="68"/>
      <c r="AH186" s="68"/>
      <c r="AI186" s="68"/>
      <c r="AJ186" s="68"/>
      <c r="AK186" s="68"/>
    </row>
    <row r="187" spans="1:37" ht="15" customHeight="1" thickBot="1" x14ac:dyDescent="0.3">
      <c r="A187" s="1595"/>
      <c r="B187" s="1493"/>
      <c r="C187" s="1317"/>
      <c r="D187" s="1317"/>
      <c r="E187" s="1317"/>
      <c r="F187" s="1317"/>
      <c r="G187" s="1494"/>
      <c r="H187" s="982"/>
      <c r="I187" s="1017"/>
      <c r="J187" s="1029"/>
      <c r="K187" s="1030"/>
      <c r="L187" s="984"/>
      <c r="M187" s="985"/>
      <c r="N187" s="985"/>
      <c r="O187" s="985"/>
      <c r="P187" s="985"/>
      <c r="Q187" s="978"/>
      <c r="R187" s="972"/>
      <c r="S187" s="973"/>
      <c r="T187" s="1258"/>
      <c r="U187" s="1337"/>
      <c r="Y187" s="74"/>
      <c r="Z187" s="77"/>
      <c r="AA187" s="78"/>
      <c r="AB187" s="213">
        <f t="shared" si="2"/>
        <v>0</v>
      </c>
      <c r="AF187" s="68"/>
      <c r="AG187" s="68"/>
      <c r="AH187" s="68"/>
      <c r="AI187" s="68"/>
      <c r="AJ187" s="68"/>
      <c r="AK187" s="68"/>
    </row>
    <row r="188" spans="1:37" ht="15" customHeight="1" thickBot="1" x14ac:dyDescent="0.3">
      <c r="A188" s="1595"/>
      <c r="B188" s="1490"/>
      <c r="C188" s="1491"/>
      <c r="D188" s="1491"/>
      <c r="E188" s="1491"/>
      <c r="F188" s="1491"/>
      <c r="G188" s="1492"/>
      <c r="H188" s="983"/>
      <c r="I188" s="1017"/>
      <c r="J188" s="1029"/>
      <c r="K188" s="1030"/>
      <c r="L188" s="984"/>
      <c r="M188" s="985"/>
      <c r="N188" s="985"/>
      <c r="O188" s="985"/>
      <c r="P188" s="985"/>
      <c r="Q188" s="978" t="s">
        <v>100</v>
      </c>
      <c r="R188" s="972"/>
      <c r="S188" s="973"/>
      <c r="T188" s="1258"/>
      <c r="U188" s="1337"/>
      <c r="V188" s="72">
        <f>IF(AND(Q188="ja",R188=""),1,0)</f>
        <v>0</v>
      </c>
      <c r="Y188" s="74"/>
      <c r="Z188" s="77"/>
      <c r="AA188" s="78"/>
      <c r="AB188" s="213">
        <f t="shared" si="2"/>
        <v>0</v>
      </c>
      <c r="AF188" s="68"/>
      <c r="AG188" s="68"/>
      <c r="AH188" s="68"/>
      <c r="AI188" s="68"/>
      <c r="AJ188" s="68"/>
      <c r="AK188" s="68"/>
    </row>
    <row r="189" spans="1:37" ht="15" customHeight="1" thickBot="1" x14ac:dyDescent="0.3">
      <c r="A189" s="1595"/>
      <c r="B189" s="1487" t="s">
        <v>426</v>
      </c>
      <c r="C189" s="1488"/>
      <c r="D189" s="1488"/>
      <c r="E189" s="1488"/>
      <c r="F189" s="1488"/>
      <c r="G189" s="1489"/>
      <c r="H189" s="981" t="s">
        <v>100</v>
      </c>
      <c r="I189" s="1017"/>
      <c r="J189" s="1029"/>
      <c r="K189" s="1030"/>
      <c r="L189" s="984"/>
      <c r="M189" s="985"/>
      <c r="N189" s="985"/>
      <c r="O189" s="985"/>
      <c r="P189" s="985"/>
      <c r="Q189" s="978"/>
      <c r="R189" s="972"/>
      <c r="S189" s="973"/>
      <c r="T189" s="1258"/>
      <c r="U189" s="1337"/>
      <c r="Y189" s="74">
        <v>5.0000000000000001E-3</v>
      </c>
      <c r="Z189" s="77">
        <f>IF(H189="ja",Y189,0)</f>
        <v>0</v>
      </c>
      <c r="AA189" s="78"/>
      <c r="AB189" s="213">
        <f t="shared" si="2"/>
        <v>0</v>
      </c>
      <c r="AF189" s="68"/>
      <c r="AG189" s="68"/>
      <c r="AH189" s="68"/>
      <c r="AI189" s="68"/>
      <c r="AJ189" s="68"/>
      <c r="AK189" s="68"/>
    </row>
    <row r="190" spans="1:37" ht="15" customHeight="1" thickBot="1" x14ac:dyDescent="0.3">
      <c r="A190" s="1595"/>
      <c r="B190" s="1490"/>
      <c r="C190" s="1491"/>
      <c r="D190" s="1491"/>
      <c r="E190" s="1491"/>
      <c r="F190" s="1491"/>
      <c r="G190" s="1492"/>
      <c r="H190" s="983"/>
      <c r="I190" s="1017"/>
      <c r="J190" s="1029"/>
      <c r="K190" s="1030"/>
      <c r="L190" s="984"/>
      <c r="M190" s="985"/>
      <c r="N190" s="985"/>
      <c r="O190" s="985"/>
      <c r="P190" s="985"/>
      <c r="Q190" s="978"/>
      <c r="R190" s="972"/>
      <c r="S190" s="973"/>
      <c r="T190" s="1258"/>
      <c r="U190" s="1337"/>
      <c r="Y190" s="74"/>
      <c r="Z190" s="77"/>
      <c r="AA190" s="77"/>
      <c r="AB190" s="213">
        <f t="shared" si="2"/>
        <v>0</v>
      </c>
      <c r="AF190" s="68"/>
      <c r="AG190" s="68"/>
      <c r="AH190" s="68"/>
      <c r="AI190" s="68"/>
      <c r="AJ190" s="68"/>
      <c r="AK190" s="68"/>
    </row>
    <row r="191" spans="1:37" ht="15" customHeight="1" thickBot="1" x14ac:dyDescent="0.3">
      <c r="A191" s="1595"/>
      <c r="B191" s="1487" t="s">
        <v>427</v>
      </c>
      <c r="C191" s="1488"/>
      <c r="D191" s="1488"/>
      <c r="E191" s="1488"/>
      <c r="F191" s="1488"/>
      <c r="G191" s="1489"/>
      <c r="H191" s="981" t="s">
        <v>100</v>
      </c>
      <c r="I191" s="1017"/>
      <c r="J191" s="1029"/>
      <c r="K191" s="1030"/>
      <c r="L191" s="1539"/>
      <c r="M191" s="1540"/>
      <c r="N191" s="1540"/>
      <c r="O191" s="1540"/>
      <c r="P191" s="1540"/>
      <c r="Q191" s="978" t="s">
        <v>100</v>
      </c>
      <c r="R191" s="972"/>
      <c r="S191" s="973"/>
      <c r="T191" s="1258"/>
      <c r="U191" s="1337"/>
      <c r="V191" s="72">
        <f>IF(AND(Q191="ja",R191=""),1,0)</f>
        <v>0</v>
      </c>
      <c r="Y191" s="74">
        <v>1.5E-3</v>
      </c>
      <c r="Z191" s="77">
        <f>IF(H191="ja",Y191,0)</f>
        <v>0</v>
      </c>
      <c r="AA191" s="78"/>
      <c r="AB191" s="213">
        <f t="shared" si="2"/>
        <v>0</v>
      </c>
      <c r="AF191" s="68"/>
      <c r="AG191" s="68"/>
      <c r="AH191" s="68"/>
      <c r="AI191" s="68"/>
      <c r="AJ191" s="68"/>
      <c r="AK191" s="68"/>
    </row>
    <row r="192" spans="1:37" ht="15" customHeight="1" thickBot="1" x14ac:dyDescent="0.3">
      <c r="A192" s="1595"/>
      <c r="B192" s="1490"/>
      <c r="C192" s="1491"/>
      <c r="D192" s="1491"/>
      <c r="E192" s="1491"/>
      <c r="F192" s="1491"/>
      <c r="G192" s="1492"/>
      <c r="H192" s="983"/>
      <c r="I192" s="1018"/>
      <c r="J192" s="1031"/>
      <c r="K192" s="1032"/>
      <c r="L192" s="1541"/>
      <c r="M192" s="1542"/>
      <c r="N192" s="1542"/>
      <c r="O192" s="1542"/>
      <c r="P192" s="1542"/>
      <c r="Q192" s="979"/>
      <c r="R192" s="974"/>
      <c r="S192" s="975"/>
      <c r="T192" s="1259"/>
      <c r="U192" s="1337"/>
      <c r="Y192" s="74"/>
      <c r="Z192" s="77"/>
      <c r="AA192" s="78"/>
      <c r="AB192" s="213">
        <f t="shared" si="2"/>
        <v>0</v>
      </c>
      <c r="AF192" s="68"/>
      <c r="AG192" s="68"/>
      <c r="AH192" s="68"/>
      <c r="AI192" s="68"/>
      <c r="AJ192" s="68"/>
      <c r="AK192" s="68"/>
    </row>
    <row r="193" spans="1:37" ht="14.55" thickBot="1" x14ac:dyDescent="0.3">
      <c r="A193" s="1595"/>
      <c r="B193" s="1511" t="s">
        <v>428</v>
      </c>
      <c r="C193" s="1512"/>
      <c r="D193" s="1512"/>
      <c r="E193" s="1512"/>
      <c r="F193" s="1512"/>
      <c r="G193" s="1513"/>
      <c r="H193" s="342"/>
      <c r="I193" s="1361"/>
      <c r="J193" s="1362"/>
      <c r="K193" s="1576"/>
      <c r="L193" s="1534">
        <f>SUM(R179:S192)</f>
        <v>0</v>
      </c>
      <c r="M193" s="1535"/>
      <c r="N193" s="1535"/>
      <c r="O193" s="1535"/>
      <c r="P193" s="1535"/>
      <c r="Q193" s="338"/>
      <c r="R193" s="1495"/>
      <c r="S193" s="1496"/>
      <c r="U193" s="334"/>
      <c r="Y193" s="74"/>
      <c r="Z193" s="152">
        <f>SUM(Z179:Z191)</f>
        <v>0</v>
      </c>
      <c r="AA193" s="78"/>
      <c r="AB193" s="213">
        <f t="shared" si="2"/>
        <v>0</v>
      </c>
      <c r="AF193" s="68"/>
      <c r="AG193" s="68"/>
      <c r="AH193" s="68"/>
      <c r="AI193" s="68"/>
      <c r="AJ193" s="68"/>
      <c r="AK193" s="68"/>
    </row>
    <row r="194" spans="1:37" ht="15" customHeight="1" thickBot="1" x14ac:dyDescent="0.3">
      <c r="A194" s="1595"/>
      <c r="B194" s="1497" t="s">
        <v>429</v>
      </c>
      <c r="C194" s="1498"/>
      <c r="D194" s="1498"/>
      <c r="E194" s="1498"/>
      <c r="F194" s="1498"/>
      <c r="G194" s="1499"/>
      <c r="H194" s="1194" t="s">
        <v>100</v>
      </c>
      <c r="I194" s="1016">
        <f>Z235</f>
        <v>0</v>
      </c>
      <c r="J194" s="1027">
        <f>I115*I194</f>
        <v>0</v>
      </c>
      <c r="K194" s="1028"/>
      <c r="L194" s="1285" t="s">
        <v>430</v>
      </c>
      <c r="M194" s="1286"/>
      <c r="N194" s="1286"/>
      <c r="O194" s="1286"/>
      <c r="P194" s="1287"/>
      <c r="Q194" s="1677" t="s">
        <v>100</v>
      </c>
      <c r="R194" s="1296"/>
      <c r="S194" s="1297"/>
      <c r="T194" s="1257" t="str">
        <f>IFERROR(IF((VLOOKUP(U194,Überblick!$M$125:$N$133,2))="ja","ja","nein"),"")</f>
        <v/>
      </c>
      <c r="U194" s="1337"/>
      <c r="V194" s="72">
        <f>IF(AND(Q194="ja",R194=""),1,0)</f>
        <v>0</v>
      </c>
      <c r="Y194" s="74">
        <v>0.17499999999999999</v>
      </c>
      <c r="Z194" s="77">
        <f>IF(H194="ja",Y194,0)</f>
        <v>0</v>
      </c>
      <c r="AA194" s="78"/>
      <c r="AB194" s="213">
        <f t="shared" si="2"/>
        <v>0</v>
      </c>
      <c r="AF194" s="68"/>
      <c r="AG194" s="68"/>
      <c r="AH194" s="68"/>
      <c r="AI194" s="68"/>
      <c r="AJ194" s="68"/>
      <c r="AK194" s="68"/>
    </row>
    <row r="195" spans="1:37" ht="15" customHeight="1" thickBot="1" x14ac:dyDescent="0.3">
      <c r="A195" s="1595"/>
      <c r="B195" s="1493"/>
      <c r="C195" s="1317"/>
      <c r="D195" s="1317"/>
      <c r="E195" s="1317"/>
      <c r="F195" s="1317"/>
      <c r="G195" s="1494"/>
      <c r="H195" s="982"/>
      <c r="I195" s="1017"/>
      <c r="J195" s="1029"/>
      <c r="K195" s="1030"/>
      <c r="L195" s="1288"/>
      <c r="M195" s="1289"/>
      <c r="N195" s="1289"/>
      <c r="O195" s="1289"/>
      <c r="P195" s="1290"/>
      <c r="Q195" s="1678"/>
      <c r="R195" s="1007"/>
      <c r="S195" s="1008"/>
      <c r="T195" s="1258"/>
      <c r="U195" s="1337"/>
      <c r="Y195" s="74"/>
      <c r="Z195" s="77"/>
      <c r="AA195" s="78"/>
      <c r="AB195" s="213">
        <f t="shared" si="2"/>
        <v>0</v>
      </c>
      <c r="AF195" s="68"/>
      <c r="AG195" s="68"/>
      <c r="AH195" s="68"/>
      <c r="AI195" s="68"/>
      <c r="AJ195" s="68"/>
      <c r="AK195" s="68"/>
    </row>
    <row r="196" spans="1:37" ht="15" customHeight="1" thickBot="1" x14ac:dyDescent="0.3">
      <c r="A196" s="1595"/>
      <c r="B196" s="1493"/>
      <c r="C196" s="1317"/>
      <c r="D196" s="1317"/>
      <c r="E196" s="1317"/>
      <c r="F196" s="1317"/>
      <c r="G196" s="1494"/>
      <c r="H196" s="982"/>
      <c r="I196" s="1017"/>
      <c r="J196" s="1029"/>
      <c r="K196" s="1030"/>
      <c r="L196" s="1288"/>
      <c r="M196" s="1289"/>
      <c r="N196" s="1289"/>
      <c r="O196" s="1289"/>
      <c r="P196" s="1290"/>
      <c r="Q196" s="1678"/>
      <c r="R196" s="1007"/>
      <c r="S196" s="1008"/>
      <c r="T196" s="1258"/>
      <c r="U196" s="1337"/>
      <c r="Y196" s="74"/>
      <c r="Z196" s="77"/>
      <c r="AA196" s="78"/>
      <c r="AB196" s="213">
        <f t="shared" si="2"/>
        <v>0</v>
      </c>
      <c r="AF196" s="68"/>
      <c r="AG196" s="68"/>
      <c r="AH196" s="68"/>
      <c r="AI196" s="68"/>
      <c r="AJ196" s="68"/>
      <c r="AK196" s="68"/>
    </row>
    <row r="197" spans="1:37" ht="15" customHeight="1" thickBot="1" x14ac:dyDescent="0.3">
      <c r="A197" s="1595"/>
      <c r="B197" s="1493"/>
      <c r="C197" s="1317"/>
      <c r="D197" s="1317"/>
      <c r="E197" s="1317"/>
      <c r="F197" s="1317"/>
      <c r="G197" s="1494"/>
      <c r="H197" s="982"/>
      <c r="I197" s="1017"/>
      <c r="J197" s="1029"/>
      <c r="K197" s="1030"/>
      <c r="L197" s="1288"/>
      <c r="M197" s="1289"/>
      <c r="N197" s="1289"/>
      <c r="O197" s="1289"/>
      <c r="P197" s="1290"/>
      <c r="Q197" s="1678"/>
      <c r="R197" s="1007"/>
      <c r="S197" s="1008"/>
      <c r="T197" s="1258"/>
      <c r="U197" s="1337"/>
      <c r="V197" s="72">
        <f>IF(AND(Q197="ja",R197=""),1,0)</f>
        <v>0</v>
      </c>
      <c r="Y197" s="74"/>
      <c r="Z197" s="77"/>
      <c r="AA197" s="78"/>
      <c r="AB197" s="213">
        <f t="shared" si="2"/>
        <v>0</v>
      </c>
      <c r="AF197" s="68"/>
      <c r="AG197" s="68"/>
      <c r="AH197" s="68"/>
      <c r="AI197" s="68"/>
      <c r="AJ197" s="68"/>
      <c r="AK197" s="68"/>
    </row>
    <row r="198" spans="1:37" ht="15" customHeight="1" thickBot="1" x14ac:dyDescent="0.3">
      <c r="A198" s="1595"/>
      <c r="B198" s="1493"/>
      <c r="C198" s="1317"/>
      <c r="D198" s="1317"/>
      <c r="E198" s="1317"/>
      <c r="F198" s="1317"/>
      <c r="G198" s="1494"/>
      <c r="H198" s="982"/>
      <c r="I198" s="1017"/>
      <c r="J198" s="1029"/>
      <c r="K198" s="1030"/>
      <c r="L198" s="1288"/>
      <c r="M198" s="1289"/>
      <c r="N198" s="1289"/>
      <c r="O198" s="1289"/>
      <c r="P198" s="1290"/>
      <c r="Q198" s="1678"/>
      <c r="R198" s="1007"/>
      <c r="S198" s="1008"/>
      <c r="T198" s="1258"/>
      <c r="U198" s="1337"/>
      <c r="Y198" s="74"/>
      <c r="Z198" s="77"/>
      <c r="AA198" s="78"/>
      <c r="AB198" s="213">
        <f t="shared" si="2"/>
        <v>0</v>
      </c>
      <c r="AF198" s="68"/>
      <c r="AG198" s="68"/>
      <c r="AH198" s="68"/>
      <c r="AI198" s="68"/>
      <c r="AJ198" s="68"/>
      <c r="AK198" s="68"/>
    </row>
    <row r="199" spans="1:37" ht="15" customHeight="1" thickBot="1" x14ac:dyDescent="0.3">
      <c r="A199" s="1595"/>
      <c r="B199" s="1493"/>
      <c r="C199" s="1317"/>
      <c r="D199" s="1317"/>
      <c r="E199" s="1317"/>
      <c r="F199" s="1317"/>
      <c r="G199" s="1494"/>
      <c r="H199" s="982"/>
      <c r="I199" s="1017"/>
      <c r="J199" s="1029"/>
      <c r="K199" s="1030"/>
      <c r="L199" s="1288"/>
      <c r="M199" s="1289"/>
      <c r="N199" s="1289"/>
      <c r="O199" s="1289"/>
      <c r="P199" s="1290"/>
      <c r="Q199" s="1678"/>
      <c r="R199" s="1007"/>
      <c r="S199" s="1008"/>
      <c r="T199" s="1258"/>
      <c r="U199" s="1337"/>
      <c r="Y199" s="74"/>
      <c r="Z199" s="77"/>
      <c r="AA199" s="78"/>
      <c r="AB199" s="213">
        <f t="shared" si="2"/>
        <v>0</v>
      </c>
      <c r="AF199" s="68"/>
      <c r="AG199" s="68"/>
      <c r="AH199" s="68"/>
      <c r="AI199" s="68"/>
      <c r="AJ199" s="68"/>
      <c r="AK199" s="68"/>
    </row>
    <row r="200" spans="1:37" ht="15" customHeight="1" thickBot="1" x14ac:dyDescent="0.3">
      <c r="A200" s="1595"/>
      <c r="B200" s="1490"/>
      <c r="C200" s="1491"/>
      <c r="D200" s="1491"/>
      <c r="E200" s="1491"/>
      <c r="F200" s="1491"/>
      <c r="G200" s="1492"/>
      <c r="H200" s="983"/>
      <c r="I200" s="1017"/>
      <c r="J200" s="1029"/>
      <c r="K200" s="1030"/>
      <c r="L200" s="1288"/>
      <c r="M200" s="1289"/>
      <c r="N200" s="1289"/>
      <c r="O200" s="1289"/>
      <c r="P200" s="1290"/>
      <c r="Q200" s="1678"/>
      <c r="R200" s="1007"/>
      <c r="S200" s="1008"/>
      <c r="T200" s="1258"/>
      <c r="U200" s="1337"/>
      <c r="V200" s="72">
        <f>IF(AND(Q200="ja",R200=""),1,0)</f>
        <v>0</v>
      </c>
      <c r="Y200" s="74"/>
      <c r="Z200" s="77"/>
      <c r="AA200" s="78"/>
      <c r="AB200" s="213">
        <f t="shared" si="2"/>
        <v>0</v>
      </c>
      <c r="AF200" s="68"/>
      <c r="AG200" s="68"/>
      <c r="AH200" s="68"/>
      <c r="AI200" s="68"/>
      <c r="AJ200" s="68"/>
      <c r="AK200" s="68"/>
    </row>
    <row r="201" spans="1:37" ht="15" customHeight="1" thickBot="1" x14ac:dyDescent="0.3">
      <c r="A201" s="1595"/>
      <c r="B201" s="1103" t="s">
        <v>431</v>
      </c>
      <c r="C201" s="1104"/>
      <c r="D201" s="1104"/>
      <c r="E201" s="1104"/>
      <c r="F201" s="1104"/>
      <c r="G201" s="1105"/>
      <c r="H201" s="314" t="s">
        <v>100</v>
      </c>
      <c r="I201" s="1017"/>
      <c r="J201" s="1029"/>
      <c r="K201" s="1030"/>
      <c r="L201" s="1288"/>
      <c r="M201" s="1289"/>
      <c r="N201" s="1289"/>
      <c r="O201" s="1289"/>
      <c r="P201" s="1290"/>
      <c r="Q201" s="1678"/>
      <c r="R201" s="1007"/>
      <c r="S201" s="1008"/>
      <c r="T201" s="1258"/>
      <c r="U201" s="1337"/>
      <c r="Y201" s="74">
        <v>3.0000000000000001E-3</v>
      </c>
      <c r="Z201" s="77">
        <f>IF(H201="ja",Y201,0)</f>
        <v>0</v>
      </c>
      <c r="AA201" s="78"/>
      <c r="AB201" s="213">
        <f t="shared" si="2"/>
        <v>0</v>
      </c>
      <c r="AF201" s="68"/>
      <c r="AG201" s="68"/>
      <c r="AH201" s="68"/>
      <c r="AI201" s="68"/>
      <c r="AJ201" s="68"/>
      <c r="AK201" s="68"/>
    </row>
    <row r="202" spans="1:37" ht="15" customHeight="1" thickBot="1" x14ac:dyDescent="0.3">
      <c r="A202" s="1595"/>
      <c r="B202" s="1487" t="s">
        <v>432</v>
      </c>
      <c r="C202" s="1488"/>
      <c r="D202" s="1488"/>
      <c r="E202" s="1488"/>
      <c r="F202" s="1488"/>
      <c r="G202" s="1489"/>
      <c r="H202" s="981" t="s">
        <v>100</v>
      </c>
      <c r="I202" s="1017"/>
      <c r="J202" s="1029"/>
      <c r="K202" s="1030"/>
      <c r="L202" s="1288"/>
      <c r="M202" s="1289"/>
      <c r="N202" s="1289"/>
      <c r="O202" s="1289"/>
      <c r="P202" s="1290"/>
      <c r="Q202" s="1678"/>
      <c r="R202" s="1007"/>
      <c r="S202" s="1008"/>
      <c r="T202" s="1258"/>
      <c r="U202" s="1337"/>
      <c r="Y202" s="74">
        <v>6.4999999999999997E-3</v>
      </c>
      <c r="Z202" s="77">
        <f>IF(H202="ja",Y202,0)</f>
        <v>0</v>
      </c>
      <c r="AA202" s="78"/>
      <c r="AB202" s="213">
        <f t="shared" si="2"/>
        <v>0</v>
      </c>
      <c r="AF202" s="68"/>
      <c r="AG202" s="68"/>
      <c r="AH202" s="68"/>
      <c r="AI202" s="68"/>
      <c r="AJ202" s="68"/>
      <c r="AK202" s="68"/>
    </row>
    <row r="203" spans="1:37" ht="15" customHeight="1" thickBot="1" x14ac:dyDescent="0.3">
      <c r="A203" s="1595"/>
      <c r="B203" s="1490"/>
      <c r="C203" s="1491"/>
      <c r="D203" s="1491"/>
      <c r="E203" s="1491"/>
      <c r="F203" s="1491"/>
      <c r="G203" s="1492"/>
      <c r="H203" s="983"/>
      <c r="I203" s="1017"/>
      <c r="J203" s="1029"/>
      <c r="K203" s="1030"/>
      <c r="L203" s="1288"/>
      <c r="M203" s="1289"/>
      <c r="N203" s="1289"/>
      <c r="O203" s="1289"/>
      <c r="P203" s="1290"/>
      <c r="Q203" s="1679"/>
      <c r="R203" s="1269"/>
      <c r="S203" s="1270"/>
      <c r="T203" s="1258"/>
      <c r="U203" s="1337"/>
      <c r="V203" s="72">
        <f>IF(AND(Q204="ja",R204=""),1,0)</f>
        <v>0</v>
      </c>
      <c r="Y203" s="74"/>
      <c r="Z203" s="77"/>
      <c r="AA203" s="78"/>
      <c r="AB203" s="213">
        <f>IF(Q204="ja",1,0)</f>
        <v>0</v>
      </c>
      <c r="AF203" s="68"/>
      <c r="AG203" s="68"/>
      <c r="AH203" s="68"/>
      <c r="AI203" s="68"/>
      <c r="AJ203" s="68"/>
      <c r="AK203" s="68"/>
    </row>
    <row r="204" spans="1:37" ht="15" customHeight="1" thickBot="1" x14ac:dyDescent="0.3">
      <c r="A204" s="1595"/>
      <c r="B204" s="1103" t="s">
        <v>433</v>
      </c>
      <c r="C204" s="1104"/>
      <c r="D204" s="1104"/>
      <c r="E204" s="1104"/>
      <c r="F204" s="1104"/>
      <c r="G204" s="1105"/>
      <c r="H204" s="314" t="s">
        <v>100</v>
      </c>
      <c r="I204" s="1017"/>
      <c r="J204" s="1029"/>
      <c r="K204" s="1030"/>
      <c r="L204" s="1484" t="s">
        <v>247</v>
      </c>
      <c r="M204" s="1485"/>
      <c r="N204" s="1485"/>
      <c r="O204" s="1485"/>
      <c r="P204" s="1486"/>
      <c r="Q204" s="979" t="s">
        <v>100</v>
      </c>
      <c r="R204" s="1005"/>
      <c r="S204" s="1006"/>
      <c r="T204" s="1258"/>
      <c r="U204" s="1337"/>
      <c r="Y204" s="74">
        <v>5.0000000000000001E-3</v>
      </c>
      <c r="Z204" s="77">
        <f>IF(H204="ja",Y204,0)</f>
        <v>0</v>
      </c>
      <c r="AA204" s="78"/>
      <c r="AB204" s="213">
        <f>IF(Q205="ja",1,0)</f>
        <v>0</v>
      </c>
      <c r="AF204" s="68"/>
      <c r="AG204" s="68"/>
      <c r="AH204" s="68"/>
      <c r="AI204" s="68"/>
      <c r="AJ204" s="68"/>
      <c r="AK204" s="68"/>
    </row>
    <row r="205" spans="1:37" ht="15" customHeight="1" thickBot="1" x14ac:dyDescent="0.3">
      <c r="A205" s="1595"/>
      <c r="B205" s="1487" t="s">
        <v>434</v>
      </c>
      <c r="C205" s="1488"/>
      <c r="D205" s="1488"/>
      <c r="E205" s="1488"/>
      <c r="F205" s="1488"/>
      <c r="G205" s="1489"/>
      <c r="H205" s="981" t="s">
        <v>100</v>
      </c>
      <c r="I205" s="1017"/>
      <c r="J205" s="1029"/>
      <c r="K205" s="1030"/>
      <c r="L205" s="1291"/>
      <c r="M205" s="1292"/>
      <c r="N205" s="1292"/>
      <c r="O205" s="1292"/>
      <c r="P205" s="1293"/>
      <c r="Q205" s="1295"/>
      <c r="R205" s="1269"/>
      <c r="S205" s="1270"/>
      <c r="T205" s="1258"/>
      <c r="U205" s="1337"/>
      <c r="Y205" s="74">
        <v>1E-3</v>
      </c>
      <c r="Z205" s="77">
        <f>IF(H205="ja",Y205,0)</f>
        <v>0</v>
      </c>
      <c r="AA205" s="78"/>
      <c r="AB205" s="213">
        <f t="shared" si="2"/>
        <v>0</v>
      </c>
      <c r="AF205" s="68"/>
      <c r="AG205" s="68"/>
      <c r="AH205" s="68"/>
      <c r="AI205" s="68"/>
      <c r="AJ205" s="68"/>
      <c r="AK205" s="68"/>
    </row>
    <row r="206" spans="1:37" ht="15" customHeight="1" thickBot="1" x14ac:dyDescent="0.3">
      <c r="A206" s="1595"/>
      <c r="B206" s="1493"/>
      <c r="C206" s="1317"/>
      <c r="D206" s="1317"/>
      <c r="E206" s="1317"/>
      <c r="F206" s="1317"/>
      <c r="G206" s="1494"/>
      <c r="H206" s="982"/>
      <c r="I206" s="1017"/>
      <c r="J206" s="1029"/>
      <c r="K206" s="1030"/>
      <c r="L206" s="984"/>
      <c r="M206" s="985"/>
      <c r="N206" s="985"/>
      <c r="O206" s="985"/>
      <c r="P206" s="985"/>
      <c r="Q206" s="978" t="s">
        <v>100</v>
      </c>
      <c r="R206" s="972"/>
      <c r="S206" s="973"/>
      <c r="T206" s="1258"/>
      <c r="U206" s="1337"/>
      <c r="V206" s="72">
        <f>IF(AND(Q206="ja",R206=""),1,0)</f>
        <v>0</v>
      </c>
      <c r="Y206" s="74"/>
      <c r="Z206" s="77"/>
      <c r="AA206" s="78"/>
      <c r="AB206" s="213">
        <f t="shared" si="2"/>
        <v>0</v>
      </c>
      <c r="AF206" s="68"/>
      <c r="AG206" s="68"/>
      <c r="AH206" s="68"/>
      <c r="AI206" s="68"/>
      <c r="AJ206" s="68"/>
      <c r="AK206" s="68"/>
    </row>
    <row r="207" spans="1:37" ht="15" customHeight="1" thickBot="1" x14ac:dyDescent="0.3">
      <c r="A207" s="1595"/>
      <c r="B207" s="1490"/>
      <c r="C207" s="1491"/>
      <c r="D207" s="1491"/>
      <c r="E207" s="1491"/>
      <c r="F207" s="1491"/>
      <c r="G207" s="1492"/>
      <c r="H207" s="983"/>
      <c r="I207" s="1017"/>
      <c r="J207" s="1029"/>
      <c r="K207" s="1030"/>
      <c r="L207" s="984"/>
      <c r="M207" s="985"/>
      <c r="N207" s="985"/>
      <c r="O207" s="985"/>
      <c r="P207" s="985"/>
      <c r="Q207" s="978"/>
      <c r="R207" s="972"/>
      <c r="S207" s="973"/>
      <c r="T207" s="1258"/>
      <c r="U207" s="1337"/>
      <c r="Y207" s="74"/>
      <c r="Z207" s="77"/>
      <c r="AA207" s="78"/>
      <c r="AB207" s="213">
        <f t="shared" si="2"/>
        <v>0</v>
      </c>
      <c r="AF207" s="68"/>
      <c r="AG207" s="68"/>
      <c r="AH207" s="68"/>
      <c r="AI207" s="68"/>
      <c r="AJ207" s="68"/>
      <c r="AK207" s="68"/>
    </row>
    <row r="208" spans="1:37" ht="15" customHeight="1" thickBot="1" x14ac:dyDescent="0.3">
      <c r="A208" s="1595"/>
      <c r="B208" s="1103" t="s">
        <v>435</v>
      </c>
      <c r="C208" s="1104"/>
      <c r="D208" s="1104"/>
      <c r="E208" s="1104"/>
      <c r="F208" s="1104"/>
      <c r="G208" s="1105"/>
      <c r="H208" s="314" t="s">
        <v>100</v>
      </c>
      <c r="I208" s="1017"/>
      <c r="J208" s="1029"/>
      <c r="K208" s="1030"/>
      <c r="L208" s="984"/>
      <c r="M208" s="985"/>
      <c r="N208" s="985"/>
      <c r="O208" s="985"/>
      <c r="P208" s="985"/>
      <c r="Q208" s="978"/>
      <c r="R208" s="972"/>
      <c r="S208" s="973"/>
      <c r="T208" s="1258"/>
      <c r="U208" s="1337"/>
      <c r="Y208" s="74">
        <v>2.2499999999999999E-2</v>
      </c>
      <c r="Z208" s="77">
        <f>IF(H208="ja",Y208,0)</f>
        <v>0</v>
      </c>
      <c r="AA208" s="78"/>
      <c r="AB208" s="213">
        <f t="shared" si="2"/>
        <v>0</v>
      </c>
      <c r="AF208" s="68"/>
      <c r="AG208" s="68"/>
      <c r="AH208" s="68"/>
      <c r="AI208" s="68"/>
      <c r="AJ208" s="68"/>
      <c r="AK208" s="68"/>
    </row>
    <row r="209" spans="1:37" ht="15" customHeight="1" thickBot="1" x14ac:dyDescent="0.3">
      <c r="A209" s="1595"/>
      <c r="B209" s="1487" t="s">
        <v>436</v>
      </c>
      <c r="C209" s="1488"/>
      <c r="D209" s="1488"/>
      <c r="E209" s="1488"/>
      <c r="F209" s="1488"/>
      <c r="G209" s="1489"/>
      <c r="H209" s="981" t="s">
        <v>100</v>
      </c>
      <c r="I209" s="1017"/>
      <c r="J209" s="1029"/>
      <c r="K209" s="1030"/>
      <c r="L209" s="984" t="s">
        <v>437</v>
      </c>
      <c r="M209" s="985"/>
      <c r="N209" s="985"/>
      <c r="O209" s="985"/>
      <c r="P209" s="985"/>
      <c r="Q209" s="978" t="s">
        <v>100</v>
      </c>
      <c r="R209" s="972"/>
      <c r="S209" s="973"/>
      <c r="T209" s="1258"/>
      <c r="U209" s="1337"/>
      <c r="V209" s="72">
        <f>IF(AND(Q209="ja",R209=""),1,0)</f>
        <v>0</v>
      </c>
      <c r="Y209" s="74">
        <v>6.5000000000000002E-2</v>
      </c>
      <c r="Z209" s="77">
        <f>IF(H209="ja",Y209,0)</f>
        <v>0</v>
      </c>
      <c r="AA209" s="78"/>
      <c r="AB209" s="213">
        <f t="shared" si="2"/>
        <v>0</v>
      </c>
      <c r="AF209" s="68"/>
      <c r="AG209" s="68"/>
      <c r="AH209" s="68"/>
      <c r="AI209" s="68"/>
      <c r="AJ209" s="68"/>
      <c r="AK209" s="68"/>
    </row>
    <row r="210" spans="1:37" ht="15" customHeight="1" thickBot="1" x14ac:dyDescent="0.3">
      <c r="A210" s="159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213">
        <f t="shared" si="2"/>
        <v>0</v>
      </c>
      <c r="AF210" s="68"/>
      <c r="AG210" s="68"/>
      <c r="AH210" s="68"/>
      <c r="AI210" s="68"/>
      <c r="AJ210" s="68"/>
      <c r="AK210" s="68"/>
    </row>
    <row r="211" spans="1:37" ht="15" customHeight="1" thickBot="1" x14ac:dyDescent="0.3">
      <c r="A211" s="1595"/>
      <c r="B211" s="1493"/>
      <c r="C211" s="1317"/>
      <c r="D211" s="1317"/>
      <c r="E211" s="1317"/>
      <c r="F211" s="1317"/>
      <c r="G211" s="1494"/>
      <c r="H211" s="982"/>
      <c r="I211" s="1017"/>
      <c r="J211" s="1029"/>
      <c r="K211" s="1030"/>
      <c r="L211" s="984"/>
      <c r="M211" s="985"/>
      <c r="N211" s="985"/>
      <c r="O211" s="985"/>
      <c r="P211" s="985"/>
      <c r="Q211" s="978"/>
      <c r="R211" s="972"/>
      <c r="S211" s="973"/>
      <c r="T211" s="1258"/>
      <c r="U211" s="1337"/>
      <c r="Y211" s="74"/>
      <c r="Z211" s="77"/>
      <c r="AA211" s="78"/>
      <c r="AB211" s="213">
        <f t="shared" si="2"/>
        <v>0</v>
      </c>
      <c r="AF211" s="68"/>
      <c r="AG211" s="68"/>
      <c r="AH211" s="68"/>
      <c r="AI211" s="68"/>
      <c r="AJ211" s="68"/>
      <c r="AK211" s="68"/>
    </row>
    <row r="212" spans="1:37" ht="15" customHeight="1" thickBot="1" x14ac:dyDescent="0.3">
      <c r="A212" s="1595"/>
      <c r="B212" s="1490"/>
      <c r="C212" s="1491"/>
      <c r="D212" s="1491"/>
      <c r="E212" s="1491"/>
      <c r="F212" s="1491"/>
      <c r="G212" s="1492"/>
      <c r="H212" s="983"/>
      <c r="I212" s="1017"/>
      <c r="J212" s="1029"/>
      <c r="K212" s="1030"/>
      <c r="L212" s="1484" t="s">
        <v>438</v>
      </c>
      <c r="M212" s="1485"/>
      <c r="N212" s="1485"/>
      <c r="O212" s="1485"/>
      <c r="P212" s="1486"/>
      <c r="Q212" s="1680" t="s">
        <v>100</v>
      </c>
      <c r="R212" s="1683"/>
      <c r="S212" s="1684"/>
      <c r="T212" s="1258"/>
      <c r="U212" s="1337"/>
      <c r="V212" s="72">
        <f>IF(AND(Q212="ja",R212=""),1,0)</f>
        <v>0</v>
      </c>
      <c r="Y212" s="74"/>
      <c r="Z212" s="77"/>
      <c r="AA212" s="78"/>
      <c r="AB212" s="213">
        <f t="shared" si="2"/>
        <v>0</v>
      </c>
      <c r="AF212" s="68"/>
      <c r="AG212" s="68"/>
      <c r="AH212" s="68"/>
      <c r="AI212" s="68"/>
      <c r="AJ212" s="68"/>
      <c r="AK212" s="68"/>
    </row>
    <row r="213" spans="1:37" ht="15" customHeight="1" thickBot="1" x14ac:dyDescent="0.3">
      <c r="A213" s="1595"/>
      <c r="B213" s="1487" t="s">
        <v>439</v>
      </c>
      <c r="C213" s="1488"/>
      <c r="D213" s="1488"/>
      <c r="E213" s="1488"/>
      <c r="F213" s="1488"/>
      <c r="G213" s="1489"/>
      <c r="H213" s="981" t="s">
        <v>100</v>
      </c>
      <c r="I213" s="1017"/>
      <c r="J213" s="1029"/>
      <c r="K213" s="1030"/>
      <c r="L213" s="1288"/>
      <c r="M213" s="1289"/>
      <c r="N213" s="1289"/>
      <c r="O213" s="1289"/>
      <c r="P213" s="1290"/>
      <c r="Q213" s="1681"/>
      <c r="R213" s="1685"/>
      <c r="S213" s="1686"/>
      <c r="T213" s="1258"/>
      <c r="U213" s="1337"/>
      <c r="Y213" s="74">
        <v>8.5000000000000006E-3</v>
      </c>
      <c r="Z213" s="77">
        <f>IF(H213="ja",Y213,0)</f>
        <v>0</v>
      </c>
      <c r="AA213" s="78"/>
      <c r="AB213" s="213">
        <f t="shared" si="2"/>
        <v>0</v>
      </c>
      <c r="AF213" s="68"/>
      <c r="AG213" s="68"/>
      <c r="AH213" s="68"/>
      <c r="AI213" s="68"/>
      <c r="AJ213" s="68"/>
      <c r="AK213" s="68"/>
    </row>
    <row r="214" spans="1:37" ht="15" customHeight="1" thickBot="1" x14ac:dyDescent="0.3">
      <c r="A214" s="1595"/>
      <c r="B214" s="1493"/>
      <c r="C214" s="1317"/>
      <c r="D214" s="1317"/>
      <c r="E214" s="1317"/>
      <c r="F214" s="1317"/>
      <c r="G214" s="1494"/>
      <c r="H214" s="982"/>
      <c r="I214" s="1017"/>
      <c r="J214" s="1029"/>
      <c r="K214" s="1030"/>
      <c r="L214" s="1288"/>
      <c r="M214" s="1289"/>
      <c r="N214" s="1289"/>
      <c r="O214" s="1289"/>
      <c r="P214" s="1290"/>
      <c r="Q214" s="1681"/>
      <c r="R214" s="1685"/>
      <c r="S214" s="1686"/>
      <c r="T214" s="1258"/>
      <c r="U214" s="1337"/>
      <c r="Y214" s="74"/>
      <c r="Z214" s="77"/>
      <c r="AA214" s="78"/>
      <c r="AB214" s="213">
        <f t="shared" si="2"/>
        <v>0</v>
      </c>
      <c r="AF214" s="68"/>
      <c r="AG214" s="68"/>
      <c r="AH214" s="68"/>
      <c r="AI214" s="68"/>
      <c r="AJ214" s="68"/>
      <c r="AK214" s="68"/>
    </row>
    <row r="215" spans="1:37" ht="15" customHeight="1" thickBot="1" x14ac:dyDescent="0.3">
      <c r="A215" s="1595"/>
      <c r="B215" s="1493"/>
      <c r="C215" s="1317"/>
      <c r="D215" s="1317"/>
      <c r="E215" s="1317"/>
      <c r="F215" s="1317"/>
      <c r="G215" s="1494"/>
      <c r="H215" s="982"/>
      <c r="I215" s="1017"/>
      <c r="J215" s="1029"/>
      <c r="K215" s="1030"/>
      <c r="L215" s="1288"/>
      <c r="M215" s="1289"/>
      <c r="N215" s="1289"/>
      <c r="O215" s="1289"/>
      <c r="P215" s="1290"/>
      <c r="Q215" s="1681"/>
      <c r="R215" s="1685"/>
      <c r="S215" s="1686"/>
      <c r="T215" s="1258"/>
      <c r="U215" s="1337"/>
      <c r="V215" s="72">
        <f>IF(AND(Q215="ja",R215=""),1,0)</f>
        <v>0</v>
      </c>
      <c r="Y215" s="74"/>
      <c r="Z215" s="77"/>
      <c r="AA215" s="78"/>
      <c r="AB215" s="213">
        <f t="shared" si="2"/>
        <v>0</v>
      </c>
      <c r="AF215" s="68"/>
      <c r="AG215" s="68"/>
      <c r="AH215" s="68"/>
      <c r="AI215" s="68"/>
      <c r="AJ215" s="68"/>
      <c r="AK215" s="68"/>
    </row>
    <row r="216" spans="1:37" ht="15" customHeight="1" thickBot="1" x14ac:dyDescent="0.3">
      <c r="A216" s="1595"/>
      <c r="B216" s="1490"/>
      <c r="C216" s="1491"/>
      <c r="D216" s="1491"/>
      <c r="E216" s="1491"/>
      <c r="F216" s="1491"/>
      <c r="G216" s="1492"/>
      <c r="H216" s="983"/>
      <c r="I216" s="1017"/>
      <c r="J216" s="1029"/>
      <c r="K216" s="1030"/>
      <c r="L216" s="1288"/>
      <c r="M216" s="1289"/>
      <c r="N216" s="1289"/>
      <c r="O216" s="1289"/>
      <c r="P216" s="1290"/>
      <c r="Q216" s="1681"/>
      <c r="R216" s="1685"/>
      <c r="S216" s="1686"/>
      <c r="T216" s="1258"/>
      <c r="U216" s="1337"/>
      <c r="Y216" s="74"/>
      <c r="Z216" s="77"/>
      <c r="AA216" s="78"/>
      <c r="AB216" s="213">
        <f t="shared" si="2"/>
        <v>0</v>
      </c>
      <c r="AF216" s="68"/>
      <c r="AG216" s="68"/>
      <c r="AH216" s="68"/>
      <c r="AI216" s="68"/>
      <c r="AJ216" s="68"/>
      <c r="AK216" s="68"/>
    </row>
    <row r="217" spans="1:37" ht="15" customHeight="1" thickBot="1" x14ac:dyDescent="0.3">
      <c r="A217" s="1595"/>
      <c r="B217" s="1103" t="s">
        <v>440</v>
      </c>
      <c r="C217" s="1104"/>
      <c r="D217" s="1104"/>
      <c r="E217" s="1104"/>
      <c r="F217" s="1104"/>
      <c r="G217" s="1105"/>
      <c r="H217" s="314" t="s">
        <v>100</v>
      </c>
      <c r="I217" s="1017"/>
      <c r="J217" s="1029"/>
      <c r="K217" s="1030"/>
      <c r="L217" s="1291"/>
      <c r="M217" s="1292"/>
      <c r="N217" s="1292"/>
      <c r="O217" s="1292"/>
      <c r="P217" s="1293"/>
      <c r="Q217" s="1682"/>
      <c r="R217" s="1687"/>
      <c r="S217" s="1688"/>
      <c r="T217" s="1258"/>
      <c r="U217" s="1337"/>
      <c r="Y217" s="74">
        <v>8.0000000000000002E-3</v>
      </c>
      <c r="Z217" s="77">
        <f>IF(H217="ja",Y217,0)</f>
        <v>0</v>
      </c>
      <c r="AA217" s="78"/>
      <c r="AB217" s="213">
        <f t="shared" si="2"/>
        <v>0</v>
      </c>
      <c r="AF217" s="68"/>
      <c r="AG217" s="68"/>
      <c r="AH217" s="68"/>
      <c r="AI217" s="68"/>
      <c r="AJ217" s="68"/>
      <c r="AK217" s="68"/>
    </row>
    <row r="218" spans="1:37" ht="15" customHeight="1" thickBot="1" x14ac:dyDescent="0.3">
      <c r="A218" s="1595"/>
      <c r="B218" s="1103" t="s">
        <v>441</v>
      </c>
      <c r="C218" s="1104"/>
      <c r="D218" s="1104"/>
      <c r="E218" s="1104"/>
      <c r="F218" s="1104"/>
      <c r="G218" s="1105"/>
      <c r="H218" s="314" t="s">
        <v>100</v>
      </c>
      <c r="I218" s="1017"/>
      <c r="J218" s="1029"/>
      <c r="K218" s="1030"/>
      <c r="L218" s="1484" t="s">
        <v>442</v>
      </c>
      <c r="M218" s="1485"/>
      <c r="N218" s="1485"/>
      <c r="O218" s="1485"/>
      <c r="P218" s="1486"/>
      <c r="Q218" s="1680" t="s">
        <v>100</v>
      </c>
      <c r="R218" s="1683"/>
      <c r="S218" s="1684"/>
      <c r="T218" s="1258"/>
      <c r="U218" s="1337"/>
      <c r="V218" s="72">
        <f>IF(AND(Q218="ja",R218=""),1,0)</f>
        <v>0</v>
      </c>
      <c r="Y218" s="74">
        <v>5.0000000000000001E-3</v>
      </c>
      <c r="Z218" s="77">
        <f>IF(H218="ja",Y218,0)</f>
        <v>0</v>
      </c>
      <c r="AA218" s="78"/>
      <c r="AB218" s="213">
        <f t="shared" si="2"/>
        <v>0</v>
      </c>
      <c r="AF218" s="68"/>
      <c r="AG218" s="68"/>
      <c r="AH218" s="68"/>
      <c r="AI218" s="68"/>
      <c r="AJ218" s="68"/>
      <c r="AK218" s="68"/>
    </row>
    <row r="219" spans="1:37" ht="15" customHeight="1" thickBot="1" x14ac:dyDescent="0.3">
      <c r="A219" s="1595"/>
      <c r="B219" s="1487" t="s">
        <v>443</v>
      </c>
      <c r="C219" s="1488"/>
      <c r="D219" s="1488"/>
      <c r="E219" s="1488"/>
      <c r="F219" s="1488"/>
      <c r="G219" s="1489"/>
      <c r="H219" s="981" t="s">
        <v>100</v>
      </c>
      <c r="I219" s="1017"/>
      <c r="J219" s="1029"/>
      <c r="K219" s="1030"/>
      <c r="L219" s="1288"/>
      <c r="M219" s="1289"/>
      <c r="N219" s="1289"/>
      <c r="O219" s="1289"/>
      <c r="P219" s="1290"/>
      <c r="Q219" s="1681"/>
      <c r="R219" s="1685"/>
      <c r="S219" s="1686"/>
      <c r="T219" s="1258"/>
      <c r="U219" s="1337"/>
      <c r="Y219" s="74">
        <v>2.5000000000000001E-2</v>
      </c>
      <c r="Z219" s="77">
        <f>IF(H219="ja",Y219,0)</f>
        <v>0</v>
      </c>
      <c r="AA219" s="78"/>
      <c r="AB219" s="213">
        <f t="shared" si="2"/>
        <v>0</v>
      </c>
      <c r="AF219" s="68"/>
      <c r="AG219" s="68"/>
      <c r="AH219" s="68"/>
      <c r="AI219" s="68"/>
      <c r="AJ219" s="68"/>
      <c r="AK219" s="68"/>
    </row>
    <row r="220" spans="1:37" ht="15" customHeight="1" thickBot="1" x14ac:dyDescent="0.3">
      <c r="A220" s="1595"/>
      <c r="B220" s="1493"/>
      <c r="C220" s="1317"/>
      <c r="D220" s="1317"/>
      <c r="E220" s="1317"/>
      <c r="F220" s="1317"/>
      <c r="G220" s="1494"/>
      <c r="H220" s="982"/>
      <c r="I220" s="1017"/>
      <c r="J220" s="1029"/>
      <c r="K220" s="1030"/>
      <c r="L220" s="1288"/>
      <c r="M220" s="1289"/>
      <c r="N220" s="1289"/>
      <c r="O220" s="1289"/>
      <c r="P220" s="1290"/>
      <c r="Q220" s="1681"/>
      <c r="R220" s="1685"/>
      <c r="S220" s="1686"/>
      <c r="T220" s="1258"/>
      <c r="U220" s="1337"/>
      <c r="Y220" s="74"/>
      <c r="Z220" s="77"/>
      <c r="AA220" s="78"/>
      <c r="AB220" s="213">
        <f t="shared" si="2"/>
        <v>0</v>
      </c>
      <c r="AF220" s="68"/>
      <c r="AG220" s="68"/>
      <c r="AH220" s="68"/>
      <c r="AI220" s="68"/>
      <c r="AJ220" s="68"/>
      <c r="AK220" s="68"/>
    </row>
    <row r="221" spans="1:37" ht="15" customHeight="1" thickBot="1" x14ac:dyDescent="0.3">
      <c r="A221" s="1595"/>
      <c r="B221" s="1493"/>
      <c r="C221" s="1317"/>
      <c r="D221" s="1317"/>
      <c r="E221" s="1317"/>
      <c r="F221" s="1317"/>
      <c r="G221" s="1494"/>
      <c r="H221" s="982"/>
      <c r="I221" s="1017"/>
      <c r="J221" s="1029"/>
      <c r="K221" s="1030"/>
      <c r="L221" s="1288"/>
      <c r="M221" s="1289"/>
      <c r="N221" s="1289"/>
      <c r="O221" s="1289"/>
      <c r="P221" s="1290"/>
      <c r="Q221" s="1681"/>
      <c r="R221" s="1685"/>
      <c r="S221" s="1686"/>
      <c r="T221" s="1258"/>
      <c r="U221" s="1337"/>
      <c r="V221" s="72">
        <f>IF(AND(Q221="ja",R221=""),1,0)</f>
        <v>0</v>
      </c>
      <c r="Y221" s="74"/>
      <c r="Z221" s="77"/>
      <c r="AA221" s="78"/>
      <c r="AB221" s="213">
        <f t="shared" si="2"/>
        <v>0</v>
      </c>
      <c r="AF221" s="68"/>
      <c r="AG221" s="68"/>
      <c r="AH221" s="68"/>
      <c r="AI221" s="68"/>
      <c r="AJ221" s="68"/>
      <c r="AK221" s="68"/>
    </row>
    <row r="222" spans="1:37" ht="15" customHeight="1" thickBot="1" x14ac:dyDescent="0.3">
      <c r="A222" s="1595"/>
      <c r="B222" s="1490"/>
      <c r="C222" s="1491"/>
      <c r="D222" s="1491"/>
      <c r="E222" s="1491"/>
      <c r="F222" s="1491"/>
      <c r="G222" s="1492"/>
      <c r="H222" s="983"/>
      <c r="I222" s="1017"/>
      <c r="J222" s="1029"/>
      <c r="K222" s="1030"/>
      <c r="L222" s="1288"/>
      <c r="M222" s="1289"/>
      <c r="N222" s="1289"/>
      <c r="O222" s="1289"/>
      <c r="P222" s="1290"/>
      <c r="Q222" s="1681"/>
      <c r="R222" s="1685"/>
      <c r="S222" s="1686"/>
      <c r="T222" s="1258"/>
      <c r="U222" s="1337"/>
      <c r="Y222" s="74"/>
      <c r="Z222" s="77"/>
      <c r="AA222" s="78"/>
      <c r="AB222" s="213">
        <f t="shared" si="2"/>
        <v>0</v>
      </c>
      <c r="AF222" s="68"/>
      <c r="AG222" s="68"/>
      <c r="AH222" s="68"/>
      <c r="AI222" s="68"/>
      <c r="AJ222" s="68"/>
      <c r="AK222" s="68"/>
    </row>
    <row r="223" spans="1:37" ht="15" customHeight="1" thickBot="1" x14ac:dyDescent="0.3">
      <c r="A223" s="1595"/>
      <c r="B223" s="1103" t="s">
        <v>444</v>
      </c>
      <c r="C223" s="1104"/>
      <c r="D223" s="1104"/>
      <c r="E223" s="1104"/>
      <c r="F223" s="1104"/>
      <c r="G223" s="1105"/>
      <c r="H223" s="314" t="s">
        <v>100</v>
      </c>
      <c r="I223" s="1017"/>
      <c r="J223" s="1029"/>
      <c r="K223" s="1030"/>
      <c r="L223" s="1288"/>
      <c r="M223" s="1289"/>
      <c r="N223" s="1289"/>
      <c r="O223" s="1289"/>
      <c r="P223" s="1290"/>
      <c r="Q223" s="1681"/>
      <c r="R223" s="1685"/>
      <c r="S223" s="1686"/>
      <c r="T223" s="1258"/>
      <c r="U223" s="1337"/>
      <c r="Y223" s="74">
        <v>1E-3</v>
      </c>
      <c r="Z223" s="77">
        <f>IF(H223="ja",Y223,0)</f>
        <v>0</v>
      </c>
      <c r="AA223" s="78"/>
      <c r="AB223" s="213">
        <f t="shared" si="2"/>
        <v>0</v>
      </c>
      <c r="AF223" s="68"/>
      <c r="AG223" s="68"/>
      <c r="AH223" s="68"/>
      <c r="AI223" s="68"/>
      <c r="AJ223" s="68"/>
      <c r="AK223" s="68"/>
    </row>
    <row r="224" spans="1:37" ht="15" customHeight="1" thickBot="1" x14ac:dyDescent="0.3">
      <c r="A224" s="1595"/>
      <c r="B224" s="1487" t="s">
        <v>445</v>
      </c>
      <c r="C224" s="1488"/>
      <c r="D224" s="1488"/>
      <c r="E224" s="1488"/>
      <c r="F224" s="1488"/>
      <c r="G224" s="1489"/>
      <c r="H224" s="981" t="s">
        <v>100</v>
      </c>
      <c r="I224" s="1017"/>
      <c r="J224" s="1029"/>
      <c r="K224" s="1030"/>
      <c r="L224" s="1288"/>
      <c r="M224" s="1289"/>
      <c r="N224" s="1289"/>
      <c r="O224" s="1289"/>
      <c r="P224" s="1290"/>
      <c r="Q224" s="1681"/>
      <c r="R224" s="1685"/>
      <c r="S224" s="1686"/>
      <c r="T224" s="1258"/>
      <c r="U224" s="1337"/>
      <c r="V224" s="72">
        <f>IF(AND(Q224="ja",R224=""),1,0)</f>
        <v>0</v>
      </c>
      <c r="Y224" s="74">
        <v>7.4999999999999997E-3</v>
      </c>
      <c r="Z224" s="77">
        <f>IF(H224="ja",Y224,0)</f>
        <v>0</v>
      </c>
      <c r="AA224" s="78"/>
      <c r="AB224" s="213">
        <f t="shared" si="2"/>
        <v>0</v>
      </c>
      <c r="AF224" s="68"/>
      <c r="AG224" s="68"/>
      <c r="AH224" s="68"/>
      <c r="AI224" s="68"/>
      <c r="AJ224" s="68"/>
      <c r="AK224" s="68"/>
    </row>
    <row r="225" spans="1:37" ht="15" customHeight="1" thickBot="1" x14ac:dyDescent="0.3">
      <c r="A225" s="1595"/>
      <c r="B225" s="1493"/>
      <c r="C225" s="1317"/>
      <c r="D225" s="1317"/>
      <c r="E225" s="1317"/>
      <c r="F225" s="1317"/>
      <c r="G225" s="1494"/>
      <c r="H225" s="982"/>
      <c r="I225" s="1017"/>
      <c r="J225" s="1029"/>
      <c r="K225" s="1030"/>
      <c r="L225" s="1288"/>
      <c r="M225" s="1289"/>
      <c r="N225" s="1289"/>
      <c r="O225" s="1289"/>
      <c r="P225" s="1290"/>
      <c r="Q225" s="1681"/>
      <c r="R225" s="1685"/>
      <c r="S225" s="1686"/>
      <c r="T225" s="1258"/>
      <c r="U225" s="1337"/>
      <c r="Y225" s="74"/>
      <c r="Z225" s="77"/>
      <c r="AA225" s="78"/>
      <c r="AB225" s="213">
        <f t="shared" si="2"/>
        <v>0</v>
      </c>
      <c r="AF225" s="68"/>
      <c r="AG225" s="68"/>
      <c r="AH225" s="68"/>
      <c r="AI225" s="68"/>
      <c r="AJ225" s="68"/>
      <c r="AK225" s="68"/>
    </row>
    <row r="226" spans="1:37" ht="15" customHeight="1" thickBot="1" x14ac:dyDescent="0.3">
      <c r="A226" s="1595"/>
      <c r="B226" s="1493"/>
      <c r="C226" s="1317"/>
      <c r="D226" s="1317"/>
      <c r="E226" s="1317"/>
      <c r="F226" s="1317"/>
      <c r="G226" s="1494"/>
      <c r="H226" s="982"/>
      <c r="I226" s="1017"/>
      <c r="J226" s="1029"/>
      <c r="K226" s="1030"/>
      <c r="L226" s="1291"/>
      <c r="M226" s="1292"/>
      <c r="N226" s="1292"/>
      <c r="O226" s="1292"/>
      <c r="P226" s="1293"/>
      <c r="Q226" s="1682"/>
      <c r="R226" s="1687"/>
      <c r="S226" s="1688"/>
      <c r="T226" s="1258"/>
      <c r="U226" s="1337"/>
      <c r="Y226" s="74"/>
      <c r="Z226" s="77"/>
      <c r="AA226" s="78"/>
      <c r="AB226" s="213">
        <f t="shared" si="2"/>
        <v>0</v>
      </c>
      <c r="AF226" s="68"/>
      <c r="AG226" s="68"/>
      <c r="AH226" s="68"/>
      <c r="AI226" s="68"/>
      <c r="AJ226" s="68"/>
      <c r="AK226" s="68"/>
    </row>
    <row r="227" spans="1:37" ht="15" customHeight="1" thickBot="1" x14ac:dyDescent="0.3">
      <c r="A227" s="1595"/>
      <c r="B227" s="1490"/>
      <c r="C227" s="1491"/>
      <c r="D227" s="1491"/>
      <c r="E227" s="1491"/>
      <c r="F227" s="1491"/>
      <c r="G227" s="1492"/>
      <c r="H227" s="983"/>
      <c r="I227" s="1017"/>
      <c r="J227" s="1029"/>
      <c r="K227" s="1030"/>
      <c r="L227" s="984" t="s">
        <v>254</v>
      </c>
      <c r="M227" s="985"/>
      <c r="N227" s="985"/>
      <c r="O227" s="985"/>
      <c r="P227" s="985"/>
      <c r="Q227" s="978" t="s">
        <v>100</v>
      </c>
      <c r="R227" s="972"/>
      <c r="S227" s="973"/>
      <c r="T227" s="1258"/>
      <c r="U227" s="1337"/>
      <c r="V227" s="72">
        <f>IF(AND(Q227="ja",R227=""),1,0)</f>
        <v>0</v>
      </c>
      <c r="Y227" s="74"/>
      <c r="Z227" s="77"/>
      <c r="AA227" s="78"/>
      <c r="AB227" s="213">
        <f t="shared" si="2"/>
        <v>0</v>
      </c>
      <c r="AF227" s="68"/>
      <c r="AG227" s="68"/>
      <c r="AH227" s="68"/>
      <c r="AI227" s="68"/>
      <c r="AJ227" s="68"/>
      <c r="AK227" s="68"/>
    </row>
    <row r="228" spans="1:37" ht="15" customHeight="1" thickBot="1" x14ac:dyDescent="0.3">
      <c r="A228" s="1595"/>
      <c r="B228" s="1487" t="s">
        <v>446</v>
      </c>
      <c r="C228" s="1488"/>
      <c r="D228" s="1488"/>
      <c r="E228" s="1488"/>
      <c r="F228" s="1488"/>
      <c r="G228" s="1489"/>
      <c r="H228" s="981" t="s">
        <v>100</v>
      </c>
      <c r="I228" s="1017"/>
      <c r="J228" s="1029"/>
      <c r="K228" s="1030"/>
      <c r="L228" s="984"/>
      <c r="M228" s="985"/>
      <c r="N228" s="985"/>
      <c r="O228" s="985"/>
      <c r="P228" s="985"/>
      <c r="Q228" s="978"/>
      <c r="R228" s="972"/>
      <c r="S228" s="973"/>
      <c r="T228" s="1258"/>
      <c r="U228" s="1337"/>
      <c r="Y228" s="74">
        <v>1E-3</v>
      </c>
      <c r="Z228" s="77">
        <f>IF(H228="ja",Y228,0)</f>
        <v>0</v>
      </c>
      <c r="AA228" s="78"/>
      <c r="AB228" s="213">
        <f t="shared" si="2"/>
        <v>0</v>
      </c>
      <c r="AF228" s="68"/>
      <c r="AG228" s="68"/>
      <c r="AH228" s="68"/>
      <c r="AI228" s="68"/>
      <c r="AJ228" s="68"/>
      <c r="AK228" s="68"/>
    </row>
    <row r="229" spans="1:37" ht="15" customHeight="1" thickBot="1" x14ac:dyDescent="0.3">
      <c r="A229" s="1595"/>
      <c r="B229" s="1490"/>
      <c r="C229" s="1491"/>
      <c r="D229" s="1491"/>
      <c r="E229" s="1491"/>
      <c r="F229" s="1491"/>
      <c r="G229" s="1492"/>
      <c r="H229" s="983"/>
      <c r="I229" s="1017"/>
      <c r="J229" s="1029"/>
      <c r="K229" s="1030"/>
      <c r="L229" s="984"/>
      <c r="M229" s="985"/>
      <c r="N229" s="985"/>
      <c r="O229" s="985"/>
      <c r="P229" s="985"/>
      <c r="Q229" s="978"/>
      <c r="R229" s="972"/>
      <c r="S229" s="973"/>
      <c r="T229" s="1258"/>
      <c r="U229" s="1337"/>
      <c r="Y229" s="74"/>
      <c r="Z229" s="77"/>
      <c r="AA229" s="78"/>
      <c r="AB229" s="213">
        <f t="shared" si="2"/>
        <v>0</v>
      </c>
      <c r="AF229" s="68"/>
      <c r="AG229" s="68"/>
      <c r="AH229" s="68"/>
      <c r="AI229" s="68"/>
      <c r="AJ229" s="68"/>
      <c r="AK229" s="68"/>
    </row>
    <row r="230" spans="1:37" ht="15" customHeight="1" thickBot="1" x14ac:dyDescent="0.3">
      <c r="A230" s="1595"/>
      <c r="B230" s="1487" t="s">
        <v>270</v>
      </c>
      <c r="C230" s="1488"/>
      <c r="D230" s="1488"/>
      <c r="E230" s="1488"/>
      <c r="F230" s="1488"/>
      <c r="G230" s="1489"/>
      <c r="H230" s="981" t="s">
        <v>100</v>
      </c>
      <c r="I230" s="1017"/>
      <c r="J230" s="1029"/>
      <c r="K230" s="1030"/>
      <c r="L230" s="1484" t="s">
        <v>263</v>
      </c>
      <c r="M230" s="1485"/>
      <c r="N230" s="1485"/>
      <c r="O230" s="1485"/>
      <c r="P230" s="1486"/>
      <c r="Q230" s="979" t="s">
        <v>100</v>
      </c>
      <c r="R230" s="1005"/>
      <c r="S230" s="1006"/>
      <c r="T230" s="1258"/>
      <c r="U230" s="1337"/>
      <c r="V230" s="72">
        <f>IF(AND(Q230="ja",R230=""),1,0)</f>
        <v>0</v>
      </c>
      <c r="Y230" s="74">
        <v>1.4999999999999999E-2</v>
      </c>
      <c r="Z230" s="77">
        <f>IF(H230="ja",Y230,0)</f>
        <v>0</v>
      </c>
      <c r="AA230" s="78"/>
      <c r="AB230" s="213">
        <f t="shared" si="2"/>
        <v>0</v>
      </c>
      <c r="AF230" s="68"/>
      <c r="AG230" s="68"/>
      <c r="AH230" s="68"/>
      <c r="AI230" s="68"/>
      <c r="AJ230" s="68"/>
      <c r="AK230" s="68"/>
    </row>
    <row r="231" spans="1:37" ht="15" customHeight="1" thickBot="1" x14ac:dyDescent="0.3">
      <c r="A231" s="1595"/>
      <c r="B231" s="1490"/>
      <c r="C231" s="1491"/>
      <c r="D231" s="1491"/>
      <c r="E231" s="1491"/>
      <c r="F231" s="1491"/>
      <c r="G231" s="1492"/>
      <c r="H231" s="983"/>
      <c r="I231" s="1017"/>
      <c r="J231" s="1029"/>
      <c r="K231" s="1030"/>
      <c r="L231" s="1288"/>
      <c r="M231" s="1289"/>
      <c r="N231" s="1289"/>
      <c r="O231" s="1289"/>
      <c r="P231" s="1290"/>
      <c r="Q231" s="1003"/>
      <c r="R231" s="1007"/>
      <c r="S231" s="1008"/>
      <c r="T231" s="1258"/>
      <c r="U231" s="1337"/>
      <c r="Y231" s="74"/>
      <c r="Z231" s="77"/>
      <c r="AA231" s="78"/>
      <c r="AB231" s="213">
        <f t="shared" si="2"/>
        <v>0</v>
      </c>
      <c r="AF231" s="68"/>
      <c r="AG231" s="68"/>
      <c r="AH231" s="68"/>
      <c r="AI231" s="68"/>
      <c r="AJ231" s="68"/>
      <c r="AK231" s="68"/>
    </row>
    <row r="232" spans="1:37" ht="15" customHeight="1" thickBot="1" x14ac:dyDescent="0.3">
      <c r="A232" s="1595"/>
      <c r="B232" s="1487" t="s">
        <v>447</v>
      </c>
      <c r="C232" s="1488"/>
      <c r="D232" s="1488"/>
      <c r="E232" s="1488"/>
      <c r="F232" s="1488"/>
      <c r="G232" s="1489"/>
      <c r="H232" s="981" t="s">
        <v>100</v>
      </c>
      <c r="I232" s="1017"/>
      <c r="J232" s="1029"/>
      <c r="K232" s="1030"/>
      <c r="L232" s="1288"/>
      <c r="M232" s="1289"/>
      <c r="N232" s="1289"/>
      <c r="O232" s="1289"/>
      <c r="P232" s="1290"/>
      <c r="Q232" s="1003"/>
      <c r="R232" s="1007"/>
      <c r="S232" s="1008"/>
      <c r="T232" s="1258"/>
      <c r="U232" s="1337"/>
      <c r="Y232" s="74">
        <v>1E-3</v>
      </c>
      <c r="Z232" s="77">
        <f>IF(H232="ja",Y232,0)</f>
        <v>0</v>
      </c>
      <c r="AA232" s="77"/>
      <c r="AB232" s="213">
        <f t="shared" ref="AB232:AB243" si="3">IF(Q232="ja",1,0)</f>
        <v>0</v>
      </c>
      <c r="AF232" s="68"/>
      <c r="AG232" s="68"/>
      <c r="AH232" s="68"/>
      <c r="AI232" s="68"/>
      <c r="AJ232" s="68"/>
      <c r="AK232" s="68"/>
    </row>
    <row r="233" spans="1:37" ht="15" customHeight="1" thickBot="1" x14ac:dyDescent="0.3">
      <c r="A233" s="1595"/>
      <c r="B233" s="1493"/>
      <c r="C233" s="1317"/>
      <c r="D233" s="1317"/>
      <c r="E233" s="1317"/>
      <c r="F233" s="1317"/>
      <c r="G233" s="1494"/>
      <c r="H233" s="982"/>
      <c r="I233" s="1017"/>
      <c r="J233" s="1029"/>
      <c r="K233" s="1030"/>
      <c r="L233" s="1288"/>
      <c r="M233" s="1289"/>
      <c r="N233" s="1289"/>
      <c r="O233" s="1289"/>
      <c r="P233" s="1290"/>
      <c r="Q233" s="1003"/>
      <c r="R233" s="1007"/>
      <c r="S233" s="1008"/>
      <c r="T233" s="1258"/>
      <c r="U233" s="1337"/>
      <c r="V233" s="72">
        <f>IF(AND(Q233="ja",R233=""),1,0)</f>
        <v>0</v>
      </c>
      <c r="Y233" s="74"/>
      <c r="Z233" s="77"/>
      <c r="AA233" s="78"/>
      <c r="AB233" s="213">
        <f t="shared" si="3"/>
        <v>0</v>
      </c>
      <c r="AF233" s="68"/>
      <c r="AG233" s="68"/>
      <c r="AH233" s="68"/>
      <c r="AI233" s="68"/>
      <c r="AJ233" s="68"/>
      <c r="AK233" s="68"/>
    </row>
    <row r="234" spans="1:37" ht="15" customHeight="1" thickBot="1" x14ac:dyDescent="0.3">
      <c r="A234" s="1595"/>
      <c r="B234" s="1490"/>
      <c r="C234" s="1491"/>
      <c r="D234" s="1491"/>
      <c r="E234" s="1491"/>
      <c r="F234" s="1491"/>
      <c r="G234" s="1492"/>
      <c r="H234" s="983"/>
      <c r="I234" s="1018"/>
      <c r="J234" s="1031"/>
      <c r="K234" s="1032"/>
      <c r="L234" s="1508"/>
      <c r="M234" s="1509"/>
      <c r="N234" s="1509"/>
      <c r="O234" s="1509"/>
      <c r="P234" s="1510"/>
      <c r="Q234" s="1004"/>
      <c r="R234" s="1009"/>
      <c r="S234" s="1010"/>
      <c r="T234" s="1259"/>
      <c r="U234" s="1337"/>
      <c r="Y234" s="74"/>
      <c r="Z234" s="77"/>
      <c r="AA234" s="78"/>
      <c r="AB234" s="213">
        <f t="shared" si="3"/>
        <v>0</v>
      </c>
      <c r="AF234" s="68"/>
      <c r="AG234" s="68"/>
      <c r="AH234" s="68"/>
      <c r="AI234" s="68"/>
      <c r="AJ234" s="68"/>
      <c r="AK234" s="68"/>
    </row>
    <row r="235" spans="1:37" ht="14.55" thickBot="1" x14ac:dyDescent="0.3">
      <c r="A235" s="1595"/>
      <c r="B235" s="1511" t="s">
        <v>272</v>
      </c>
      <c r="C235" s="1512"/>
      <c r="D235" s="1512"/>
      <c r="E235" s="1512"/>
      <c r="F235" s="1512"/>
      <c r="G235" s="1513"/>
      <c r="H235" s="342"/>
      <c r="I235" s="1361"/>
      <c r="J235" s="1362"/>
      <c r="K235" s="1362"/>
      <c r="L235" s="1534">
        <f>SUM(R194:S234)</f>
        <v>0</v>
      </c>
      <c r="M235" s="1535"/>
      <c r="N235" s="1535"/>
      <c r="O235" s="1535"/>
      <c r="P235" s="1535"/>
      <c r="Q235" s="338"/>
      <c r="R235" s="1495"/>
      <c r="S235" s="1496"/>
      <c r="U235" s="334"/>
      <c r="Y235" s="74"/>
      <c r="Z235" s="152">
        <f>SUM(Z194:Z232)</f>
        <v>0</v>
      </c>
      <c r="AA235" s="78"/>
      <c r="AB235" s="213">
        <f t="shared" si="3"/>
        <v>0</v>
      </c>
      <c r="AF235" s="68"/>
      <c r="AG235" s="68"/>
      <c r="AH235" s="68"/>
      <c r="AI235" s="68"/>
      <c r="AJ235" s="68"/>
      <c r="AK235" s="68"/>
    </row>
    <row r="236" spans="1:37" ht="15" customHeight="1" thickBot="1" x14ac:dyDescent="0.3">
      <c r="A236" s="1595"/>
      <c r="B236" s="1497" t="s">
        <v>274</v>
      </c>
      <c r="C236" s="1498"/>
      <c r="D236" s="1498"/>
      <c r="E236" s="1498"/>
      <c r="F236" s="1498"/>
      <c r="G236" s="1499"/>
      <c r="H236" s="1194" t="s">
        <v>100</v>
      </c>
      <c r="I236" s="1016">
        <f>Z245</f>
        <v>0</v>
      </c>
      <c r="J236" s="1027">
        <f>I236*I115</f>
        <v>0</v>
      </c>
      <c r="K236" s="1028"/>
      <c r="L236" s="984"/>
      <c r="M236" s="985"/>
      <c r="N236" s="985"/>
      <c r="O236" s="985"/>
      <c r="P236" s="985"/>
      <c r="Q236" s="978" t="s">
        <v>100</v>
      </c>
      <c r="R236" s="972"/>
      <c r="S236" s="973"/>
      <c r="T236" s="1257" t="str">
        <f>IFERROR(IF((VLOOKUP(U236,Überblick!$M$125:$N$133,2))="ja","ja","nein"),"")</f>
        <v/>
      </c>
      <c r="U236" s="1337"/>
      <c r="V236" s="72">
        <f>IF(AND(Q236="ja",R236=""),1,0)</f>
        <v>0</v>
      </c>
      <c r="Y236" s="74">
        <v>5.0000000000000001E-3</v>
      </c>
      <c r="Z236" s="77">
        <f>IF(H236="ja",Y236,0)</f>
        <v>0</v>
      </c>
      <c r="AA236" s="78"/>
      <c r="AB236" s="213">
        <f t="shared" si="3"/>
        <v>0</v>
      </c>
      <c r="AF236" s="68"/>
      <c r="AG236" s="68"/>
      <c r="AH236" s="68"/>
      <c r="AI236" s="68"/>
      <c r="AJ236" s="68"/>
      <c r="AK236" s="68"/>
    </row>
    <row r="237" spans="1:37" ht="15" customHeight="1" thickBot="1" x14ac:dyDescent="0.3">
      <c r="A237" s="159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213">
        <f t="shared" si="3"/>
        <v>0</v>
      </c>
      <c r="AF237" s="68"/>
      <c r="AG237" s="68"/>
      <c r="AH237" s="68"/>
      <c r="AI237" s="68"/>
      <c r="AJ237" s="68"/>
      <c r="AK237" s="68"/>
    </row>
    <row r="238" spans="1:37" ht="15" customHeight="1" thickBot="1" x14ac:dyDescent="0.3">
      <c r="A238" s="1595"/>
      <c r="B238" s="1493"/>
      <c r="C238" s="1317"/>
      <c r="D238" s="1317"/>
      <c r="E238" s="1317"/>
      <c r="F238" s="1317"/>
      <c r="G238" s="1494"/>
      <c r="H238" s="982"/>
      <c r="I238" s="1017"/>
      <c r="J238" s="1029"/>
      <c r="K238" s="1030"/>
      <c r="L238" s="984"/>
      <c r="M238" s="985"/>
      <c r="N238" s="985"/>
      <c r="O238" s="985"/>
      <c r="P238" s="985"/>
      <c r="Q238" s="978"/>
      <c r="R238" s="972"/>
      <c r="S238" s="973"/>
      <c r="T238" s="1258"/>
      <c r="U238" s="1337"/>
      <c r="Y238" s="74"/>
      <c r="Z238" s="77"/>
      <c r="AA238" s="78"/>
      <c r="AB238" s="213">
        <f t="shared" si="3"/>
        <v>0</v>
      </c>
      <c r="AF238" s="68"/>
      <c r="AG238" s="68"/>
      <c r="AH238" s="68"/>
      <c r="AI238" s="68"/>
      <c r="AJ238" s="68"/>
      <c r="AK238" s="68"/>
    </row>
    <row r="239" spans="1:37" ht="15" customHeight="1" thickBot="1" x14ac:dyDescent="0.3">
      <c r="A239" s="1595"/>
      <c r="B239" s="1493"/>
      <c r="C239" s="1317"/>
      <c r="D239" s="1317"/>
      <c r="E239" s="1317"/>
      <c r="F239" s="1317"/>
      <c r="G239" s="1494"/>
      <c r="H239" s="982"/>
      <c r="I239" s="1017"/>
      <c r="J239" s="1029"/>
      <c r="K239" s="1030"/>
      <c r="L239" s="984"/>
      <c r="M239" s="985"/>
      <c r="N239" s="985"/>
      <c r="O239" s="985"/>
      <c r="P239" s="985"/>
      <c r="Q239" s="978" t="s">
        <v>100</v>
      </c>
      <c r="R239" s="972"/>
      <c r="S239" s="973"/>
      <c r="T239" s="1258"/>
      <c r="U239" s="1337"/>
      <c r="V239" s="72">
        <f>IF(AND(Q239="ja",R239=""),1,0)</f>
        <v>0</v>
      </c>
      <c r="Y239" s="74"/>
      <c r="Z239" s="77"/>
      <c r="AA239" s="78"/>
      <c r="AB239" s="213">
        <f t="shared" si="3"/>
        <v>0</v>
      </c>
      <c r="AF239" s="68"/>
      <c r="AG239" s="68"/>
      <c r="AH239" s="68"/>
      <c r="AI239" s="68"/>
      <c r="AJ239" s="68"/>
      <c r="AK239" s="68"/>
    </row>
    <row r="240" spans="1:37" ht="15" customHeight="1" thickBot="1" x14ac:dyDescent="0.3">
      <c r="A240" s="1595"/>
      <c r="B240" s="1490"/>
      <c r="C240" s="1491"/>
      <c r="D240" s="1491"/>
      <c r="E240" s="1491"/>
      <c r="F240" s="1491"/>
      <c r="G240" s="1492"/>
      <c r="H240" s="983"/>
      <c r="I240" s="1017"/>
      <c r="J240" s="1029"/>
      <c r="K240" s="1030"/>
      <c r="L240" s="984"/>
      <c r="M240" s="985"/>
      <c r="N240" s="985"/>
      <c r="O240" s="985"/>
      <c r="P240" s="985"/>
      <c r="Q240" s="978"/>
      <c r="R240" s="972"/>
      <c r="S240" s="973"/>
      <c r="T240" s="1258"/>
      <c r="U240" s="1337"/>
      <c r="Y240" s="74"/>
      <c r="Z240" s="77"/>
      <c r="AA240" s="78"/>
      <c r="AB240" s="213">
        <f t="shared" si="3"/>
        <v>0</v>
      </c>
      <c r="AF240" s="68"/>
      <c r="AG240" s="68"/>
      <c r="AH240" s="68"/>
      <c r="AI240" s="68"/>
      <c r="AJ240" s="68"/>
      <c r="AK240" s="68"/>
    </row>
    <row r="241" spans="1:37" ht="15" customHeight="1" thickBot="1" x14ac:dyDescent="0.3">
      <c r="A241" s="1595"/>
      <c r="B241" s="1487" t="s">
        <v>275</v>
      </c>
      <c r="C241" s="1488"/>
      <c r="D241" s="1488"/>
      <c r="E241" s="1488"/>
      <c r="F241" s="1488"/>
      <c r="G241" s="1489"/>
      <c r="H241" s="981" t="s">
        <v>100</v>
      </c>
      <c r="I241" s="1017"/>
      <c r="J241" s="1029"/>
      <c r="K241" s="1030"/>
      <c r="L241" s="984"/>
      <c r="M241" s="985"/>
      <c r="N241" s="985"/>
      <c r="O241" s="985"/>
      <c r="P241" s="985"/>
      <c r="Q241" s="978"/>
      <c r="R241" s="972"/>
      <c r="S241" s="973"/>
      <c r="T241" s="1258"/>
      <c r="U241" s="1337"/>
      <c r="Y241" s="74">
        <v>4.0000000000000001E-3</v>
      </c>
      <c r="Z241" s="77">
        <f>IF(H241="ja",Y241,0)</f>
        <v>0</v>
      </c>
      <c r="AA241" s="78"/>
      <c r="AB241" s="213">
        <f t="shared" si="3"/>
        <v>0</v>
      </c>
      <c r="AF241" s="68"/>
      <c r="AG241" s="68"/>
      <c r="AH241" s="68"/>
      <c r="AI241" s="68"/>
      <c r="AJ241" s="68"/>
      <c r="AK241" s="68"/>
    </row>
    <row r="242" spans="1:37" ht="15" customHeight="1" thickBot="1" x14ac:dyDescent="0.3">
      <c r="A242" s="1595"/>
      <c r="B242" s="1493"/>
      <c r="C242" s="1317"/>
      <c r="D242" s="1317"/>
      <c r="E242" s="1317"/>
      <c r="F242" s="1317"/>
      <c r="G242" s="1494"/>
      <c r="H242" s="982"/>
      <c r="I242" s="1017"/>
      <c r="J242" s="1029"/>
      <c r="K242" s="1030"/>
      <c r="L242" s="984"/>
      <c r="M242" s="985"/>
      <c r="N242" s="985"/>
      <c r="O242" s="985"/>
      <c r="P242" s="985"/>
      <c r="Q242" s="978" t="s">
        <v>100</v>
      </c>
      <c r="R242" s="972"/>
      <c r="S242" s="973"/>
      <c r="T242" s="1258"/>
      <c r="U242" s="1337"/>
      <c r="V242" s="72">
        <f>IF(AND(Q242="ja",R242=""),1,0)</f>
        <v>0</v>
      </c>
      <c r="Y242" s="74"/>
      <c r="Z242" s="77"/>
      <c r="AB242" s="213">
        <f t="shared" si="3"/>
        <v>0</v>
      </c>
      <c r="AF242" s="68"/>
      <c r="AG242" s="68"/>
      <c r="AH242" s="68"/>
      <c r="AI242" s="68"/>
      <c r="AJ242" s="68"/>
      <c r="AK242" s="68"/>
    </row>
    <row r="243" spans="1:37" ht="15" customHeight="1" thickBot="1" x14ac:dyDescent="0.3">
      <c r="A243" s="1595"/>
      <c r="B243" s="1490"/>
      <c r="C243" s="1491"/>
      <c r="D243" s="1491"/>
      <c r="E243" s="1491"/>
      <c r="F243" s="1491"/>
      <c r="G243" s="1492"/>
      <c r="H243" s="983"/>
      <c r="I243" s="1017"/>
      <c r="J243" s="1029"/>
      <c r="K243" s="1030"/>
      <c r="L243" s="984"/>
      <c r="M243" s="985"/>
      <c r="N243" s="985"/>
      <c r="O243" s="985"/>
      <c r="P243" s="985"/>
      <c r="Q243" s="978"/>
      <c r="R243" s="972"/>
      <c r="S243" s="973"/>
      <c r="T243" s="1258"/>
      <c r="U243" s="1337"/>
      <c r="Y243" s="74"/>
      <c r="Z243" s="77"/>
      <c r="AB243" s="213">
        <f t="shared" si="3"/>
        <v>0</v>
      </c>
      <c r="AF243" s="68"/>
      <c r="AG243" s="68"/>
      <c r="AH243" s="68"/>
      <c r="AI243" s="68"/>
      <c r="AJ243" s="68"/>
      <c r="AK243" s="68"/>
    </row>
    <row r="244" spans="1:37" ht="15" customHeight="1" thickBot="1" x14ac:dyDescent="0.3">
      <c r="A244" s="1595"/>
      <c r="B244" s="1184" t="s">
        <v>276</v>
      </c>
      <c r="C244" s="1185"/>
      <c r="D244" s="1185"/>
      <c r="E244" s="1185"/>
      <c r="F244" s="1185"/>
      <c r="G244" s="1186"/>
      <c r="H244" s="315" t="s">
        <v>100</v>
      </c>
      <c r="I244" s="1018"/>
      <c r="J244" s="1031"/>
      <c r="K244" s="1032"/>
      <c r="L244" s="1369"/>
      <c r="M244" s="1370"/>
      <c r="N244" s="1370"/>
      <c r="O244" s="1370"/>
      <c r="P244" s="1370"/>
      <c r="Q244" s="979"/>
      <c r="R244" s="974"/>
      <c r="S244" s="975"/>
      <c r="T244" s="1259"/>
      <c r="U244" s="1337"/>
      <c r="Y244" s="74">
        <v>1E-3</v>
      </c>
      <c r="Z244" s="77">
        <f>IF(H244="ja",Y244,0)</f>
        <v>0</v>
      </c>
      <c r="AF244" s="68"/>
      <c r="AG244" s="68"/>
      <c r="AH244" s="68"/>
      <c r="AI244" s="68"/>
      <c r="AJ244" s="68"/>
      <c r="AK244" s="68"/>
    </row>
    <row r="245" spans="1:37" ht="14.55" thickBot="1" x14ac:dyDescent="0.3">
      <c r="B245" s="1502" t="s">
        <v>277</v>
      </c>
      <c r="C245" s="1503"/>
      <c r="D245" s="1503"/>
      <c r="E245" s="1503"/>
      <c r="F245" s="1503"/>
      <c r="G245" s="1503"/>
      <c r="H245" s="1503"/>
      <c r="I245" s="1500">
        <f>I236+I194+I179+I154+I128+I119+I82+I55+I39+I133+I143+I144+I145+I150</f>
        <v>0</v>
      </c>
      <c r="J245" s="1506">
        <f>J236+J194+J179+J154+J128+J119+J82+J55+J39+J133+J143+J144+J145+J150</f>
        <v>0</v>
      </c>
      <c r="K245" s="1161"/>
      <c r="L245" s="1355">
        <f>SUM(R236:S244)</f>
        <v>0</v>
      </c>
      <c r="M245" s="1356"/>
      <c r="N245" s="1356"/>
      <c r="O245" s="1356"/>
      <c r="P245" s="1666"/>
      <c r="Q245" s="1329"/>
      <c r="R245" s="1327">
        <f>SUM(R236:S244)+SUM(R194:S234)+SUM(R179:S192)+SUM(R154:S177)+SUM(R128:S152)+SUM(R119:S126)+SUM(R82:S114)+SUM(R55:S77)+SUM(R39:S53)</f>
        <v>0</v>
      </c>
      <c r="S245" s="1037"/>
      <c r="T245" s="1567"/>
      <c r="U245" s="1610"/>
      <c r="Z245" s="152">
        <f>SUM(Z236:Z244)</f>
        <v>0</v>
      </c>
      <c r="AB245" s="39">
        <f>SUM(AB39:AB243)</f>
        <v>0</v>
      </c>
      <c r="AF245" s="68"/>
      <c r="AG245" s="68"/>
      <c r="AH245" s="68"/>
      <c r="AI245" s="68"/>
      <c r="AJ245" s="68"/>
      <c r="AK245" s="68"/>
    </row>
    <row r="246" spans="1:37" ht="15" customHeight="1" thickBot="1" x14ac:dyDescent="0.3">
      <c r="B246" s="1504"/>
      <c r="C246" s="1505"/>
      <c r="D246" s="1505"/>
      <c r="E246" s="1505"/>
      <c r="F246" s="1505"/>
      <c r="G246" s="1505"/>
      <c r="H246" s="1505"/>
      <c r="I246" s="1501"/>
      <c r="J246" s="1507"/>
      <c r="K246" s="1163"/>
      <c r="L246" s="1359"/>
      <c r="M246" s="1360"/>
      <c r="N246" s="1360"/>
      <c r="O246" s="1360"/>
      <c r="P246" s="1667"/>
      <c r="Q246" s="1330"/>
      <c r="R246" s="1328"/>
      <c r="S246" s="1043"/>
      <c r="T246" s="1569"/>
      <c r="U246" s="1610"/>
      <c r="V246" s="72">
        <f>SUM(V39:V244)+R23</f>
        <v>0</v>
      </c>
      <c r="AF246" s="68"/>
      <c r="AG246" s="68"/>
      <c r="AH246" s="68"/>
      <c r="AI246" s="68"/>
      <c r="AJ246" s="68"/>
      <c r="AK246" s="68"/>
    </row>
    <row r="247" spans="1:37" x14ac:dyDescent="0.25">
      <c r="AF247" s="68"/>
    </row>
    <row r="248" spans="1:37" x14ac:dyDescent="0.25">
      <c r="A248" s="491" t="s">
        <v>279</v>
      </c>
      <c r="B248" s="40" t="str">
        <f>IF(B1=Q1,"Honorarangebot für die zunächst beauftragten und für die optionalen Leistungen","Honorarvereinbarung für die zunächst beauftragten und für die optionalen Leistungen ")</f>
        <v>Honorarangebot für die zunächst beauftragten und für die optionalen Leistungen</v>
      </c>
      <c r="Q248" s="40"/>
      <c r="AB248" s="40"/>
      <c r="AF248" s="68"/>
    </row>
    <row r="249" spans="1:37" ht="14.55" thickBot="1" x14ac:dyDescent="0.3">
      <c r="A249" s="491"/>
    </row>
    <row r="250" spans="1:37" x14ac:dyDescent="0.25">
      <c r="A250" s="491"/>
      <c r="B250" s="941" t="s">
        <v>55</v>
      </c>
      <c r="C250" s="942"/>
      <c r="D250" s="942"/>
      <c r="E250" s="942"/>
      <c r="F250" s="943"/>
      <c r="G250" s="99"/>
      <c r="H250" s="944">
        <f>J245</f>
        <v>0</v>
      </c>
      <c r="I250" s="944"/>
      <c r="J250" s="945"/>
    </row>
    <row r="251" spans="1:37" x14ac:dyDescent="0.25">
      <c r="A251" s="491"/>
      <c r="B251" s="301"/>
      <c r="C251" s="41"/>
      <c r="D251" s="41"/>
      <c r="E251" s="41"/>
      <c r="F251" s="302"/>
      <c r="G251" s="101"/>
      <c r="H251" s="303"/>
      <c r="I251" s="303"/>
      <c r="J251" s="304"/>
    </row>
    <row r="252" spans="1:37" ht="15.95" customHeight="1" thickBot="1" x14ac:dyDescent="0.3">
      <c r="A252" s="491"/>
      <c r="B252" s="1298" t="s">
        <v>280</v>
      </c>
      <c r="C252" s="1299"/>
      <c r="D252" s="1299"/>
      <c r="E252" s="1299"/>
      <c r="F252" s="1300"/>
      <c r="G252" s="102">
        <f>F23</f>
        <v>0</v>
      </c>
      <c r="H252" s="956">
        <f>H250*G252</f>
        <v>0</v>
      </c>
      <c r="I252" s="956"/>
      <c r="J252" s="957"/>
      <c r="K252" s="96">
        <f>H250+H252</f>
        <v>0</v>
      </c>
    </row>
    <row r="253" spans="1:37" x14ac:dyDescent="0.25">
      <c r="A253" s="491"/>
      <c r="B253" s="90"/>
      <c r="C253" s="91"/>
      <c r="D253" s="91"/>
      <c r="E253" s="91"/>
      <c r="F253" s="92"/>
      <c r="G253" s="88"/>
      <c r="J253" s="89"/>
    </row>
    <row r="254" spans="1:37" x14ac:dyDescent="0.25">
      <c r="A254" s="491"/>
      <c r="B254" s="926" t="s">
        <v>57</v>
      </c>
      <c r="C254" s="927"/>
      <c r="D254" s="927"/>
      <c r="E254" s="927"/>
      <c r="F254" s="928"/>
      <c r="G254" s="101"/>
      <c r="H254" s="954">
        <f>R245</f>
        <v>0</v>
      </c>
      <c r="I254" s="954"/>
      <c r="J254" s="955"/>
    </row>
    <row r="255" spans="1:37" ht="14.55" thickBot="1" x14ac:dyDescent="0.3">
      <c r="A255" s="491"/>
      <c r="B255" s="296"/>
      <c r="C255" s="297"/>
      <c r="D255" s="297"/>
      <c r="E255" s="297"/>
      <c r="F255" s="298"/>
      <c r="G255" s="1333"/>
      <c r="H255" s="1334"/>
      <c r="I255" s="1334"/>
      <c r="J255" s="1335"/>
    </row>
    <row r="256" spans="1:37" ht="15.95" customHeight="1" thickBot="1" x14ac:dyDescent="0.3">
      <c r="A256" s="491"/>
      <c r="B256" s="929" t="s">
        <v>59</v>
      </c>
      <c r="C256" s="930"/>
      <c r="D256" s="930"/>
      <c r="E256" s="930"/>
      <c r="F256" s="931"/>
      <c r="G256" s="107"/>
      <c r="H256" s="935">
        <f>SUM(H250:J254)</f>
        <v>0</v>
      </c>
      <c r="I256" s="935"/>
      <c r="J256" s="936"/>
    </row>
    <row r="257" spans="1:26" x14ac:dyDescent="0.25">
      <c r="A257" s="491"/>
      <c r="B257" s="320"/>
      <c r="C257" s="321"/>
      <c r="D257" s="321"/>
      <c r="E257" s="321"/>
      <c r="F257" s="322"/>
      <c r="G257" s="45"/>
      <c r="H257" s="93"/>
      <c r="I257" s="93"/>
      <c r="J257" s="94"/>
    </row>
    <row r="258" spans="1:26" ht="15" customHeight="1" x14ac:dyDescent="0.25">
      <c r="A258" s="491"/>
      <c r="B258" s="917" t="s">
        <v>60</v>
      </c>
      <c r="C258" s="918"/>
      <c r="D258" s="918"/>
      <c r="E258" s="918"/>
      <c r="F258" s="919"/>
      <c r="G258" s="100">
        <f>Überblick!$G$98</f>
        <v>0.19</v>
      </c>
      <c r="H258" s="954">
        <f>H256*G258</f>
        <v>0</v>
      </c>
      <c r="I258" s="954"/>
      <c r="J258" s="955"/>
    </row>
    <row r="259" spans="1:26" ht="14.55" thickBot="1" x14ac:dyDescent="0.3">
      <c r="A259" s="491"/>
      <c r="B259" s="305"/>
      <c r="C259" s="306"/>
      <c r="D259" s="306"/>
      <c r="E259" s="306"/>
      <c r="F259" s="307"/>
      <c r="G259" s="102"/>
      <c r="H259" s="299"/>
      <c r="I259" s="299"/>
      <c r="J259" s="300"/>
    </row>
    <row r="260" spans="1:26" ht="15" customHeight="1" x14ac:dyDescent="0.25">
      <c r="A260" s="491"/>
      <c r="B260" s="920" t="s">
        <v>281</v>
      </c>
      <c r="C260" s="921"/>
      <c r="D260" s="921"/>
      <c r="E260" s="921"/>
      <c r="F260" s="922"/>
      <c r="G260" s="97"/>
      <c r="H260" s="937">
        <f>H256+H258</f>
        <v>0</v>
      </c>
      <c r="I260" s="937"/>
      <c r="J260" s="938"/>
    </row>
    <row r="261" spans="1:26" ht="14.55" thickBot="1" x14ac:dyDescent="0.3">
      <c r="A261" s="491"/>
      <c r="B261" s="923"/>
      <c r="C261" s="924"/>
      <c r="D261" s="924"/>
      <c r="E261" s="924"/>
      <c r="F261" s="925"/>
      <c r="G261" s="98"/>
      <c r="H261" s="939"/>
      <c r="I261" s="939"/>
      <c r="J261" s="940"/>
    </row>
    <row r="262" spans="1:26" x14ac:dyDescent="0.25">
      <c r="A262" s="491"/>
    </row>
    <row r="263" spans="1:26" x14ac:dyDescent="0.25">
      <c r="A263" s="491" t="s">
        <v>282</v>
      </c>
      <c r="B263" s="60" t="str">
        <f>IF(B1=Q1,"Honorangebot für die zunächst beauftragenden Leistungen","Honorarvereinbarung für die zunächst beauftragenden Leistungen")</f>
        <v>Honorangebot für die zunächst beauftragenden Leistungen</v>
      </c>
      <c r="C263" s="60"/>
      <c r="D263" s="60"/>
      <c r="E263" s="60"/>
      <c r="F263" s="65"/>
      <c r="G263" s="65"/>
      <c r="H263" s="65"/>
      <c r="I263" s="66"/>
      <c r="J263" s="66"/>
      <c r="K263" s="66"/>
      <c r="L263" s="66"/>
      <c r="M263" s="66"/>
      <c r="N263" s="66"/>
      <c r="O263" s="66"/>
      <c r="P263" s="67"/>
      <c r="Q263" s="60"/>
      <c r="R263" s="67"/>
      <c r="S263" s="67"/>
      <c r="T263" s="67"/>
      <c r="U263" s="67"/>
      <c r="Z263" s="461"/>
    </row>
    <row r="264" spans="1:26" ht="14.55" thickBot="1" x14ac:dyDescent="0.3">
      <c r="A264" s="491"/>
      <c r="B264" s="60"/>
      <c r="C264" s="60"/>
      <c r="D264" s="60"/>
      <c r="E264" s="60"/>
      <c r="F264" s="65"/>
      <c r="G264" s="65"/>
      <c r="H264" s="65"/>
      <c r="I264" s="66"/>
      <c r="J264" s="66"/>
      <c r="K264" s="66"/>
      <c r="L264" s="66"/>
      <c r="M264" s="66"/>
      <c r="N264" s="66"/>
      <c r="O264" s="66"/>
      <c r="P264" s="67"/>
      <c r="Q264" s="67"/>
      <c r="R264" s="67"/>
      <c r="S264" s="67"/>
      <c r="T264" s="67"/>
      <c r="U264" s="67"/>
    </row>
    <row r="265" spans="1:26" x14ac:dyDescent="0.25">
      <c r="A265" s="491"/>
      <c r="B265" s="941" t="s">
        <v>55</v>
      </c>
      <c r="C265" s="942"/>
      <c r="D265" s="942"/>
      <c r="E265" s="942"/>
      <c r="F265" s="943"/>
      <c r="G265" s="99"/>
      <c r="H265" s="944">
        <f>'Berechnung - Fernmeldeanlagen'!C123</f>
        <v>0</v>
      </c>
      <c r="I265" s="944"/>
      <c r="J265" s="945"/>
      <c r="K265" s="66"/>
      <c r="L265" s="66"/>
      <c r="M265" s="66"/>
      <c r="N265" s="66"/>
      <c r="O265" s="66"/>
      <c r="P265" s="67"/>
      <c r="Q265" s="67"/>
      <c r="R265" s="67"/>
      <c r="S265" s="67"/>
      <c r="T265" s="67"/>
      <c r="U265" s="67"/>
    </row>
    <row r="266" spans="1:26" x14ac:dyDescent="0.25">
      <c r="A266" s="491"/>
      <c r="B266" s="301"/>
      <c r="C266" s="41"/>
      <c r="D266" s="41"/>
      <c r="E266" s="41"/>
      <c r="F266" s="302"/>
      <c r="G266" s="101"/>
      <c r="H266" s="303"/>
      <c r="I266" s="303"/>
      <c r="J266" s="304"/>
      <c r="K266" s="66"/>
      <c r="L266" s="66"/>
      <c r="M266" s="66"/>
      <c r="N266" s="66"/>
      <c r="O266" s="66"/>
      <c r="P266" s="67"/>
      <c r="Q266" s="67"/>
      <c r="R266" s="67"/>
      <c r="S266" s="67"/>
      <c r="T266" s="67"/>
      <c r="U266" s="67"/>
    </row>
    <row r="267" spans="1:26" ht="15" customHeight="1" thickBot="1" x14ac:dyDescent="0.3">
      <c r="A267" s="491"/>
      <c r="B267" s="1298" t="s">
        <v>280</v>
      </c>
      <c r="C267" s="1299"/>
      <c r="D267" s="1299"/>
      <c r="E267" s="1299"/>
      <c r="F267" s="1300"/>
      <c r="G267" s="102">
        <f>F23</f>
        <v>0</v>
      </c>
      <c r="H267" s="956">
        <f>H265*G267</f>
        <v>0</v>
      </c>
      <c r="I267" s="956"/>
      <c r="J267" s="957"/>
      <c r="K267" s="66"/>
      <c r="L267" s="66"/>
      <c r="M267" s="66"/>
      <c r="N267" s="66"/>
      <c r="O267" s="66"/>
      <c r="P267" s="67"/>
      <c r="Q267" s="67"/>
      <c r="R267" s="67"/>
      <c r="S267" s="67"/>
      <c r="T267" s="67"/>
      <c r="U267" s="67"/>
    </row>
    <row r="268" spans="1:26" x14ac:dyDescent="0.25">
      <c r="A268" s="491"/>
      <c r="B268" s="90"/>
      <c r="C268" s="91"/>
      <c r="D268" s="91"/>
      <c r="E268" s="91"/>
      <c r="F268" s="92"/>
      <c r="G268" s="45"/>
      <c r="H268" s="46"/>
      <c r="I268" s="46"/>
      <c r="J268" s="105"/>
      <c r="K268" s="66"/>
      <c r="L268" s="66"/>
      <c r="M268" s="66"/>
      <c r="N268" s="66"/>
      <c r="O268" s="66"/>
      <c r="P268" s="67"/>
      <c r="Q268" s="67"/>
      <c r="R268" s="67"/>
      <c r="S268" s="67"/>
      <c r="T268" s="67"/>
      <c r="U268" s="67"/>
    </row>
    <row r="269" spans="1:26" x14ac:dyDescent="0.25">
      <c r="A269" s="491"/>
      <c r="B269" s="926" t="s">
        <v>57</v>
      </c>
      <c r="C269" s="927"/>
      <c r="D269" s="927"/>
      <c r="E269" s="927"/>
      <c r="F269" s="928"/>
      <c r="G269" s="101"/>
      <c r="H269" s="954">
        <f>'Berechnung - Fernmeldeanlagen'!E123</f>
        <v>0</v>
      </c>
      <c r="I269" s="954"/>
      <c r="J269" s="955"/>
      <c r="K269" s="66"/>
      <c r="L269" s="66"/>
      <c r="M269" s="66"/>
      <c r="N269" s="66"/>
      <c r="O269" s="66"/>
      <c r="P269" s="67"/>
      <c r="Q269" s="67"/>
      <c r="R269" s="67"/>
      <c r="S269" s="67"/>
      <c r="T269" s="67"/>
      <c r="U269" s="67"/>
    </row>
    <row r="270" spans="1:26" ht="14.55" thickBot="1" x14ac:dyDescent="0.3">
      <c r="A270" s="491"/>
      <c r="B270" s="90"/>
      <c r="C270" s="91"/>
      <c r="D270" s="91"/>
      <c r="E270" s="91"/>
      <c r="F270" s="92"/>
      <c r="G270" s="1333"/>
      <c r="H270" s="1334"/>
      <c r="I270" s="1334"/>
      <c r="J270" s="1335"/>
      <c r="K270" s="66"/>
      <c r="L270" s="66"/>
      <c r="M270" s="66"/>
      <c r="N270" s="66"/>
      <c r="O270" s="66"/>
      <c r="P270" s="67"/>
      <c r="Q270" s="67"/>
      <c r="R270" s="67"/>
      <c r="S270" s="67"/>
      <c r="T270" s="67"/>
      <c r="U270" s="67"/>
    </row>
    <row r="271" spans="1:26" ht="15.95" customHeight="1" thickBot="1" x14ac:dyDescent="0.3">
      <c r="A271" s="491"/>
      <c r="B271" s="929" t="s">
        <v>59</v>
      </c>
      <c r="C271" s="930"/>
      <c r="D271" s="930"/>
      <c r="E271" s="930"/>
      <c r="F271" s="931"/>
      <c r="G271" s="107"/>
      <c r="H271" s="1689">
        <f>SUM(H265:J269)</f>
        <v>0</v>
      </c>
      <c r="I271" s="1689"/>
      <c r="J271" s="1690"/>
      <c r="K271" s="66"/>
      <c r="L271" s="66"/>
      <c r="M271" s="66"/>
      <c r="N271" s="66"/>
      <c r="O271" s="66"/>
      <c r="P271" s="67"/>
      <c r="Q271" s="67"/>
      <c r="R271" s="67"/>
      <c r="S271" s="67"/>
      <c r="T271" s="67"/>
      <c r="U271" s="67"/>
    </row>
    <row r="272" spans="1:26" x14ac:dyDescent="0.25">
      <c r="A272" s="491"/>
      <c r="B272" s="320"/>
      <c r="C272" s="321"/>
      <c r="D272" s="321"/>
      <c r="E272" s="321"/>
      <c r="F272" s="322"/>
      <c r="G272" s="45"/>
      <c r="H272" s="93"/>
      <c r="I272" s="93"/>
      <c r="J272" s="94"/>
      <c r="K272" s="66"/>
      <c r="L272" s="66"/>
      <c r="M272" s="66"/>
      <c r="N272" s="66"/>
      <c r="O272" s="66"/>
      <c r="P272" s="67"/>
      <c r="Q272" s="67"/>
      <c r="R272" s="67"/>
      <c r="S272" s="67"/>
      <c r="T272" s="67"/>
      <c r="U272" s="67"/>
    </row>
    <row r="273" spans="1:21" ht="15" customHeight="1" x14ac:dyDescent="0.25">
      <c r="A273" s="491"/>
      <c r="B273" s="917" t="s">
        <v>94</v>
      </c>
      <c r="C273" s="918"/>
      <c r="D273" s="918"/>
      <c r="E273" s="918"/>
      <c r="F273" s="919"/>
      <c r="G273" s="100">
        <f>Überblick!$G$98</f>
        <v>0.19</v>
      </c>
      <c r="H273" s="954">
        <f>H271*G273</f>
        <v>0</v>
      </c>
      <c r="I273" s="954"/>
      <c r="J273" s="955"/>
      <c r="K273" s="66"/>
      <c r="L273" s="66"/>
      <c r="M273" s="66"/>
      <c r="N273" s="66"/>
      <c r="O273" s="66"/>
      <c r="P273" s="67"/>
      <c r="Q273" s="67"/>
      <c r="R273" s="67"/>
      <c r="S273" s="67"/>
      <c r="T273" s="67"/>
      <c r="U273" s="67"/>
    </row>
    <row r="274" spans="1:21" ht="14.55" thickBot="1" x14ac:dyDescent="0.3">
      <c r="A274" s="491"/>
      <c r="B274" s="305"/>
      <c r="C274" s="306"/>
      <c r="D274" s="306"/>
      <c r="E274" s="306"/>
      <c r="F274" s="307"/>
      <c r="G274" s="102"/>
      <c r="H274" s="299"/>
      <c r="I274" s="299"/>
      <c r="J274" s="300"/>
      <c r="K274" s="66"/>
      <c r="L274" s="66"/>
      <c r="M274" s="66"/>
      <c r="N274" s="66"/>
      <c r="O274" s="66"/>
      <c r="P274" s="67"/>
      <c r="Q274" s="67"/>
      <c r="R274" s="67"/>
      <c r="S274" s="67"/>
      <c r="T274" s="67"/>
      <c r="U274" s="67"/>
    </row>
    <row r="275" spans="1:21" ht="15" customHeight="1" x14ac:dyDescent="0.25">
      <c r="A275" s="491"/>
      <c r="B275" s="920" t="s">
        <v>98</v>
      </c>
      <c r="C275" s="921"/>
      <c r="D275" s="921"/>
      <c r="E275" s="921"/>
      <c r="F275" s="922"/>
      <c r="G275" s="172"/>
      <c r="H275" s="937">
        <f>H271+H273</f>
        <v>0</v>
      </c>
      <c r="I275" s="937"/>
      <c r="J275" s="938"/>
      <c r="K275" s="66"/>
      <c r="L275" s="66"/>
      <c r="M275" s="66"/>
      <c r="N275" s="66"/>
      <c r="O275" s="66"/>
      <c r="P275" s="67"/>
      <c r="Q275" s="67"/>
      <c r="R275" s="67"/>
      <c r="S275" s="67"/>
      <c r="T275" s="67"/>
      <c r="U275" s="67"/>
    </row>
    <row r="276" spans="1:21" ht="14.55" thickBot="1" x14ac:dyDescent="0.3">
      <c r="A276" s="491"/>
      <c r="B276" s="923"/>
      <c r="C276" s="924"/>
      <c r="D276" s="924"/>
      <c r="E276" s="924"/>
      <c r="F276" s="925"/>
      <c r="G276" s="98"/>
      <c r="H276" s="939"/>
      <c r="I276" s="939"/>
      <c r="J276" s="940"/>
      <c r="K276" s="66"/>
      <c r="L276" s="66"/>
      <c r="M276" s="66"/>
      <c r="N276" s="66"/>
      <c r="O276" s="66"/>
      <c r="P276" s="67"/>
      <c r="Q276" s="67"/>
      <c r="R276" s="67"/>
      <c r="S276" s="67"/>
      <c r="T276" s="67"/>
      <c r="U276" s="67"/>
    </row>
    <row r="277" spans="1:21" x14ac:dyDescent="0.25">
      <c r="A277" s="491"/>
      <c r="B277" s="60"/>
      <c r="C277" s="60"/>
      <c r="D277" s="60"/>
      <c r="E277" s="60"/>
      <c r="F277" s="65"/>
      <c r="G277" s="65"/>
      <c r="H277" s="65"/>
      <c r="I277" s="66"/>
      <c r="J277" s="66"/>
      <c r="K277" s="66"/>
      <c r="L277" s="66"/>
      <c r="M277" s="66"/>
      <c r="N277" s="66"/>
      <c r="O277" s="66"/>
      <c r="P277" s="67"/>
      <c r="Q277" s="67"/>
      <c r="R277" s="67"/>
      <c r="S277" s="67"/>
      <c r="T277" s="67"/>
      <c r="U277" s="67"/>
    </row>
    <row r="278" spans="1:21" x14ac:dyDescent="0.25">
      <c r="A278" s="491" t="s">
        <v>284</v>
      </c>
      <c r="B278" s="40" t="str">
        <f>IF(B1=Q1,"Gemäß des Honorarangebotes werden die Stufen wie folgt vergütet (netto):","Gemäß der Honorarvereinbarung werden die Stufen wie folgt vergütet (netto): ")</f>
        <v>Gemäß des Honorarangebotes werden die Stufen wie folgt vergütet (netto):</v>
      </c>
      <c r="C278" s="40"/>
      <c r="D278" s="40"/>
      <c r="E278" s="40"/>
      <c r="F278" s="40"/>
      <c r="G278" s="40"/>
      <c r="H278" s="40"/>
      <c r="I278" s="40"/>
      <c r="J278" s="40"/>
      <c r="K278" s="40"/>
      <c r="L278" s="60"/>
      <c r="M278" s="66"/>
      <c r="N278" s="66"/>
      <c r="O278" s="40"/>
      <c r="P278" s="67"/>
      <c r="Q278" s="67"/>
      <c r="R278" s="67"/>
      <c r="S278" s="67"/>
      <c r="T278" s="67"/>
      <c r="U278" s="67"/>
    </row>
    <row r="279" spans="1:21" ht="14.55" thickBot="1" x14ac:dyDescent="0.3">
      <c r="A279" s="491"/>
      <c r="B279" s="60"/>
      <c r="C279" s="60"/>
      <c r="D279" s="60"/>
      <c r="E279" s="60"/>
      <c r="F279" s="65"/>
      <c r="G279" s="65"/>
      <c r="H279" s="65"/>
      <c r="I279" s="66"/>
      <c r="J279" s="66"/>
      <c r="K279" s="66"/>
      <c r="L279" s="66"/>
      <c r="M279" s="66"/>
      <c r="N279" s="66"/>
      <c r="O279" s="40"/>
      <c r="P279" s="67"/>
      <c r="Q279" s="67"/>
      <c r="R279" s="67"/>
      <c r="S279" s="67"/>
      <c r="T279" s="67"/>
      <c r="U279" s="67"/>
    </row>
    <row r="280" spans="1:21" ht="15.2" thickTop="1" thickBot="1" x14ac:dyDescent="0.3">
      <c r="A280" s="491"/>
      <c r="B280" s="357" t="s">
        <v>105</v>
      </c>
      <c r="C280" s="358" t="s">
        <v>285</v>
      </c>
      <c r="D280" s="359" t="s">
        <v>286</v>
      </c>
      <c r="E280" s="360" t="s">
        <v>287</v>
      </c>
      <c r="F280" s="360" t="s">
        <v>288</v>
      </c>
      <c r="G280" s="361" t="s">
        <v>289</v>
      </c>
      <c r="H280" s="361" t="s">
        <v>290</v>
      </c>
      <c r="I280" s="362" t="s">
        <v>291</v>
      </c>
      <c r="J280" s="362" t="s">
        <v>292</v>
      </c>
      <c r="K280" s="362" t="s">
        <v>293</v>
      </c>
      <c r="L280" s="362" t="s">
        <v>294</v>
      </c>
      <c r="M280" s="362" t="s">
        <v>295</v>
      </c>
      <c r="N280" s="362" t="s">
        <v>296</v>
      </c>
      <c r="O280" s="362" t="s">
        <v>297</v>
      </c>
      <c r="P280" s="363" t="s">
        <v>298</v>
      </c>
      <c r="Q280" s="67"/>
      <c r="R280" s="67"/>
      <c r="S280" s="67"/>
      <c r="T280" s="67"/>
      <c r="U280" s="67"/>
    </row>
    <row r="281" spans="1:21" x14ac:dyDescent="0.25">
      <c r="A281" s="492"/>
      <c r="B281" s="153" t="str">
        <f>IF(Überblick!$H$53&gt;=1,"1:",0)</f>
        <v>1:</v>
      </c>
      <c r="C281" s="481">
        <f>'Berechnung - Fernmeldeanlagen'!C135</f>
        <v>0</v>
      </c>
      <c r="D281" s="481">
        <f>'Berechnung - Fernmeldeanlagen'!D135</f>
        <v>0</v>
      </c>
      <c r="E281" s="481">
        <f>'Berechnung - Fernmeldeanlagen'!E135</f>
        <v>0</v>
      </c>
      <c r="F281" s="481">
        <f>'Berechnung - Fernmeldeanlagen'!F135</f>
        <v>0</v>
      </c>
      <c r="G281" s="481">
        <f>'Berechnung - Fernmeldeanlagen'!G135</f>
        <v>0</v>
      </c>
      <c r="H281" s="481">
        <f>'Berechnung - Fernmeldeanlagen'!H135</f>
        <v>0</v>
      </c>
      <c r="I281" s="481">
        <f>'Berechnung - Fernmeldeanlagen'!I135</f>
        <v>0</v>
      </c>
      <c r="J281" s="481">
        <f>'Berechnung - Fernmeldeanlagen'!J135</f>
        <v>0</v>
      </c>
      <c r="K281" s="481">
        <f>'Berechnung - Fernmeldeanlagen'!K135</f>
        <v>0</v>
      </c>
      <c r="L281" s="481">
        <f>'Berechnung - Fernmeldeanlagen'!L135</f>
        <v>0</v>
      </c>
      <c r="M281" s="481">
        <f>'Berechnung - Fernmeldeanlagen'!M135</f>
        <v>0</v>
      </c>
      <c r="N281" s="481">
        <f>'Berechnung - Fernmeldeanlagen'!N135</f>
        <v>0</v>
      </c>
      <c r="O281" s="481">
        <f>'Berechnung - Fernmeldeanlagen'!O135</f>
        <v>0</v>
      </c>
      <c r="P281" s="481">
        <f>'Berechnung - Fernmeldeanlagen'!P135</f>
        <v>0</v>
      </c>
      <c r="Q281" s="96">
        <f>SUM(C281:P281)</f>
        <v>0</v>
      </c>
      <c r="S281" s="63"/>
      <c r="T281" s="63"/>
      <c r="U281" s="63"/>
    </row>
    <row r="282" spans="1:21" ht="15.95" customHeight="1" x14ac:dyDescent="0.25">
      <c r="A282" s="492"/>
      <c r="B282" s="153" t="str">
        <f>IF(Überblick!$H$53&gt;=2,"2:",0)</f>
        <v>2:</v>
      </c>
      <c r="C282" s="481">
        <f>'Berechnung - Fernmeldeanlagen'!C136</f>
        <v>0</v>
      </c>
      <c r="D282" s="481">
        <f>'Berechnung - Fernmeldeanlagen'!D136</f>
        <v>0</v>
      </c>
      <c r="E282" s="481">
        <f>'Berechnung - Fernmeldeanlagen'!E136</f>
        <v>0</v>
      </c>
      <c r="F282" s="481">
        <f>'Berechnung - Fernmeldeanlagen'!F136</f>
        <v>0</v>
      </c>
      <c r="G282" s="481">
        <f>'Berechnung - Fernmeldeanlagen'!G136</f>
        <v>0</v>
      </c>
      <c r="H282" s="481">
        <f>'Berechnung - Fernmeldeanlagen'!H136</f>
        <v>0</v>
      </c>
      <c r="I282" s="481">
        <f>'Berechnung - Fernmeldeanlagen'!I136</f>
        <v>0</v>
      </c>
      <c r="J282" s="481">
        <f>'Berechnung - Fernmeldeanlagen'!J136</f>
        <v>0</v>
      </c>
      <c r="K282" s="481">
        <f>'Berechnung - Fernmeldeanlagen'!K136</f>
        <v>0</v>
      </c>
      <c r="L282" s="481">
        <f>'Berechnung - Fernmeldeanlagen'!L136</f>
        <v>0</v>
      </c>
      <c r="M282" s="481">
        <f>'Berechnung - Fernmeldeanlagen'!M136</f>
        <v>0</v>
      </c>
      <c r="N282" s="481">
        <f>'Berechnung - Fernmeldeanlagen'!N136</f>
        <v>0</v>
      </c>
      <c r="O282" s="481">
        <f>'Berechnung - Fernmeldeanlagen'!O136</f>
        <v>0</v>
      </c>
      <c r="P282" s="481">
        <f>'Berechnung - Fernmeldeanlagen'!P136</f>
        <v>0</v>
      </c>
      <c r="Q282" s="96">
        <f t="shared" ref="Q282:Q288" si="4">SUM(C282:P282)</f>
        <v>0</v>
      </c>
    </row>
    <row r="283" spans="1:21" x14ac:dyDescent="0.25">
      <c r="A283" s="59"/>
      <c r="B283" s="153" t="str">
        <f>IF(Überblick!$H$53&gt;=3,"3:",0)</f>
        <v>3:</v>
      </c>
      <c r="C283" s="481">
        <f>'Berechnung - Fernmeldeanlagen'!C137</f>
        <v>0</v>
      </c>
      <c r="D283" s="481">
        <f>'Berechnung - Fernmeldeanlagen'!D137</f>
        <v>0</v>
      </c>
      <c r="E283" s="481">
        <f>'Berechnung - Fernmeldeanlagen'!E137</f>
        <v>0</v>
      </c>
      <c r="F283" s="481">
        <f>'Berechnung - Fernmeldeanlagen'!F137</f>
        <v>0</v>
      </c>
      <c r="G283" s="481">
        <f>'Berechnung - Fernmeldeanlagen'!G137</f>
        <v>0</v>
      </c>
      <c r="H283" s="481">
        <f>'Berechnung - Fernmeldeanlagen'!H137</f>
        <v>0</v>
      </c>
      <c r="I283" s="481">
        <f>'Berechnung - Fernmeldeanlagen'!I137</f>
        <v>0</v>
      </c>
      <c r="J283" s="481">
        <f>'Berechnung - Fernmeldeanlagen'!J137</f>
        <v>0</v>
      </c>
      <c r="K283" s="481">
        <f>'Berechnung - Fernmeldeanlagen'!K137</f>
        <v>0</v>
      </c>
      <c r="L283" s="481">
        <f>'Berechnung - Fernmeldeanlagen'!L137</f>
        <v>0</v>
      </c>
      <c r="M283" s="481">
        <f>'Berechnung - Fernmeldeanlagen'!M137</f>
        <v>0</v>
      </c>
      <c r="N283" s="481">
        <f>'Berechnung - Fernmeldeanlagen'!N137</f>
        <v>0</v>
      </c>
      <c r="O283" s="481">
        <f>'Berechnung - Fernmeldeanlagen'!O137</f>
        <v>0</v>
      </c>
      <c r="P283" s="481">
        <f>'Berechnung - Fernmeldeanlagen'!P137</f>
        <v>0</v>
      </c>
      <c r="Q283" s="96">
        <f t="shared" si="4"/>
        <v>0</v>
      </c>
    </row>
    <row r="284" spans="1:21" x14ac:dyDescent="0.25">
      <c r="A284" s="491"/>
      <c r="B284" s="153" t="str">
        <f>IF(Überblick!$H$53&gt;=4,"4:",0)</f>
        <v>4:</v>
      </c>
      <c r="C284" s="481">
        <f>'Berechnung - Fernmeldeanlagen'!C138</f>
        <v>0</v>
      </c>
      <c r="D284" s="481">
        <f>'Berechnung - Fernmeldeanlagen'!D138</f>
        <v>0</v>
      </c>
      <c r="E284" s="481">
        <f>'Berechnung - Fernmeldeanlagen'!E138</f>
        <v>0</v>
      </c>
      <c r="F284" s="481">
        <f>'Berechnung - Fernmeldeanlagen'!F138</f>
        <v>0</v>
      </c>
      <c r="G284" s="481">
        <f>'Berechnung - Fernmeldeanlagen'!G138</f>
        <v>0</v>
      </c>
      <c r="H284" s="481">
        <f>'Berechnung - Fernmeldeanlagen'!H138</f>
        <v>0</v>
      </c>
      <c r="I284" s="481">
        <f>'Berechnung - Fernmeldeanlagen'!I138</f>
        <v>0</v>
      </c>
      <c r="J284" s="481">
        <f>'Berechnung - Fernmeldeanlagen'!J138</f>
        <v>0</v>
      </c>
      <c r="K284" s="481">
        <f>'Berechnung - Fernmeldeanlagen'!K138</f>
        <v>0</v>
      </c>
      <c r="L284" s="481">
        <f>'Berechnung - Fernmeldeanlagen'!L138</f>
        <v>0</v>
      </c>
      <c r="M284" s="481">
        <f>'Berechnung - Fernmeldeanlagen'!M138</f>
        <v>0</v>
      </c>
      <c r="N284" s="481">
        <f>'Berechnung - Fernmeldeanlagen'!N138</f>
        <v>0</v>
      </c>
      <c r="O284" s="481">
        <f>'Berechnung - Fernmeldeanlagen'!O138</f>
        <v>0</v>
      </c>
      <c r="P284" s="481">
        <f>'Berechnung - Fernmeldeanlagen'!P138</f>
        <v>0</v>
      </c>
      <c r="Q284" s="96">
        <f t="shared" si="4"/>
        <v>0</v>
      </c>
    </row>
    <row r="285" spans="1:21" x14ac:dyDescent="0.25">
      <c r="A285" s="491"/>
      <c r="B285" s="153" t="str">
        <f>IF(Überblick!$H$53&gt;=5,"5:",0)</f>
        <v>5:</v>
      </c>
      <c r="C285" s="481">
        <f>'Berechnung - Fernmeldeanlagen'!C139</f>
        <v>0</v>
      </c>
      <c r="D285" s="481">
        <f>'Berechnung - Fernmeldeanlagen'!D139</f>
        <v>0</v>
      </c>
      <c r="E285" s="481">
        <f>'Berechnung - Fernmeldeanlagen'!E139</f>
        <v>0</v>
      </c>
      <c r="F285" s="481">
        <f>'Berechnung - Fernmeldeanlagen'!F139</f>
        <v>0</v>
      </c>
      <c r="G285" s="481">
        <f>'Berechnung - Fernmeldeanlagen'!G139</f>
        <v>0</v>
      </c>
      <c r="H285" s="481">
        <f>'Berechnung - Fernmeldeanlagen'!H139</f>
        <v>0</v>
      </c>
      <c r="I285" s="481">
        <f>'Berechnung - Fernmeldeanlagen'!I139</f>
        <v>0</v>
      </c>
      <c r="J285" s="481">
        <f>'Berechnung - Fernmeldeanlagen'!J139</f>
        <v>0</v>
      </c>
      <c r="K285" s="481">
        <f>'Berechnung - Fernmeldeanlagen'!K139</f>
        <v>0</v>
      </c>
      <c r="L285" s="481">
        <f>'Berechnung - Fernmeldeanlagen'!L139</f>
        <v>0</v>
      </c>
      <c r="M285" s="481">
        <f>'Berechnung - Fernmeldeanlagen'!M139</f>
        <v>0</v>
      </c>
      <c r="N285" s="481">
        <f>'Berechnung - Fernmeldeanlagen'!N139</f>
        <v>0</v>
      </c>
      <c r="O285" s="481">
        <f>'Berechnung - Fernmeldeanlagen'!O139</f>
        <v>0</v>
      </c>
      <c r="P285" s="481">
        <f>'Berechnung - Fernmeldeanlagen'!P139</f>
        <v>0</v>
      </c>
      <c r="Q285" s="96">
        <f t="shared" si="4"/>
        <v>0</v>
      </c>
    </row>
    <row r="286" spans="1:21" ht="15.95" customHeight="1" x14ac:dyDescent="0.25">
      <c r="A286" s="491"/>
      <c r="B286" s="153" t="str">
        <f>IF(Überblick!$H$53&gt;=6,"6:",0)</f>
        <v>6:</v>
      </c>
      <c r="C286" s="481">
        <f>'Berechnung - Fernmeldeanlagen'!C140</f>
        <v>0</v>
      </c>
      <c r="D286" s="481">
        <f>'Berechnung - Fernmeldeanlagen'!D140</f>
        <v>0</v>
      </c>
      <c r="E286" s="481">
        <f>'Berechnung - Fernmeldeanlagen'!E140</f>
        <v>0</v>
      </c>
      <c r="F286" s="481">
        <f>'Berechnung - Fernmeldeanlagen'!F140</f>
        <v>0</v>
      </c>
      <c r="G286" s="481">
        <f>'Berechnung - Fernmeldeanlagen'!G140</f>
        <v>0</v>
      </c>
      <c r="H286" s="481">
        <f>'Berechnung - Fernmeldeanlagen'!H140</f>
        <v>0</v>
      </c>
      <c r="I286" s="481">
        <f>'Berechnung - Fernmeldeanlagen'!I140</f>
        <v>0</v>
      </c>
      <c r="J286" s="481">
        <f>'Berechnung - Fernmeldeanlagen'!J140</f>
        <v>0</v>
      </c>
      <c r="K286" s="481">
        <f>'Berechnung - Fernmeldeanlagen'!K140</f>
        <v>0</v>
      </c>
      <c r="L286" s="481">
        <f>'Berechnung - Fernmeldeanlagen'!L140</f>
        <v>0</v>
      </c>
      <c r="M286" s="481">
        <f>'Berechnung - Fernmeldeanlagen'!M140</f>
        <v>0</v>
      </c>
      <c r="N286" s="481">
        <f>'Berechnung - Fernmeldeanlagen'!N140</f>
        <v>0</v>
      </c>
      <c r="O286" s="481">
        <f>'Berechnung - Fernmeldeanlagen'!O140</f>
        <v>0</v>
      </c>
      <c r="P286" s="481">
        <f>'Berechnung - Fernmeldeanlagen'!P140</f>
        <v>0</v>
      </c>
      <c r="Q286" s="96">
        <f t="shared" si="4"/>
        <v>0</v>
      </c>
    </row>
    <row r="287" spans="1:21" x14ac:dyDescent="0.25">
      <c r="A287" s="491"/>
      <c r="B287" s="153">
        <f>IF(Überblick!$H$53&gt;=7,"7:",0)</f>
        <v>0</v>
      </c>
      <c r="C287" s="481">
        <f>'Berechnung - Fernmeldeanlagen'!C141</f>
        <v>0</v>
      </c>
      <c r="D287" s="481">
        <f>'Berechnung - Fernmeldeanlagen'!D141</f>
        <v>0</v>
      </c>
      <c r="E287" s="481">
        <f>'Berechnung - Fernmeldeanlagen'!E141</f>
        <v>0</v>
      </c>
      <c r="F287" s="481">
        <f>'Berechnung - Fernmeldeanlagen'!F141</f>
        <v>0</v>
      </c>
      <c r="G287" s="481">
        <f>'Berechnung - Fernmeldeanlagen'!G141</f>
        <v>0</v>
      </c>
      <c r="H287" s="481">
        <f>'Berechnung - Fernmeldeanlagen'!H141</f>
        <v>0</v>
      </c>
      <c r="I287" s="481">
        <f>'Berechnung - Fernmeldeanlagen'!I141</f>
        <v>0</v>
      </c>
      <c r="J287" s="481">
        <f>'Berechnung - Fernmeldeanlagen'!J141</f>
        <v>0</v>
      </c>
      <c r="K287" s="481">
        <f>'Berechnung - Fernmeldeanlagen'!K141</f>
        <v>0</v>
      </c>
      <c r="L287" s="481">
        <f>'Berechnung - Fernmeldeanlagen'!L141</f>
        <v>0</v>
      </c>
      <c r="M287" s="481">
        <f>'Berechnung - Fernmeldeanlagen'!M141</f>
        <v>0</v>
      </c>
      <c r="N287" s="481">
        <f>'Berechnung - Fernmeldeanlagen'!N141</f>
        <v>0</v>
      </c>
      <c r="O287" s="481">
        <f>'Berechnung - Fernmeldeanlagen'!O141</f>
        <v>0</v>
      </c>
      <c r="P287" s="481">
        <f>'Berechnung - Fernmeldeanlagen'!P141</f>
        <v>0</v>
      </c>
      <c r="Q287" s="96">
        <f t="shared" si="4"/>
        <v>0</v>
      </c>
    </row>
    <row r="288" spans="1:21" ht="15" customHeight="1" x14ac:dyDescent="0.25">
      <c r="A288" s="491"/>
      <c r="B288" s="153">
        <f>IF(Überblick!$H$53&gt;=8,"8:",0)</f>
        <v>0</v>
      </c>
      <c r="C288" s="481">
        <f>'Berechnung - Fernmeldeanlagen'!C142</f>
        <v>0</v>
      </c>
      <c r="D288" s="481">
        <f>'Berechnung - Fernmeldeanlagen'!D142</f>
        <v>0</v>
      </c>
      <c r="E288" s="481">
        <f>'Berechnung - Fernmeldeanlagen'!E142</f>
        <v>0</v>
      </c>
      <c r="F288" s="481">
        <f>'Berechnung - Fernmeldeanlagen'!F142</f>
        <v>0</v>
      </c>
      <c r="G288" s="481">
        <f>'Berechnung - Fernmeldeanlagen'!G142</f>
        <v>0</v>
      </c>
      <c r="H288" s="481">
        <f>'Berechnung - Fernmeldeanlagen'!H142</f>
        <v>0</v>
      </c>
      <c r="I288" s="481">
        <f>'Berechnung - Fernmeldeanlagen'!I142</f>
        <v>0</v>
      </c>
      <c r="J288" s="481">
        <f>'Berechnung - Fernmeldeanlagen'!J142</f>
        <v>0</v>
      </c>
      <c r="K288" s="481">
        <f>'Berechnung - Fernmeldeanlagen'!K142</f>
        <v>0</v>
      </c>
      <c r="L288" s="481">
        <f>'Berechnung - Fernmeldeanlagen'!L142</f>
        <v>0</v>
      </c>
      <c r="M288" s="481">
        <f>'Berechnung - Fernmeldeanlagen'!M142</f>
        <v>0</v>
      </c>
      <c r="N288" s="481">
        <f>'Berechnung - Fernmeldeanlagen'!N142</f>
        <v>0</v>
      </c>
      <c r="O288" s="481">
        <f>'Berechnung - Fernmeldeanlagen'!O142</f>
        <v>0</v>
      </c>
      <c r="P288" s="481">
        <f>'Berechnung - Fernmeldeanlagen'!P142</f>
        <v>0</v>
      </c>
      <c r="Q288" s="96">
        <f t="shared" si="4"/>
        <v>0</v>
      </c>
    </row>
    <row r="289" spans="2:16" x14ac:dyDescent="0.25">
      <c r="B289" s="153">
        <f>IF(Überblick!$H$53&gt;=9,"9:",0)</f>
        <v>0</v>
      </c>
      <c r="C289" s="481">
        <f>'Berechnung - Fernmeldeanlagen'!C143</f>
        <v>0</v>
      </c>
      <c r="D289" s="481">
        <f>'Berechnung - Fernmeldeanlagen'!D143</f>
        <v>0</v>
      </c>
      <c r="E289" s="481">
        <f>'Berechnung - Fernmeldeanlagen'!E143</f>
        <v>0</v>
      </c>
      <c r="F289" s="481">
        <f>'Berechnung - Fernmeldeanlagen'!F143</f>
        <v>0</v>
      </c>
      <c r="G289" s="481">
        <f>'Berechnung - Fernmeldeanlagen'!G143</f>
        <v>0</v>
      </c>
      <c r="H289" s="481">
        <f>'Berechnung - Fernmeldeanlagen'!H143</f>
        <v>0</v>
      </c>
      <c r="I289" s="481">
        <f>'Berechnung - Fernmeldeanlagen'!I143</f>
        <v>0</v>
      </c>
      <c r="J289" s="481">
        <f>'Berechnung - Fernmeldeanlagen'!J143</f>
        <v>0</v>
      </c>
      <c r="K289" s="481">
        <f>'Berechnung - Fernmeldeanlagen'!K143</f>
        <v>0</v>
      </c>
      <c r="L289" s="481">
        <f>'Berechnung - Fernmeldeanlagen'!L143</f>
        <v>0</v>
      </c>
      <c r="M289" s="481">
        <f>'Berechnung - Fernmeldeanlagen'!M143</f>
        <v>0</v>
      </c>
      <c r="N289" s="481">
        <f>'Berechnung - Fernmeldeanlagen'!N143</f>
        <v>0</v>
      </c>
      <c r="O289" s="481">
        <f>'Berechnung - Fernmeldeanlagen'!O143</f>
        <v>0</v>
      </c>
      <c r="P289" s="481">
        <f>'Berechnung - Fernmeldeanlagen'!P143</f>
        <v>0</v>
      </c>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sheetData>
  <sheetProtection algorithmName="SHA-512" hashValue="eHVvlMUrTwLY5Lk6oTAUvo/heZl6jbHGaWIcMv0IvOk2SVekQjSQMD2x3wWA3PG4dv1Rh25VUdskZFg8Uc7cVQ==" saltValue="mFC4PMp1QofLS9cuSkUx0Q==" spinCount="100000" sheet="1" objects="1" scenarios="1"/>
  <mergeCells count="476">
    <mergeCell ref="T1:U1"/>
    <mergeCell ref="F9:I11"/>
    <mergeCell ref="J9:M11"/>
    <mergeCell ref="N9:Q11"/>
    <mergeCell ref="F5:I5"/>
    <mergeCell ref="J5:M5"/>
    <mergeCell ref="N5:Q5"/>
    <mergeCell ref="F6:G6"/>
    <mergeCell ref="H6:I6"/>
    <mergeCell ref="J6:K6"/>
    <mergeCell ref="L6:M6"/>
    <mergeCell ref="N6:O6"/>
    <mergeCell ref="P6:Q6"/>
    <mergeCell ref="P7:Q7"/>
    <mergeCell ref="S2:U2"/>
    <mergeCell ref="S3:U3"/>
    <mergeCell ref="S4:U4"/>
    <mergeCell ref="B8:E8"/>
    <mergeCell ref="F8:G8"/>
    <mergeCell ref="H8:I8"/>
    <mergeCell ref="J8:K8"/>
    <mergeCell ref="L8:M8"/>
    <mergeCell ref="N8:O8"/>
    <mergeCell ref="P8:Q8"/>
    <mergeCell ref="B7:E7"/>
    <mergeCell ref="F7:G7"/>
    <mergeCell ref="H7:I7"/>
    <mergeCell ref="J7:K7"/>
    <mergeCell ref="L7:M7"/>
    <mergeCell ref="N7:O7"/>
    <mergeCell ref="B23:E23"/>
    <mergeCell ref="F23:Q23"/>
    <mergeCell ref="B15:E15"/>
    <mergeCell ref="F15:Q15"/>
    <mergeCell ref="B16:E16"/>
    <mergeCell ref="F16:Q16"/>
    <mergeCell ref="F17:I18"/>
    <mergeCell ref="J17:M18"/>
    <mergeCell ref="N17:Q18"/>
    <mergeCell ref="F19:I19"/>
    <mergeCell ref="J19:M19"/>
    <mergeCell ref="N19:Q19"/>
    <mergeCell ref="A32:A126"/>
    <mergeCell ref="B32:G34"/>
    <mergeCell ref="H32:H34"/>
    <mergeCell ref="I32:I34"/>
    <mergeCell ref="J32:K34"/>
    <mergeCell ref="I35:K37"/>
    <mergeCell ref="B39:G41"/>
    <mergeCell ref="H39:H41"/>
    <mergeCell ref="I39:I53"/>
    <mergeCell ref="B54:G54"/>
    <mergeCell ref="I54:K54"/>
    <mergeCell ref="B101:G106"/>
    <mergeCell ref="H101:H106"/>
    <mergeCell ref="B118:G118"/>
    <mergeCell ref="I118:K118"/>
    <mergeCell ref="B55:G56"/>
    <mergeCell ref="H55:H56"/>
    <mergeCell ref="I55:I77"/>
    <mergeCell ref="J55:K77"/>
    <mergeCell ref="B42:G44"/>
    <mergeCell ref="H42:H44"/>
    <mergeCell ref="H111:H112"/>
    <mergeCell ref="B45:G53"/>
    <mergeCell ref="B71:G73"/>
    <mergeCell ref="L35:P37"/>
    <mergeCell ref="T35:T37"/>
    <mergeCell ref="U35:U37"/>
    <mergeCell ref="B38:G38"/>
    <mergeCell ref="I38:K38"/>
    <mergeCell ref="L38:P38"/>
    <mergeCell ref="Q39:Q43"/>
    <mergeCell ref="R39:S43"/>
    <mergeCell ref="Q44:Q46"/>
    <mergeCell ref="R44:S46"/>
    <mergeCell ref="T39:T53"/>
    <mergeCell ref="U39:U53"/>
    <mergeCell ref="Q35:Q37"/>
    <mergeCell ref="R35:S37"/>
    <mergeCell ref="R38:S38"/>
    <mergeCell ref="L44:P46"/>
    <mergeCell ref="B35:G37"/>
    <mergeCell ref="H35:H37"/>
    <mergeCell ref="Q58:Q60"/>
    <mergeCell ref="R58:S60"/>
    <mergeCell ref="Q61:Q63"/>
    <mergeCell ref="Q47:Q48"/>
    <mergeCell ref="R47:S48"/>
    <mergeCell ref="R49:S49"/>
    <mergeCell ref="R50:S50"/>
    <mergeCell ref="H45:H53"/>
    <mergeCell ref="L47:P48"/>
    <mergeCell ref="L49:P49"/>
    <mergeCell ref="L50:P50"/>
    <mergeCell ref="J39:K53"/>
    <mergeCell ref="L39:P43"/>
    <mergeCell ref="Q51:Q52"/>
    <mergeCell ref="R51:S52"/>
    <mergeCell ref="R53:S53"/>
    <mergeCell ref="L54:P54"/>
    <mergeCell ref="R54:S54"/>
    <mergeCell ref="Q55:Q57"/>
    <mergeCell ref="R55:S57"/>
    <mergeCell ref="L55:P57"/>
    <mergeCell ref="L51:P52"/>
    <mergeCell ref="L53:P53"/>
    <mergeCell ref="R61:S63"/>
    <mergeCell ref="B109:G110"/>
    <mergeCell ref="H109:H110"/>
    <mergeCell ref="L110:P112"/>
    <mergeCell ref="B111:G112"/>
    <mergeCell ref="L70:P72"/>
    <mergeCell ref="H71:H73"/>
    <mergeCell ref="T55:T77"/>
    <mergeCell ref="U55:U77"/>
    <mergeCell ref="B57:G64"/>
    <mergeCell ref="H57:H64"/>
    <mergeCell ref="L58:P60"/>
    <mergeCell ref="L61:P63"/>
    <mergeCell ref="L64:P66"/>
    <mergeCell ref="L73:P75"/>
    <mergeCell ref="B74:G75"/>
    <mergeCell ref="H74:H75"/>
    <mergeCell ref="B76:G77"/>
    <mergeCell ref="H76:H77"/>
    <mergeCell ref="L76:P77"/>
    <mergeCell ref="B65:G66"/>
    <mergeCell ref="H65:H66"/>
    <mergeCell ref="B67:G70"/>
    <mergeCell ref="H67:H70"/>
    <mergeCell ref="L67:P69"/>
    <mergeCell ref="I78:K80"/>
    <mergeCell ref="T78:T80"/>
    <mergeCell ref="U78:U80"/>
    <mergeCell ref="B81:G81"/>
    <mergeCell ref="I81:K81"/>
    <mergeCell ref="L81:P81"/>
    <mergeCell ref="Q85:Q87"/>
    <mergeCell ref="R85:S87"/>
    <mergeCell ref="B78:G80"/>
    <mergeCell ref="H78:H80"/>
    <mergeCell ref="L78:P80"/>
    <mergeCell ref="Q78:Q80"/>
    <mergeCell ref="R78:S80"/>
    <mergeCell ref="Q82:Q84"/>
    <mergeCell ref="R82:S84"/>
    <mergeCell ref="R81:S81"/>
    <mergeCell ref="T115:T117"/>
    <mergeCell ref="U115:U117"/>
    <mergeCell ref="L101:P103"/>
    <mergeCell ref="L104:P106"/>
    <mergeCell ref="T82:T114"/>
    <mergeCell ref="U82:U114"/>
    <mergeCell ref="L85:P87"/>
    <mergeCell ref="B87:G87"/>
    <mergeCell ref="B88:G100"/>
    <mergeCell ref="H88:H100"/>
    <mergeCell ref="L88:P90"/>
    <mergeCell ref="L91:P93"/>
    <mergeCell ref="B82:G86"/>
    <mergeCell ref="H82:H86"/>
    <mergeCell ref="I82:I114"/>
    <mergeCell ref="J82:K114"/>
    <mergeCell ref="L82:P84"/>
    <mergeCell ref="B107:G108"/>
    <mergeCell ref="H107:H108"/>
    <mergeCell ref="Q101:Q103"/>
    <mergeCell ref="R101:S103"/>
    <mergeCell ref="Q107:Q109"/>
    <mergeCell ref="R107:S109"/>
    <mergeCell ref="Q110:Q112"/>
    <mergeCell ref="L118:P118"/>
    <mergeCell ref="B113:G114"/>
    <mergeCell ref="H113:H114"/>
    <mergeCell ref="L113:P114"/>
    <mergeCell ref="I115:K117"/>
    <mergeCell ref="L115:P117"/>
    <mergeCell ref="Q115:Q117"/>
    <mergeCell ref="R115:S117"/>
    <mergeCell ref="R118:S118"/>
    <mergeCell ref="Q113:Q114"/>
    <mergeCell ref="R113:S114"/>
    <mergeCell ref="B115:G117"/>
    <mergeCell ref="H115:H117"/>
    <mergeCell ref="T119:T126"/>
    <mergeCell ref="U119:U126"/>
    <mergeCell ref="L122:P124"/>
    <mergeCell ref="B124:G126"/>
    <mergeCell ref="H124:H126"/>
    <mergeCell ref="L125:P126"/>
    <mergeCell ref="B119:G123"/>
    <mergeCell ref="H119:H123"/>
    <mergeCell ref="I119:I126"/>
    <mergeCell ref="J119:K126"/>
    <mergeCell ref="L119:P121"/>
    <mergeCell ref="Q119:Q121"/>
    <mergeCell ref="R119:S121"/>
    <mergeCell ref="Q122:Q124"/>
    <mergeCell ref="R122:S124"/>
    <mergeCell ref="Q125:Q126"/>
    <mergeCell ref="R125:S126"/>
    <mergeCell ref="A133:A142"/>
    <mergeCell ref="B133:G142"/>
    <mergeCell ref="H133:H142"/>
    <mergeCell ref="I133:I142"/>
    <mergeCell ref="J133:K142"/>
    <mergeCell ref="B127:G127"/>
    <mergeCell ref="I127:K127"/>
    <mergeCell ref="L127:P127"/>
    <mergeCell ref="A128:A132"/>
    <mergeCell ref="B128:G132"/>
    <mergeCell ref="H128:H132"/>
    <mergeCell ref="I128:I132"/>
    <mergeCell ref="J128:K132"/>
    <mergeCell ref="L142:P142"/>
    <mergeCell ref="B143:G143"/>
    <mergeCell ref="J143:K143"/>
    <mergeCell ref="L143:P143"/>
    <mergeCell ref="T128:T132"/>
    <mergeCell ref="U128:U132"/>
    <mergeCell ref="L128:P130"/>
    <mergeCell ref="Q128:Q130"/>
    <mergeCell ref="R128:S130"/>
    <mergeCell ref="L131:P132"/>
    <mergeCell ref="Q131:Q132"/>
    <mergeCell ref="R131:S132"/>
    <mergeCell ref="L133:P135"/>
    <mergeCell ref="Q133:Q135"/>
    <mergeCell ref="R133:S135"/>
    <mergeCell ref="L136:P138"/>
    <mergeCell ref="Q136:Q138"/>
    <mergeCell ref="R136:S138"/>
    <mergeCell ref="L139:P141"/>
    <mergeCell ref="Q139:Q141"/>
    <mergeCell ref="R139:S141"/>
    <mergeCell ref="R142:S142"/>
    <mergeCell ref="T133:T142"/>
    <mergeCell ref="U133:U142"/>
    <mergeCell ref="R143:S143"/>
    <mergeCell ref="T145:T149"/>
    <mergeCell ref="U145:U149"/>
    <mergeCell ref="A150:A152"/>
    <mergeCell ref="B150:G152"/>
    <mergeCell ref="H150:H152"/>
    <mergeCell ref="I150:I152"/>
    <mergeCell ref="J150:K152"/>
    <mergeCell ref="L150:P152"/>
    <mergeCell ref="B144:G144"/>
    <mergeCell ref="J144:K144"/>
    <mergeCell ref="L144:P144"/>
    <mergeCell ref="A145:A149"/>
    <mergeCell ref="B145:G149"/>
    <mergeCell ref="H145:H149"/>
    <mergeCell ref="I145:I149"/>
    <mergeCell ref="J145:K149"/>
    <mergeCell ref="R144:S144"/>
    <mergeCell ref="L145:P147"/>
    <mergeCell ref="Q145:Q147"/>
    <mergeCell ref="R145:S147"/>
    <mergeCell ref="L148:P149"/>
    <mergeCell ref="Q148:Q149"/>
    <mergeCell ref="R148:S149"/>
    <mergeCell ref="A153:A244"/>
    <mergeCell ref="B153:G153"/>
    <mergeCell ref="I153:K153"/>
    <mergeCell ref="L153:P153"/>
    <mergeCell ref="B154:G156"/>
    <mergeCell ref="H154:H156"/>
    <mergeCell ref="I154:I177"/>
    <mergeCell ref="L154:P156"/>
    <mergeCell ref="B178:G178"/>
    <mergeCell ref="L178:P178"/>
    <mergeCell ref="B179:G179"/>
    <mergeCell ref="I179:I192"/>
    <mergeCell ref="J179:K192"/>
    <mergeCell ref="L179:P181"/>
    <mergeCell ref="H186:H188"/>
    <mergeCell ref="L188:P190"/>
    <mergeCell ref="B189:G190"/>
    <mergeCell ref="H189:H190"/>
    <mergeCell ref="B191:G192"/>
    <mergeCell ref="H191:H192"/>
    <mergeCell ref="L191:P192"/>
    <mergeCell ref="L209:P211"/>
    <mergeCell ref="B213:G216"/>
    <mergeCell ref="B230:G231"/>
    <mergeCell ref="T154:T177"/>
    <mergeCell ref="U154:U177"/>
    <mergeCell ref="B157:G167"/>
    <mergeCell ref="H157:H167"/>
    <mergeCell ref="L157:P166"/>
    <mergeCell ref="L167:P169"/>
    <mergeCell ref="T150:T152"/>
    <mergeCell ref="U150:U152"/>
    <mergeCell ref="B174:G176"/>
    <mergeCell ref="H174:H176"/>
    <mergeCell ref="L174:P176"/>
    <mergeCell ref="B177:G177"/>
    <mergeCell ref="L177:P177"/>
    <mergeCell ref="B168:G170"/>
    <mergeCell ref="H168:H170"/>
    <mergeCell ref="L170:P173"/>
    <mergeCell ref="B171:G173"/>
    <mergeCell ref="H171:H173"/>
    <mergeCell ref="J154:K177"/>
    <mergeCell ref="Q150:Q152"/>
    <mergeCell ref="R150:S152"/>
    <mergeCell ref="R153:S153"/>
    <mergeCell ref="Q154:Q156"/>
    <mergeCell ref="R154:S156"/>
    <mergeCell ref="T179:T192"/>
    <mergeCell ref="U179:U192"/>
    <mergeCell ref="B180:G184"/>
    <mergeCell ref="H180:H184"/>
    <mergeCell ref="L182:P184"/>
    <mergeCell ref="B185:G185"/>
    <mergeCell ref="L185:P187"/>
    <mergeCell ref="B186:G188"/>
    <mergeCell ref="Q188:Q190"/>
    <mergeCell ref="R188:S190"/>
    <mergeCell ref="Q191:Q192"/>
    <mergeCell ref="R191:S192"/>
    <mergeCell ref="Q185:Q187"/>
    <mergeCell ref="R185:S187"/>
    <mergeCell ref="T194:T234"/>
    <mergeCell ref="U194:U234"/>
    <mergeCell ref="B193:G193"/>
    <mergeCell ref="L193:P193"/>
    <mergeCell ref="B194:G200"/>
    <mergeCell ref="H194:H200"/>
    <mergeCell ref="I194:I234"/>
    <mergeCell ref="J194:K234"/>
    <mergeCell ref="B201:G201"/>
    <mergeCell ref="B202:G203"/>
    <mergeCell ref="H202:H203"/>
    <mergeCell ref="B204:G204"/>
    <mergeCell ref="B205:G207"/>
    <mergeCell ref="H205:H207"/>
    <mergeCell ref="L206:P208"/>
    <mergeCell ref="B208:G208"/>
    <mergeCell ref="B209:G212"/>
    <mergeCell ref="H209:H212"/>
    <mergeCell ref="H213:H216"/>
    <mergeCell ref="B217:G217"/>
    <mergeCell ref="B218:G218"/>
    <mergeCell ref="B219:G222"/>
    <mergeCell ref="H219:H222"/>
    <mergeCell ref="B223:G223"/>
    <mergeCell ref="H230:H231"/>
    <mergeCell ref="B232:G234"/>
    <mergeCell ref="H232:H234"/>
    <mergeCell ref="B224:G227"/>
    <mergeCell ref="H224:H227"/>
    <mergeCell ref="L227:P229"/>
    <mergeCell ref="B228:G229"/>
    <mergeCell ref="H228:H229"/>
    <mergeCell ref="L212:P217"/>
    <mergeCell ref="L218:P226"/>
    <mergeCell ref="L230:P234"/>
    <mergeCell ref="T236:T244"/>
    <mergeCell ref="U236:U244"/>
    <mergeCell ref="L239:P241"/>
    <mergeCell ref="B241:G243"/>
    <mergeCell ref="H241:H243"/>
    <mergeCell ref="L242:P244"/>
    <mergeCell ref="B244:G244"/>
    <mergeCell ref="B235:G235"/>
    <mergeCell ref="I235:K235"/>
    <mergeCell ref="L235:P235"/>
    <mergeCell ref="B236:G240"/>
    <mergeCell ref="H236:H240"/>
    <mergeCell ref="I236:I244"/>
    <mergeCell ref="J236:K244"/>
    <mergeCell ref="L236:P238"/>
    <mergeCell ref="Q242:Q244"/>
    <mergeCell ref="R242:S244"/>
    <mergeCell ref="Q239:Q241"/>
    <mergeCell ref="R239:S241"/>
    <mergeCell ref="G255:J255"/>
    <mergeCell ref="B256:F256"/>
    <mergeCell ref="H256:J256"/>
    <mergeCell ref="B258:F258"/>
    <mergeCell ref="H258:J258"/>
    <mergeCell ref="B260:F261"/>
    <mergeCell ref="H260:J261"/>
    <mergeCell ref="U245:U246"/>
    <mergeCell ref="B250:F250"/>
    <mergeCell ref="H250:J250"/>
    <mergeCell ref="B252:F252"/>
    <mergeCell ref="H252:J252"/>
    <mergeCell ref="B254:F254"/>
    <mergeCell ref="H254:J254"/>
    <mergeCell ref="B245:H246"/>
    <mergeCell ref="I245:I246"/>
    <mergeCell ref="J245:K246"/>
    <mergeCell ref="L245:P246"/>
    <mergeCell ref="T245:T246"/>
    <mergeCell ref="R245:S246"/>
    <mergeCell ref="Q245:Q246"/>
    <mergeCell ref="G270:J270"/>
    <mergeCell ref="B271:F271"/>
    <mergeCell ref="H271:J271"/>
    <mergeCell ref="B273:F273"/>
    <mergeCell ref="H273:J273"/>
    <mergeCell ref="B275:F276"/>
    <mergeCell ref="H275:J276"/>
    <mergeCell ref="B265:F265"/>
    <mergeCell ref="H265:J265"/>
    <mergeCell ref="B267:F267"/>
    <mergeCell ref="H267:J267"/>
    <mergeCell ref="B269:F269"/>
    <mergeCell ref="H269:J269"/>
    <mergeCell ref="Q64:Q66"/>
    <mergeCell ref="R64:S66"/>
    <mergeCell ref="Q67:Q69"/>
    <mergeCell ref="R67:S69"/>
    <mergeCell ref="Q70:Q72"/>
    <mergeCell ref="R70:S72"/>
    <mergeCell ref="Q73:Q75"/>
    <mergeCell ref="R73:S75"/>
    <mergeCell ref="Q76:Q77"/>
    <mergeCell ref="R76:S77"/>
    <mergeCell ref="Q104:Q106"/>
    <mergeCell ref="R104:S106"/>
    <mergeCell ref="R110:S112"/>
    <mergeCell ref="L107:P109"/>
    <mergeCell ref="L94:P97"/>
    <mergeCell ref="L98:P100"/>
    <mergeCell ref="Q88:Q90"/>
    <mergeCell ref="R88:S90"/>
    <mergeCell ref="Q91:Q93"/>
    <mergeCell ref="R91:S93"/>
    <mergeCell ref="Q94:Q97"/>
    <mergeCell ref="R94:S97"/>
    <mergeCell ref="Q98:Q100"/>
    <mergeCell ref="R98:S100"/>
    <mergeCell ref="R127:S127"/>
    <mergeCell ref="Q157:Q166"/>
    <mergeCell ref="R157:S166"/>
    <mergeCell ref="Q167:Q169"/>
    <mergeCell ref="R167:S169"/>
    <mergeCell ref="Q170:Q173"/>
    <mergeCell ref="R170:S173"/>
    <mergeCell ref="Q174:Q176"/>
    <mergeCell ref="R174:S176"/>
    <mergeCell ref="I193:K193"/>
    <mergeCell ref="R177:S177"/>
    <mergeCell ref="R178:S178"/>
    <mergeCell ref="Q179:Q181"/>
    <mergeCell ref="R179:S181"/>
    <mergeCell ref="Q182:Q184"/>
    <mergeCell ref="R182:S184"/>
    <mergeCell ref="I178:K178"/>
    <mergeCell ref="L194:P203"/>
    <mergeCell ref="R193:S193"/>
    <mergeCell ref="L204:P205"/>
    <mergeCell ref="R204:S205"/>
    <mergeCell ref="Q204:Q205"/>
    <mergeCell ref="R194:S203"/>
    <mergeCell ref="Q194:Q203"/>
    <mergeCell ref="R212:S217"/>
    <mergeCell ref="Q212:Q217"/>
    <mergeCell ref="R235:S235"/>
    <mergeCell ref="Q236:Q238"/>
    <mergeCell ref="R236:S238"/>
    <mergeCell ref="Q206:Q208"/>
    <mergeCell ref="R206:S208"/>
    <mergeCell ref="Q209:Q211"/>
    <mergeCell ref="R209:S211"/>
    <mergeCell ref="Q227:Q229"/>
    <mergeCell ref="R227:S229"/>
    <mergeCell ref="R218:S226"/>
    <mergeCell ref="Q218:Q226"/>
    <mergeCell ref="R230:S234"/>
    <mergeCell ref="Q230:Q234"/>
  </mergeCells>
  <conditionalFormatting sqref="AA39">
    <cfRule type="containsText" dxfId="1136" priority="136" operator="containsText" text="Ja">
      <formula>NOT(ISERROR(SEARCH("Ja",AA39)))</formula>
    </cfRule>
  </conditionalFormatting>
  <conditionalFormatting sqref="AA233">
    <cfRule type="containsText" dxfId="1135" priority="128" operator="containsText" text="Ja">
      <formula>NOT(ISERROR(SEARCH("Ja",AA233)))</formula>
    </cfRule>
  </conditionalFormatting>
  <conditionalFormatting sqref="AA55">
    <cfRule type="containsText" dxfId="1134" priority="135" operator="containsText" text="Ja">
      <formula>NOT(ISERROR(SEARCH("Ja",AA55)))</formula>
    </cfRule>
  </conditionalFormatting>
  <conditionalFormatting sqref="AA79">
    <cfRule type="containsText" dxfId="1133" priority="134" operator="containsText" text="Ja">
      <formula>NOT(ISERROR(SEARCH("Ja",AA79)))</formula>
    </cfRule>
  </conditionalFormatting>
  <conditionalFormatting sqref="AA113">
    <cfRule type="containsText" dxfId="1132" priority="133" operator="containsText" text="Ja">
      <formula>NOT(ISERROR(SEARCH("Ja",AA113)))</formula>
    </cfRule>
  </conditionalFormatting>
  <conditionalFormatting sqref="AA125">
    <cfRule type="containsText" dxfId="1131" priority="132" operator="containsText" text="Ja">
      <formula>NOT(ISERROR(SEARCH("Ja",AA125)))</formula>
    </cfRule>
  </conditionalFormatting>
  <conditionalFormatting sqref="AA151">
    <cfRule type="containsText" dxfId="1130" priority="131" operator="containsText" text="Ja">
      <formula>NOT(ISERROR(SEARCH("Ja",AA151)))</formula>
    </cfRule>
  </conditionalFormatting>
  <conditionalFormatting sqref="AA176">
    <cfRule type="containsText" dxfId="1129" priority="130" operator="containsText" text="Ja">
      <formula>NOT(ISERROR(SEARCH("Ja",AA176)))</formula>
    </cfRule>
  </conditionalFormatting>
  <conditionalFormatting sqref="AA191">
    <cfRule type="containsText" dxfId="1128" priority="129" operator="containsText" text="Ja">
      <formula>NOT(ISERROR(SEARCH("Ja",AA191)))</formula>
    </cfRule>
  </conditionalFormatting>
  <conditionalFormatting sqref="B281:B288">
    <cfRule type="cellIs" dxfId="1127" priority="80" operator="greaterThan">
      <formula>0</formula>
    </cfRule>
  </conditionalFormatting>
  <conditionalFormatting sqref="C281:P289">
    <cfRule type="expression" dxfId="1126" priority="79">
      <formula>$B281&gt;=1</formula>
    </cfRule>
  </conditionalFormatting>
  <conditionalFormatting sqref="C282:P282">
    <cfRule type="expression" dxfId="1125" priority="78">
      <formula>$B282&gt;=1</formula>
    </cfRule>
  </conditionalFormatting>
  <conditionalFormatting sqref="C283:P283">
    <cfRule type="expression" dxfId="1124" priority="77">
      <formula>$B283&gt;=1</formula>
    </cfRule>
  </conditionalFormatting>
  <conditionalFormatting sqref="C284:P284">
    <cfRule type="expression" dxfId="1123" priority="76">
      <formula>$B284&gt;=1</formula>
    </cfRule>
  </conditionalFormatting>
  <conditionalFormatting sqref="C285:P285">
    <cfRule type="expression" dxfId="1122" priority="75">
      <formula>$B285&gt;=1</formula>
    </cfRule>
  </conditionalFormatting>
  <conditionalFormatting sqref="C286:P286">
    <cfRule type="expression" dxfId="1121" priority="74">
      <formula>$B286&gt;=1</formula>
    </cfRule>
  </conditionalFormatting>
  <conditionalFormatting sqref="C287:P287">
    <cfRule type="expression" dxfId="1120" priority="73">
      <formula>$B287&gt;=1</formula>
    </cfRule>
  </conditionalFormatting>
  <conditionalFormatting sqref="C288:P289">
    <cfRule type="expression" dxfId="1119" priority="72">
      <formula>$B288&gt;=1</formula>
    </cfRule>
  </conditionalFormatting>
  <conditionalFormatting sqref="C281:P289">
    <cfRule type="cellIs" dxfId="1118" priority="71" operator="greaterThan">
      <formula>0</formula>
    </cfRule>
  </conditionalFormatting>
  <conditionalFormatting sqref="F23">
    <cfRule type="expression" dxfId="1117" priority="70">
      <formula>$H$8+$L$8+$P$8&gt;0</formula>
    </cfRule>
  </conditionalFormatting>
  <conditionalFormatting sqref="R39">
    <cfRule type="expression" dxfId="1116" priority="62">
      <formula>Q39="ja"</formula>
    </cfRule>
  </conditionalFormatting>
  <conditionalFormatting sqref="R44">
    <cfRule type="expression" dxfId="1115" priority="61">
      <formula>Q44="ja"</formula>
    </cfRule>
  </conditionalFormatting>
  <conditionalFormatting sqref="R47">
    <cfRule type="expression" dxfId="1114" priority="60">
      <formula>Q47="ja"</formula>
    </cfRule>
  </conditionalFormatting>
  <conditionalFormatting sqref="R49 R51 R53">
    <cfRule type="expression" dxfId="1113" priority="59">
      <formula>Q49="ja"</formula>
    </cfRule>
  </conditionalFormatting>
  <conditionalFormatting sqref="R50">
    <cfRule type="expression" dxfId="1112" priority="58">
      <formula>Q50="ja"</formula>
    </cfRule>
  </conditionalFormatting>
  <conditionalFormatting sqref="R55">
    <cfRule type="expression" dxfId="1111" priority="57">
      <formula>Q55="ja"</formula>
    </cfRule>
  </conditionalFormatting>
  <conditionalFormatting sqref="R58 R61 R64 R67 R70 R73">
    <cfRule type="expression" dxfId="1110" priority="56">
      <formula>Q58="ja"</formula>
    </cfRule>
  </conditionalFormatting>
  <conditionalFormatting sqref="R76">
    <cfRule type="expression" dxfId="1109" priority="55">
      <formula>Q76="ja"</formula>
    </cfRule>
  </conditionalFormatting>
  <conditionalFormatting sqref="R82 R85 R88 R91 R94:R95 R98 R101 R104 R107 R110">
    <cfRule type="expression" dxfId="1108" priority="54">
      <formula>Q82="ja"</formula>
    </cfRule>
  </conditionalFormatting>
  <conditionalFormatting sqref="R113">
    <cfRule type="expression" dxfId="1107" priority="53">
      <formula>Q113="ja"</formula>
    </cfRule>
  </conditionalFormatting>
  <conditionalFormatting sqref="R125">
    <cfRule type="expression" dxfId="1106" priority="50">
      <formula>Q125="ja"</formula>
    </cfRule>
  </conditionalFormatting>
  <conditionalFormatting sqref="R119">
    <cfRule type="expression" dxfId="1105" priority="52">
      <formula>Q119="ja"</formula>
    </cfRule>
  </conditionalFormatting>
  <conditionalFormatting sqref="R122">
    <cfRule type="expression" dxfId="1104" priority="51">
      <formula>Q122="ja"</formula>
    </cfRule>
  </conditionalFormatting>
  <conditionalFormatting sqref="R128">
    <cfRule type="expression" dxfId="1103" priority="49">
      <formula>Q128="ja"</formula>
    </cfRule>
  </conditionalFormatting>
  <conditionalFormatting sqref="R131">
    <cfRule type="expression" dxfId="1102" priority="48">
      <formula>Q131="ja"</formula>
    </cfRule>
  </conditionalFormatting>
  <conditionalFormatting sqref="R133">
    <cfRule type="expression" dxfId="1101" priority="47">
      <formula>Q133="ja"</formula>
    </cfRule>
  </conditionalFormatting>
  <conditionalFormatting sqref="R136">
    <cfRule type="expression" dxfId="1100" priority="46">
      <formula>Q136="ja"</formula>
    </cfRule>
  </conditionalFormatting>
  <conditionalFormatting sqref="R139">
    <cfRule type="expression" dxfId="1099" priority="45">
      <formula>Q139="ja"</formula>
    </cfRule>
  </conditionalFormatting>
  <conditionalFormatting sqref="R142">
    <cfRule type="expression" dxfId="1098" priority="44">
      <formula>Q142="ja"</formula>
    </cfRule>
  </conditionalFormatting>
  <conditionalFormatting sqref="R143">
    <cfRule type="expression" dxfId="1097" priority="43">
      <formula>Q143="ja"</formula>
    </cfRule>
  </conditionalFormatting>
  <conditionalFormatting sqref="R144">
    <cfRule type="expression" dxfId="1096" priority="42">
      <formula>Q144="ja"</formula>
    </cfRule>
  </conditionalFormatting>
  <conditionalFormatting sqref="R145">
    <cfRule type="expression" dxfId="1095" priority="41">
      <formula>Q145="ja"</formula>
    </cfRule>
  </conditionalFormatting>
  <conditionalFormatting sqref="R148">
    <cfRule type="expression" dxfId="1094" priority="40">
      <formula>Q148="ja"</formula>
    </cfRule>
  </conditionalFormatting>
  <conditionalFormatting sqref="R150">
    <cfRule type="expression" dxfId="1093" priority="39">
      <formula>Q150="ja"</formula>
    </cfRule>
  </conditionalFormatting>
  <conditionalFormatting sqref="R154">
    <cfRule type="expression" dxfId="1092" priority="38">
      <formula>Q154="ja"</formula>
    </cfRule>
  </conditionalFormatting>
  <conditionalFormatting sqref="R157:R164">
    <cfRule type="expression" dxfId="1091" priority="37">
      <formula>Q157="ja"</formula>
    </cfRule>
  </conditionalFormatting>
  <conditionalFormatting sqref="R167">
    <cfRule type="expression" dxfId="1090" priority="36">
      <formula>Q167="ja"</formula>
    </cfRule>
  </conditionalFormatting>
  <conditionalFormatting sqref="R170">
    <cfRule type="expression" dxfId="1089" priority="35">
      <formula>Q170="ja"</formula>
    </cfRule>
  </conditionalFormatting>
  <conditionalFormatting sqref="R174">
    <cfRule type="expression" dxfId="1088" priority="34">
      <formula>Q174="ja"</formula>
    </cfRule>
  </conditionalFormatting>
  <conditionalFormatting sqref="R177">
    <cfRule type="expression" dxfId="1087" priority="33">
      <formula>Q177="ja"</formula>
    </cfRule>
  </conditionalFormatting>
  <conditionalFormatting sqref="R179">
    <cfRule type="expression" dxfId="1086" priority="32">
      <formula>Q179="ja"</formula>
    </cfRule>
  </conditionalFormatting>
  <conditionalFormatting sqref="R182">
    <cfRule type="expression" dxfId="1085" priority="31">
      <formula>Q182="ja"</formula>
    </cfRule>
  </conditionalFormatting>
  <conditionalFormatting sqref="R185">
    <cfRule type="expression" dxfId="1084" priority="30">
      <formula>Q185="ja"</formula>
    </cfRule>
  </conditionalFormatting>
  <conditionalFormatting sqref="R188">
    <cfRule type="expression" dxfId="1083" priority="29">
      <formula>Q188="ja"</formula>
    </cfRule>
  </conditionalFormatting>
  <conditionalFormatting sqref="R191">
    <cfRule type="expression" dxfId="1082" priority="28">
      <formula>Q191="ja"</formula>
    </cfRule>
  </conditionalFormatting>
  <conditionalFormatting sqref="R227">
    <cfRule type="expression" dxfId="1081" priority="16">
      <formula>Q227="ja"</formula>
    </cfRule>
  </conditionalFormatting>
  <conditionalFormatting sqref="R194">
    <cfRule type="expression" dxfId="1080" priority="27">
      <formula>Q194="ja"</formula>
    </cfRule>
  </conditionalFormatting>
  <conditionalFormatting sqref="R206">
    <cfRule type="expression" dxfId="1079" priority="23">
      <formula>Q206="ja"</formula>
    </cfRule>
  </conditionalFormatting>
  <conditionalFormatting sqref="R209">
    <cfRule type="expression" dxfId="1078" priority="22">
      <formula>Q209="ja"</formula>
    </cfRule>
  </conditionalFormatting>
  <conditionalFormatting sqref="R212">
    <cfRule type="expression" dxfId="1077" priority="21">
      <formula>Q212="ja"</formula>
    </cfRule>
  </conditionalFormatting>
  <conditionalFormatting sqref="R218">
    <cfRule type="expression" dxfId="1076" priority="19">
      <formula>Q218="ja"</formula>
    </cfRule>
  </conditionalFormatting>
  <conditionalFormatting sqref="R230">
    <cfRule type="expression" dxfId="1075" priority="15">
      <formula>Q230="ja"</formula>
    </cfRule>
  </conditionalFormatting>
  <conditionalFormatting sqref="R236">
    <cfRule type="expression" dxfId="1074" priority="13">
      <formula>Q236="ja"</formula>
    </cfRule>
  </conditionalFormatting>
  <conditionalFormatting sqref="R239">
    <cfRule type="expression" dxfId="1073" priority="12">
      <formula>Q239="ja"</formula>
    </cfRule>
  </conditionalFormatting>
  <conditionalFormatting sqref="R242">
    <cfRule type="expression" dxfId="1072" priority="11">
      <formula>Q242="ja"</formula>
    </cfRule>
  </conditionalFormatting>
  <conditionalFormatting sqref="B289">
    <cfRule type="cellIs" dxfId="1071" priority="10" operator="greaterThan">
      <formula>0</formula>
    </cfRule>
  </conditionalFormatting>
  <conditionalFormatting sqref="T154:T177">
    <cfRule type="cellIs" dxfId="1070" priority="5" operator="equal">
      <formula>"ja"</formula>
    </cfRule>
  </conditionalFormatting>
  <conditionalFormatting sqref="T39:T53 T55:T77 T82:T114">
    <cfRule type="cellIs" dxfId="1069" priority="4" operator="equal">
      <formula>"ja"</formula>
    </cfRule>
  </conditionalFormatting>
  <conditionalFormatting sqref="T119:T126">
    <cfRule type="cellIs" dxfId="1068" priority="3" operator="equal">
      <formula>"ja"</formula>
    </cfRule>
  </conditionalFormatting>
  <conditionalFormatting sqref="T128:T152">
    <cfRule type="cellIs" dxfId="1067" priority="2" operator="equal">
      <formula>"ja"</formula>
    </cfRule>
  </conditionalFormatting>
  <conditionalFormatting sqref="T179:T192 T194:T234 T236:T244">
    <cfRule type="cellIs" dxfId="1066" priority="1" operator="equal">
      <formula>"ja"</formula>
    </cfRule>
  </conditionalFormatting>
  <conditionalFormatting sqref="R204">
    <cfRule type="expression" dxfId="1065" priority="774">
      <formula>Q204="ja"</formula>
    </cfRule>
  </conditionalFormatting>
  <dataValidations count="2">
    <dataValidation type="list" allowBlank="1" showInputMessage="1" showErrorMessage="1" sqref="F15:Q15" xr:uid="{C33020C6-CE33-439B-85CF-308ACE880E8E}">
      <formula1>$V$15:$V$17</formula1>
    </dataValidation>
    <dataValidation type="list" allowBlank="1" showInputMessage="1" showErrorMessage="1" sqref="Q39:Q53 H154:H177 H128:H152 H119:H126 H236:H244 H82:H114 H55:H77 H194:H234 H179:H192 H39:H53 Q55:Q77 Q82:Q114 Q236:Q244 Q179:Q192 Q154:Q177 Q128:Q152 Q119:Q126 Q194 Q204 Q206:Q212 Q218 Q227:Q230" xr:uid="{E41D4541-5116-45FE-8931-E3FE3C467935}">
      <formula1>$T$32:$T$33</formula1>
    </dataValidation>
  </dataValidations>
  <pageMargins left="0.25" right="0.25" top="0.75" bottom="0.75" header="0.3" footer="0.3"/>
  <pageSetup paperSize="9" scale="50" fitToHeight="9" orientation="portrait" r:id="rId1"/>
  <rowBreaks count="3" manualBreakCount="3">
    <brk id="87" max="16383" man="1"/>
    <brk id="188" max="16383" man="1"/>
    <brk id="277" max="16383" man="1"/>
  </rowBreaks>
  <ignoredErrors>
    <ignoredError sqref="R8"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521CC3BE-1C62-4270-99B8-C1B81997C4D5}">
          <x14:formula1>
            <xm:f>'Berechnung - Hochbau'!$H$52:$H$56</xm:f>
          </x14:formula1>
          <xm:sqref>F16</xm:sqref>
        </x14:dataValidation>
        <x14:dataValidation type="list" allowBlank="1" showInputMessage="1" showErrorMessage="1" xr:uid="{82D4174C-BE3D-437F-BA13-222DC539DCE4}">
          <x14:formula1>
            <xm:f>'Berechnung - Hochbau'!$B$109:$B$112</xm:f>
          </x14:formula1>
          <xm:sqref>R5:S6 W5:X6</xm:sqref>
        </x14:dataValidation>
        <x14:dataValidation type="list" allowBlank="1" showInputMessage="1" showErrorMessage="1" xr:uid="{2E8914E9-0296-414C-A2F4-7B18783C4C78}">
          <x14:formula1>
            <xm:f>'Berechnung - Abwasser'!$B$138:$B$147</xm:f>
          </x14:formula1>
          <xm:sqref>U39:U114 U119:U126 U128:U152 U154:U177 U179:U234 U236:U244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82B84-0E88-4D71-A8F5-788663CFBB42}">
  <sheetPr codeName="Tabelle9">
    <tabColor rgb="FFFFC000"/>
  </sheetPr>
  <dimension ref="A1:Q156"/>
  <sheetViews>
    <sheetView workbookViewId="0"/>
  </sheetViews>
  <sheetFormatPr baseColWidth="10" defaultColWidth="11.44140625" defaultRowHeight="14.55" x14ac:dyDescent="0.3"/>
  <cols>
    <col min="1" max="1" width="25.218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2" width="12" style="594" bestFit="1" customWidth="1"/>
    <col min="13" max="16" width="11.5546875" style="594" bestFit="1" customWidth="1"/>
    <col min="17" max="17" width="12"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8">
        <v>2547</v>
      </c>
      <c r="G6" s="609">
        <v>2990</v>
      </c>
      <c r="H6" s="605"/>
      <c r="I6" s="608">
        <v>2990</v>
      </c>
      <c r="J6" s="609">
        <v>3405</v>
      </c>
    </row>
    <row r="7" spans="1:13" x14ac:dyDescent="0.3">
      <c r="A7" s="610">
        <v>10000</v>
      </c>
      <c r="B7" s="605"/>
      <c r="C7" s="611">
        <v>3689</v>
      </c>
      <c r="D7" s="612">
        <v>4408</v>
      </c>
      <c r="E7" s="605"/>
      <c r="F7" s="611">
        <v>4408</v>
      </c>
      <c r="G7" s="613">
        <v>5174</v>
      </c>
      <c r="H7" s="605"/>
      <c r="I7" s="611">
        <v>5174</v>
      </c>
      <c r="J7" s="613">
        <v>5893</v>
      </c>
    </row>
    <row r="8" spans="1:13" x14ac:dyDescent="0.3">
      <c r="A8" s="610">
        <v>15000</v>
      </c>
      <c r="B8" s="605"/>
      <c r="C8" s="611">
        <v>5084</v>
      </c>
      <c r="D8" s="612">
        <v>6075</v>
      </c>
      <c r="E8" s="605"/>
      <c r="F8" s="611">
        <v>6075</v>
      </c>
      <c r="G8" s="613">
        <v>7131</v>
      </c>
      <c r="H8" s="605"/>
      <c r="I8" s="611">
        <v>7131</v>
      </c>
      <c r="J8" s="613">
        <v>8122</v>
      </c>
    </row>
    <row r="9" spans="1:13" x14ac:dyDescent="0.3">
      <c r="A9" s="610">
        <v>25000</v>
      </c>
      <c r="B9" s="605"/>
      <c r="C9" s="611">
        <v>7615</v>
      </c>
      <c r="D9" s="612">
        <v>9098</v>
      </c>
      <c r="E9" s="605"/>
      <c r="F9" s="611">
        <v>9098</v>
      </c>
      <c r="G9" s="613">
        <v>10681</v>
      </c>
      <c r="H9" s="605"/>
      <c r="I9" s="611">
        <v>10681</v>
      </c>
      <c r="J9" s="613">
        <v>12164</v>
      </c>
    </row>
    <row r="10" spans="1:13" x14ac:dyDescent="0.3">
      <c r="A10" s="610">
        <v>35000</v>
      </c>
      <c r="B10" s="605"/>
      <c r="C10" s="611">
        <v>9934</v>
      </c>
      <c r="D10" s="612">
        <v>11869</v>
      </c>
      <c r="E10" s="605"/>
      <c r="F10" s="611">
        <v>11869</v>
      </c>
      <c r="G10" s="613">
        <v>13934</v>
      </c>
      <c r="H10" s="605"/>
      <c r="I10" s="611">
        <v>13934</v>
      </c>
      <c r="J10" s="613">
        <v>15869</v>
      </c>
    </row>
    <row r="11" spans="1:13" x14ac:dyDescent="0.3">
      <c r="A11" s="610">
        <v>50000</v>
      </c>
      <c r="B11" s="605"/>
      <c r="C11" s="611">
        <v>13165</v>
      </c>
      <c r="D11" s="612">
        <v>15729</v>
      </c>
      <c r="E11" s="605"/>
      <c r="F11" s="611">
        <v>15729</v>
      </c>
      <c r="G11" s="613">
        <v>18465</v>
      </c>
      <c r="H11" s="605"/>
      <c r="I11" s="611">
        <v>18465</v>
      </c>
      <c r="J11" s="613">
        <v>21029</v>
      </c>
    </row>
    <row r="12" spans="1:13" x14ac:dyDescent="0.3">
      <c r="A12" s="610">
        <v>75000</v>
      </c>
      <c r="B12" s="605"/>
      <c r="C12" s="611">
        <v>18122</v>
      </c>
      <c r="D12" s="612">
        <v>21652</v>
      </c>
      <c r="E12" s="605"/>
      <c r="F12" s="611">
        <v>21652</v>
      </c>
      <c r="G12" s="613">
        <v>25418</v>
      </c>
      <c r="H12" s="605"/>
      <c r="I12" s="611">
        <v>25418</v>
      </c>
      <c r="J12" s="613">
        <v>28948</v>
      </c>
    </row>
    <row r="13" spans="1:13" x14ac:dyDescent="0.3">
      <c r="A13" s="610">
        <v>100000</v>
      </c>
      <c r="B13" s="605"/>
      <c r="C13" s="611">
        <v>22723</v>
      </c>
      <c r="D13" s="612">
        <v>27150</v>
      </c>
      <c r="E13" s="605"/>
      <c r="F13" s="611">
        <v>27150</v>
      </c>
      <c r="G13" s="613">
        <v>31872</v>
      </c>
      <c r="H13" s="605"/>
      <c r="I13" s="611">
        <v>31872</v>
      </c>
      <c r="J13" s="613">
        <v>36299</v>
      </c>
    </row>
    <row r="14" spans="1:13" x14ac:dyDescent="0.3">
      <c r="A14" s="610">
        <v>150000</v>
      </c>
      <c r="B14" s="605"/>
      <c r="C14" s="611">
        <v>31228</v>
      </c>
      <c r="D14" s="612">
        <v>37311</v>
      </c>
      <c r="E14" s="605"/>
      <c r="F14" s="611">
        <v>37311</v>
      </c>
      <c r="G14" s="613">
        <v>43800</v>
      </c>
      <c r="H14" s="605"/>
      <c r="I14" s="611">
        <v>43800</v>
      </c>
      <c r="J14" s="613">
        <v>49883</v>
      </c>
    </row>
    <row r="15" spans="1:13" x14ac:dyDescent="0.3">
      <c r="A15" s="610">
        <v>250000</v>
      </c>
      <c r="B15" s="605"/>
      <c r="C15" s="611">
        <v>46640</v>
      </c>
      <c r="D15" s="612">
        <v>55726</v>
      </c>
      <c r="E15" s="605"/>
      <c r="F15" s="611">
        <v>55726</v>
      </c>
      <c r="G15" s="613">
        <v>65418</v>
      </c>
      <c r="H15" s="605"/>
      <c r="I15" s="611">
        <v>65418</v>
      </c>
      <c r="J15" s="613">
        <v>74504</v>
      </c>
    </row>
    <row r="16" spans="1:13" x14ac:dyDescent="0.3">
      <c r="A16" s="610">
        <v>500000</v>
      </c>
      <c r="B16" s="605"/>
      <c r="C16" s="611">
        <v>80684</v>
      </c>
      <c r="D16" s="612">
        <v>96402</v>
      </c>
      <c r="E16" s="605"/>
      <c r="F16" s="611">
        <v>96402</v>
      </c>
      <c r="G16" s="613">
        <v>113168</v>
      </c>
      <c r="H16" s="605"/>
      <c r="I16" s="611">
        <v>113168</v>
      </c>
      <c r="J16" s="613">
        <v>128886</v>
      </c>
    </row>
    <row r="17" spans="1:10" x14ac:dyDescent="0.3">
      <c r="A17" s="610">
        <v>750000</v>
      </c>
      <c r="B17" s="605"/>
      <c r="C17" s="611">
        <v>111105</v>
      </c>
      <c r="D17" s="612">
        <v>132749</v>
      </c>
      <c r="E17" s="605"/>
      <c r="F17" s="611">
        <v>132749</v>
      </c>
      <c r="G17" s="613">
        <v>155836</v>
      </c>
      <c r="H17" s="605"/>
      <c r="I17" s="611">
        <v>155836</v>
      </c>
      <c r="J17" s="613">
        <v>177480</v>
      </c>
    </row>
    <row r="18" spans="1:10" x14ac:dyDescent="0.3">
      <c r="A18" s="610">
        <v>1000000</v>
      </c>
      <c r="B18" s="605"/>
      <c r="C18" s="611">
        <v>139347</v>
      </c>
      <c r="D18" s="612">
        <v>166493</v>
      </c>
      <c r="E18" s="605"/>
      <c r="F18" s="611">
        <v>166493</v>
      </c>
      <c r="G18" s="613">
        <v>195448</v>
      </c>
      <c r="H18" s="605"/>
      <c r="I18" s="611">
        <v>195448</v>
      </c>
      <c r="J18" s="613">
        <v>222594</v>
      </c>
    </row>
    <row r="19" spans="1:10" x14ac:dyDescent="0.3">
      <c r="A19" s="610">
        <v>1250000</v>
      </c>
      <c r="B19" s="605"/>
      <c r="C19" s="611">
        <v>166043</v>
      </c>
      <c r="D19" s="612">
        <v>198389</v>
      </c>
      <c r="E19" s="605"/>
      <c r="F19" s="611">
        <v>198389</v>
      </c>
      <c r="G19" s="613">
        <v>232891</v>
      </c>
      <c r="H19" s="605"/>
      <c r="I19" s="611">
        <v>232891</v>
      </c>
      <c r="J19" s="613">
        <v>265237</v>
      </c>
    </row>
    <row r="20" spans="1:10" x14ac:dyDescent="0.3">
      <c r="A20" s="610">
        <v>1500000</v>
      </c>
      <c r="B20" s="605"/>
      <c r="C20" s="611">
        <v>191545</v>
      </c>
      <c r="D20" s="612">
        <v>228859</v>
      </c>
      <c r="E20" s="605"/>
      <c r="F20" s="611">
        <v>228859</v>
      </c>
      <c r="G20" s="613">
        <v>268660</v>
      </c>
      <c r="H20" s="605"/>
      <c r="I20" s="611">
        <v>268660</v>
      </c>
      <c r="J20" s="613">
        <v>305974</v>
      </c>
    </row>
    <row r="21" spans="1:10" x14ac:dyDescent="0.3">
      <c r="A21" s="610">
        <v>2000000</v>
      </c>
      <c r="B21" s="605"/>
      <c r="C21" s="611">
        <v>239792</v>
      </c>
      <c r="D21" s="612">
        <v>286504</v>
      </c>
      <c r="E21" s="605"/>
      <c r="F21" s="611">
        <v>286504</v>
      </c>
      <c r="G21" s="613">
        <v>336331</v>
      </c>
      <c r="H21" s="605"/>
      <c r="I21" s="611">
        <v>336331</v>
      </c>
      <c r="J21" s="613">
        <v>383044</v>
      </c>
    </row>
    <row r="22" spans="1:10" x14ac:dyDescent="0.3">
      <c r="A22" s="610">
        <v>2500000</v>
      </c>
      <c r="B22" s="605"/>
      <c r="C22" s="611">
        <v>285649</v>
      </c>
      <c r="D22" s="612">
        <v>341295</v>
      </c>
      <c r="E22" s="605"/>
      <c r="F22" s="611">
        <v>341295</v>
      </c>
      <c r="G22" s="613">
        <v>400650</v>
      </c>
      <c r="H22" s="605"/>
      <c r="I22" s="611">
        <v>400650</v>
      </c>
      <c r="J22" s="613">
        <v>456296</v>
      </c>
    </row>
    <row r="23" spans="1:10" x14ac:dyDescent="0.3">
      <c r="A23" s="610">
        <v>3000000</v>
      </c>
      <c r="B23" s="605"/>
      <c r="C23" s="611">
        <v>329420</v>
      </c>
      <c r="D23" s="612">
        <v>393593</v>
      </c>
      <c r="E23" s="605"/>
      <c r="F23" s="611">
        <v>393593</v>
      </c>
      <c r="G23" s="613">
        <v>462044</v>
      </c>
      <c r="H23" s="605"/>
      <c r="I23" s="611">
        <v>462044</v>
      </c>
      <c r="J23" s="613">
        <v>526217</v>
      </c>
    </row>
    <row r="24" spans="1:10" x14ac:dyDescent="0.3">
      <c r="A24" s="610">
        <v>3500000</v>
      </c>
      <c r="B24" s="605"/>
      <c r="C24" s="611">
        <v>371491</v>
      </c>
      <c r="D24" s="612">
        <v>443859</v>
      </c>
      <c r="E24" s="605"/>
      <c r="F24" s="611">
        <v>443859</v>
      </c>
      <c r="G24" s="613">
        <v>521052</v>
      </c>
      <c r="H24" s="605"/>
      <c r="I24" s="611">
        <v>521052</v>
      </c>
      <c r="J24" s="613">
        <v>593420</v>
      </c>
    </row>
    <row r="25" spans="1:10" ht="15.2" thickBot="1" x14ac:dyDescent="0.35">
      <c r="A25" s="610">
        <v>4000000</v>
      </c>
      <c r="B25" s="614"/>
      <c r="C25" s="611">
        <v>412126</v>
      </c>
      <c r="D25" s="612">
        <v>492410</v>
      </c>
      <c r="E25" s="615"/>
      <c r="F25" s="611">
        <v>492410</v>
      </c>
      <c r="G25" s="612">
        <v>578046</v>
      </c>
      <c r="H25" s="605"/>
      <c r="I25" s="611">
        <v>578046</v>
      </c>
      <c r="J25" s="613">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Fernmeldeanlagen!H8</f>
        <v>0</v>
      </c>
      <c r="H62" s="1648"/>
      <c r="I62" s="1647">
        <f>Fernmeldeanlagen!L8</f>
        <v>0</v>
      </c>
      <c r="J62" s="1648"/>
      <c r="K62" s="1647">
        <f>Fernmeldeanlagen!P8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Fernmeldeanlagen!F15</f>
        <v>1</v>
      </c>
      <c r="H64" s="1463"/>
      <c r="J64" s="1643"/>
      <c r="K64" s="1643"/>
      <c r="L64" s="642"/>
      <c r="M64" s="645"/>
      <c r="N64" s="626"/>
      <c r="O64" s="626"/>
      <c r="P64" s="626"/>
      <c r="Q64" s="627"/>
    </row>
    <row r="65" spans="1:17" x14ac:dyDescent="0.3">
      <c r="A65" s="629"/>
      <c r="B65" s="1422" t="s">
        <v>317</v>
      </c>
      <c r="C65" s="1423"/>
      <c r="D65" s="1423"/>
      <c r="E65" s="1424"/>
      <c r="F65" s="644"/>
      <c r="G65" s="1462" t="str">
        <f>Fernmeldeanlagen!F16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649"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651"/>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597">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597">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597">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652"/>
      <c r="E75" s="603"/>
      <c r="F75" s="603"/>
      <c r="G75" s="653"/>
      <c r="H75" s="651"/>
      <c r="I75" s="641"/>
      <c r="J75" s="641"/>
      <c r="K75" s="641"/>
      <c r="L75" s="654"/>
      <c r="M75" s="641"/>
      <c r="N75" s="627"/>
      <c r="O75" s="627"/>
      <c r="P75" s="627"/>
      <c r="Q75" s="627"/>
    </row>
    <row r="76" spans="1:17" x14ac:dyDescent="0.3">
      <c r="A76" s="629"/>
      <c r="B76" s="708"/>
      <c r="C76" s="709"/>
      <c r="D76" s="1397" t="s">
        <v>925</v>
      </c>
      <c r="E76" s="1649" t="s">
        <v>316</v>
      </c>
      <c r="F76" s="603"/>
      <c r="G76" s="647" t="s">
        <v>328</v>
      </c>
      <c r="H76" s="648">
        <f>IF(G62&lt;$A$6,0,IF(G62&gt;$A$44,0,INDEX($A$6:$A$44,MATCH(G62,$A$6:$A$44,1)+1,1)))</f>
        <v>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651"/>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597">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597">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597">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0</v>
      </c>
      <c r="H85" s="655">
        <f>VLOOKUP(G64,E72:H74,4)</f>
        <v>0</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0</v>
      </c>
      <c r="H86" s="655">
        <f>VLOOKUP(G64,E78:H80,4)</f>
        <v>0</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0</v>
      </c>
      <c r="H93" s="655">
        <f t="shared" si="3"/>
        <v>0</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0</v>
      </c>
      <c r="H94" s="655">
        <f>G88</f>
        <v>0</v>
      </c>
      <c r="I94" s="655">
        <f>I88</f>
        <v>0</v>
      </c>
      <c r="J94" s="655">
        <f>I88</f>
        <v>0</v>
      </c>
      <c r="K94" s="655">
        <f>K88</f>
        <v>0</v>
      </c>
      <c r="L94" s="655">
        <f>K88</f>
        <v>0</v>
      </c>
      <c r="M94" s="656"/>
    </row>
    <row r="95" spans="1:17" x14ac:dyDescent="0.3">
      <c r="A95" s="629"/>
      <c r="B95" s="1416" t="s">
        <v>336</v>
      </c>
      <c r="C95" s="1416"/>
      <c r="D95" s="1416"/>
      <c r="E95" s="1416"/>
      <c r="F95" s="660"/>
      <c r="G95" s="655">
        <f t="shared" ref="G95:L95" si="4">G87</f>
        <v>0</v>
      </c>
      <c r="H95" s="655">
        <f t="shared" si="4"/>
        <v>0</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0</v>
      </c>
      <c r="H96" s="655">
        <f>H76-H70</f>
        <v>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0</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IF(Fernmeldeanlagen!$T39="ja",Fernmeldeanlagen!J39,0)</f>
        <v>0</v>
      </c>
      <c r="D109" s="1639"/>
      <c r="E109" s="1669">
        <f>IF(Fernmeldeanlagen!T39="ja",Fernmeldeanlagen!L54,0)</f>
        <v>0</v>
      </c>
      <c r="F109" s="1639"/>
      <c r="G109" s="681">
        <f>C109*1.1+E109</f>
        <v>0</v>
      </c>
    </row>
    <row r="110" spans="1:13" x14ac:dyDescent="0.3">
      <c r="B110" s="682">
        <v>2</v>
      </c>
      <c r="C110" s="1408">
        <f>IF(Fernmeldeanlagen!$T55="ja",Fernmeldeanlagen!J55,0)</f>
        <v>0</v>
      </c>
      <c r="D110" s="1409"/>
      <c r="E110" s="1670">
        <f>IF(Fernmeldeanlagen!T55="ja",Fernmeldeanlagen!L78,0)</f>
        <v>0</v>
      </c>
      <c r="F110" s="1409"/>
      <c r="G110" s="681">
        <f t="shared" ref="G110:G122" si="5">C110*1.1+E110</f>
        <v>0</v>
      </c>
    </row>
    <row r="111" spans="1:13" x14ac:dyDescent="0.3">
      <c r="B111" s="682">
        <v>3</v>
      </c>
      <c r="C111" s="1408">
        <f>IF(Fernmeldeanlagen!$T82="ja",Fernmeldeanlagen!J82,0)</f>
        <v>0</v>
      </c>
      <c r="D111" s="1409"/>
      <c r="E111" s="1670">
        <f>IF(Fernmeldeanlagen!T82="ja",Fernmeldeanlagen!L115,0)</f>
        <v>0</v>
      </c>
      <c r="F111" s="1409"/>
      <c r="G111" s="681">
        <f t="shared" si="5"/>
        <v>0</v>
      </c>
    </row>
    <row r="112" spans="1:13" x14ac:dyDescent="0.3">
      <c r="B112" s="682">
        <v>4</v>
      </c>
      <c r="C112" s="1408">
        <f>IF(Fernmeldeanlagen!$T119="ja",Fernmeldeanlagen!J119,0)</f>
        <v>0</v>
      </c>
      <c r="D112" s="1409"/>
      <c r="E112" s="1670">
        <f>IF(Fernmeldeanlagen!T119="ja",Fernmeldeanlagen!L127,0)</f>
        <v>0</v>
      </c>
      <c r="F112" s="1409"/>
      <c r="G112" s="681">
        <f t="shared" si="5"/>
        <v>0</v>
      </c>
    </row>
    <row r="113" spans="2:7" x14ac:dyDescent="0.3">
      <c r="B113" s="682" t="s">
        <v>351</v>
      </c>
      <c r="C113" s="1408">
        <f>IF(Fernmeldeanlagen!$T128="ja",Fernmeldeanlagen!J128,0)</f>
        <v>0</v>
      </c>
      <c r="D113" s="1409"/>
      <c r="E113" s="1670">
        <f>IF(Fernmeldeanlagen!T128="ja",Fernmeldeanlagen!R128+Fernmeldeanlagen!R131,0)</f>
        <v>0</v>
      </c>
      <c r="F113" s="1409"/>
      <c r="G113" s="681">
        <f t="shared" si="5"/>
        <v>0</v>
      </c>
    </row>
    <row r="114" spans="2:7" x14ac:dyDescent="0.3">
      <c r="B114" s="682" t="s">
        <v>352</v>
      </c>
      <c r="C114" s="1408">
        <f>IF(Fernmeldeanlagen!$T133="ja",Fernmeldeanlagen!J133,0)</f>
        <v>0</v>
      </c>
      <c r="D114" s="1409"/>
      <c r="E114" s="1670">
        <f>IF(Fernmeldeanlagen!T133="ja",Fernmeldeanlagen!R133+Fernmeldeanlagen!R136+Fernmeldeanlagen!R139+Fernmeldeanlagen!R142,0)</f>
        <v>0</v>
      </c>
      <c r="F114" s="1409"/>
      <c r="G114" s="681">
        <f t="shared" si="5"/>
        <v>0</v>
      </c>
    </row>
    <row r="115" spans="2:7" x14ac:dyDescent="0.3">
      <c r="B115" s="682" t="s">
        <v>353</v>
      </c>
      <c r="C115" s="1408">
        <f>IF(Fernmeldeanlagen!$T143="ja",Fernmeldeanlagen!J143,0)</f>
        <v>0</v>
      </c>
      <c r="D115" s="1409"/>
      <c r="E115" s="1670">
        <f>IF(Fernmeldeanlagen!T143="ja",Fernmeldeanlagen!R143,0)</f>
        <v>0</v>
      </c>
      <c r="F115" s="1409"/>
      <c r="G115" s="681">
        <f t="shared" si="5"/>
        <v>0</v>
      </c>
    </row>
    <row r="116" spans="2:7" x14ac:dyDescent="0.3">
      <c r="B116" s="682" t="s">
        <v>354</v>
      </c>
      <c r="C116" s="1408">
        <f>IF(Fernmeldeanlagen!$T144="ja",Fernmeldeanlagen!J144,0)</f>
        <v>0</v>
      </c>
      <c r="D116" s="1409"/>
      <c r="E116" s="1670">
        <f>IF(Fernmeldeanlagen!T144="ja",Fernmeldeanlagen!R144,0)</f>
        <v>0</v>
      </c>
      <c r="F116" s="1409"/>
      <c r="G116" s="681">
        <f t="shared" si="5"/>
        <v>0</v>
      </c>
    </row>
    <row r="117" spans="2:7" x14ac:dyDescent="0.3">
      <c r="B117" s="682" t="s">
        <v>355</v>
      </c>
      <c r="C117" s="1408">
        <f>IF(Fernmeldeanlagen!$T145="ja",Fernmeldeanlagen!J145,0)</f>
        <v>0</v>
      </c>
      <c r="D117" s="1409"/>
      <c r="E117" s="1670">
        <f>IF(Fernmeldeanlagen!T145="ja",Fernmeldeanlagen!R145+Fernmeldeanlagen!R148,0)</f>
        <v>0</v>
      </c>
      <c r="F117" s="1409"/>
      <c r="G117" s="681">
        <f t="shared" si="5"/>
        <v>0</v>
      </c>
    </row>
    <row r="118" spans="2:7" x14ac:dyDescent="0.3">
      <c r="B118" s="682" t="s">
        <v>356</v>
      </c>
      <c r="C118" s="1408">
        <f>IF(Fernmeldeanlagen!$T150="ja",Fernmeldeanlagen!J150,0)</f>
        <v>0</v>
      </c>
      <c r="D118" s="1409"/>
      <c r="E118" s="1670">
        <f>IF(Fernmeldeanlagen!T150="ja",Fernmeldeanlagen!R150,0)</f>
        <v>0</v>
      </c>
      <c r="F118" s="1409"/>
      <c r="G118" s="681">
        <f t="shared" si="5"/>
        <v>0</v>
      </c>
    </row>
    <row r="119" spans="2:7" x14ac:dyDescent="0.3">
      <c r="B119" s="683">
        <v>6</v>
      </c>
      <c r="C119" s="1408">
        <f>IF(Fernmeldeanlagen!$T154="ja",Fernmeldeanlagen!J154,0)</f>
        <v>0</v>
      </c>
      <c r="D119" s="1409"/>
      <c r="E119" s="1670">
        <f>IF(Fernmeldeanlagen!T154="ja",Fernmeldeanlagen!L178,0)</f>
        <v>0</v>
      </c>
      <c r="F119" s="1409"/>
      <c r="G119" s="681">
        <f t="shared" si="5"/>
        <v>0</v>
      </c>
    </row>
    <row r="120" spans="2:7" x14ac:dyDescent="0.3">
      <c r="B120" s="683">
        <v>7</v>
      </c>
      <c r="C120" s="1408">
        <f>IF(Fernmeldeanlagen!$T179="ja",Fernmeldeanlagen!J179,0)</f>
        <v>0</v>
      </c>
      <c r="D120" s="1409"/>
      <c r="E120" s="1670">
        <f>IF(Fernmeldeanlagen!T179="ja",Fernmeldeanlagen!L193,0)</f>
        <v>0</v>
      </c>
      <c r="F120" s="1409"/>
      <c r="G120" s="681">
        <f t="shared" si="5"/>
        <v>0</v>
      </c>
    </row>
    <row r="121" spans="2:7" x14ac:dyDescent="0.3">
      <c r="B121" s="683">
        <v>8</v>
      </c>
      <c r="C121" s="1408">
        <f>IF(Fernmeldeanlagen!$T194="ja",Fernmeldeanlagen!J194,0)</f>
        <v>0</v>
      </c>
      <c r="D121" s="1409"/>
      <c r="E121" s="1670">
        <f>IF(Fernmeldeanlagen!T194="ja",Fernmeldeanlagen!L235,0)</f>
        <v>0</v>
      </c>
      <c r="F121" s="1409"/>
      <c r="G121" s="681">
        <f t="shared" si="5"/>
        <v>0</v>
      </c>
    </row>
    <row r="122" spans="2:7" ht="15.2" thickBot="1" x14ac:dyDescent="0.35">
      <c r="B122" s="684">
        <v>9</v>
      </c>
      <c r="C122" s="1674">
        <f>IF(Fernmeldeanlagen!$T236="ja",Fernmeldeanlagen!J236,0)</f>
        <v>0</v>
      </c>
      <c r="D122" s="1675"/>
      <c r="E122" s="1676">
        <f>IF(Fernmeldeanlagen!T236="ja",Fernmeldeanlagen!L245,0)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C123*Fernmeldeanlagen!F23+C123</f>
        <v>0</v>
      </c>
      <c r="D125" s="1658"/>
      <c r="E125" s="1657">
        <f>Fernmeldeanlagen!R245</f>
        <v>0</v>
      </c>
      <c r="F125" s="1658"/>
    </row>
    <row r="128" spans="2:7" x14ac:dyDescent="0.3">
      <c r="B128" s="594" t="s">
        <v>463</v>
      </c>
      <c r="D128" s="687">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688" t="s">
        <v>105</v>
      </c>
      <c r="C134" s="689" t="s">
        <v>285</v>
      </c>
      <c r="D134" s="690" t="s">
        <v>286</v>
      </c>
      <c r="E134" s="690" t="s">
        <v>287</v>
      </c>
      <c r="F134" s="690" t="s">
        <v>288</v>
      </c>
      <c r="G134" s="690" t="s">
        <v>289</v>
      </c>
      <c r="H134" s="690" t="s">
        <v>290</v>
      </c>
      <c r="I134" s="690" t="s">
        <v>291</v>
      </c>
      <c r="J134" s="690" t="s">
        <v>292</v>
      </c>
      <c r="K134" s="690" t="s">
        <v>293</v>
      </c>
      <c r="L134" s="690" t="s">
        <v>294</v>
      </c>
      <c r="M134" s="690" t="s">
        <v>295</v>
      </c>
      <c r="N134" s="690" t="s">
        <v>296</v>
      </c>
      <c r="O134" s="690" t="s">
        <v>297</v>
      </c>
      <c r="P134" s="690" t="s">
        <v>359</v>
      </c>
      <c r="Q134" s="691" t="s">
        <v>360</v>
      </c>
    </row>
    <row r="135" spans="2:17" x14ac:dyDescent="0.3">
      <c r="B135" s="768">
        <f>IF(Überblick!$H$53&gt;=1,1,"")</f>
        <v>1</v>
      </c>
      <c r="C135" s="778">
        <f>IF($B135=Fernmeldeanlagen!$U$39,Fernmeldeanlagen!$J$39*Fernmeldeanlagen!$F$23+Fernmeldeanlagen!$J$39+Fernmeldeanlagen!$L$54,0)</f>
        <v>0</v>
      </c>
      <c r="D135" s="694">
        <f>IF($B135=Fernmeldeanlagen!$U$55,Fernmeldeanlagen!$J$55*Fernmeldeanlagen!$F$23+Fernmeldeanlagen!$J$55+Fernmeldeanlagen!$L$78,0)</f>
        <v>0</v>
      </c>
      <c r="E135" s="694">
        <f>IF($B135=Fernmeldeanlagen!$U$82,Fernmeldeanlagen!$J$82*Fernmeldeanlagen!$F$23+Fernmeldeanlagen!$J$82+Fernmeldeanlagen!$L$115,0)</f>
        <v>0</v>
      </c>
      <c r="F135" s="694">
        <f>IF($B135=Fernmeldeanlagen!$U$119,Fernmeldeanlagen!$J$119*Fernmeldeanlagen!$F$23+Fernmeldeanlagen!$J$119+Fernmeldeanlagen!$L$127,0)</f>
        <v>0</v>
      </c>
      <c r="G135" s="694">
        <f>IF($B135=Fernmeldeanlagen!$U$128,Fernmeldeanlagen!$J$128*Fernmeldeanlagen!$F$23+Fernmeldeanlagen!$J$128+Fernmeldeanlagen!$R$128+Fernmeldeanlagen!$R$131,0)</f>
        <v>0</v>
      </c>
      <c r="H135" s="694">
        <f>IF($B135=Fernmeldeanlagen!$U$133,Fernmeldeanlagen!$J$133*Fernmeldeanlagen!$F$23+Fernmeldeanlagen!$J$133+Fernmeldeanlagen!$R$133+Fernmeldeanlagen!$R$136+Fernmeldeanlagen!$R$139+Fernmeldeanlagen!$R$142,0)</f>
        <v>0</v>
      </c>
      <c r="I135" s="694">
        <f>IF($B135=Fernmeldeanlagen!$U$143,Fernmeldeanlagen!$J$143*Fernmeldeanlagen!$F$23+Fernmeldeanlagen!$J$143+Fernmeldeanlagen!$R$143,0)</f>
        <v>0</v>
      </c>
      <c r="J135" s="694">
        <f>IF($B135=Fernmeldeanlagen!$U$144,Fernmeldeanlagen!$J$144*Fernmeldeanlagen!$F$23+Fernmeldeanlagen!$J$144+Fernmeldeanlagen!$R$144,0)</f>
        <v>0</v>
      </c>
      <c r="K135" s="694">
        <f>IF($B135=Fernmeldeanlagen!$U$145,Fernmeldeanlagen!$J$145*Fernmeldeanlagen!$F$23+Fernmeldeanlagen!$J$145+Fernmeldeanlagen!$R$145+Fernmeldeanlagen!$R$148,0)</f>
        <v>0</v>
      </c>
      <c r="L135" s="694">
        <f>IF($B135=Fernmeldeanlagen!$U$150,Fernmeldeanlagen!$J$150*Fernmeldeanlagen!$F$23+Fernmeldeanlagen!$J$150+Fernmeldeanlagen!$R$150,0)</f>
        <v>0</v>
      </c>
      <c r="M135" s="694">
        <f>IF($B135=Fernmeldeanlagen!$U$154,Fernmeldeanlagen!$J$154*Fernmeldeanlagen!$F$23+Fernmeldeanlagen!$J$154+Fernmeldeanlagen!$L$178,0)</f>
        <v>0</v>
      </c>
      <c r="N135" s="694">
        <f>IF($B135=Fernmeldeanlagen!$U$179,Fernmeldeanlagen!$J$179*Fernmeldeanlagen!$F$23+Fernmeldeanlagen!$J$179+Fernmeldeanlagen!$L$193,0)</f>
        <v>0</v>
      </c>
      <c r="O135" s="694">
        <f>IF($B135=Fernmeldeanlagen!$U$194,Fernmeldeanlagen!$J$194*Fernmeldeanlagen!$F$23+Fernmeldeanlagen!$J$194+Fernmeldeanlagen!$L$235,0)</f>
        <v>0</v>
      </c>
      <c r="P135" s="779">
        <f>IF($B135=Fernmeldeanlagen!$U$236,Fernmeldeanlagen!$J$236*Fernmeldeanlagen!$F$23+Fernmeldeanlagen!$J$236+Fernmeldeanlagen!$L$245,0)</f>
        <v>0</v>
      </c>
      <c r="Q135" s="780">
        <f>SUM(C135:P135)</f>
        <v>0</v>
      </c>
    </row>
    <row r="136" spans="2:17" x14ac:dyDescent="0.3">
      <c r="B136" s="769">
        <f>IF(Überblick!$H$53&gt;=2,2,"")</f>
        <v>2</v>
      </c>
      <c r="C136" s="781">
        <f>IF($B136=Fernmeldeanlagen!$U$39,Fernmeldeanlagen!$J$39*Fernmeldeanlagen!$F$23+Fernmeldeanlagen!$J$39+Fernmeldeanlagen!$L$54,0)</f>
        <v>0</v>
      </c>
      <c r="D136" s="698">
        <f>IF($B136=Fernmeldeanlagen!$U$55,Fernmeldeanlagen!$J$55*Fernmeldeanlagen!$F$23+Fernmeldeanlagen!$J$55+Fernmeldeanlagen!$L$78,0)</f>
        <v>0</v>
      </c>
      <c r="E136" s="698">
        <f>IF($B136=Fernmeldeanlagen!$U$82,Fernmeldeanlagen!$J$82*Fernmeldeanlagen!$F$23+Fernmeldeanlagen!$J$82+Fernmeldeanlagen!$L$115,0)</f>
        <v>0</v>
      </c>
      <c r="F136" s="698">
        <f>IF($B136=Fernmeldeanlagen!$U$119,Fernmeldeanlagen!$J$119*Fernmeldeanlagen!$F$23+Fernmeldeanlagen!$J$119+Fernmeldeanlagen!$L$127,0)</f>
        <v>0</v>
      </c>
      <c r="G136" s="698">
        <f>IF($B136=Fernmeldeanlagen!$U$128,Fernmeldeanlagen!$J$128*Fernmeldeanlagen!$F$23+Fernmeldeanlagen!$J$128+Fernmeldeanlagen!$R$128,0)</f>
        <v>0</v>
      </c>
      <c r="H136" s="698">
        <f>IF($B136=Fernmeldeanlagen!$U$133,Fernmeldeanlagen!$J$133*Fernmeldeanlagen!$F$23+Fernmeldeanlagen!$J$133+Fernmeldeanlagen!$R$133+Fernmeldeanlagen!$R$136+Fernmeldeanlagen!$R$139+Fernmeldeanlagen!$R$142,0)</f>
        <v>0</v>
      </c>
      <c r="I136" s="698">
        <f>IF($B136=Fernmeldeanlagen!$U$143,Fernmeldeanlagen!$J$143*Fernmeldeanlagen!$F$23+Fernmeldeanlagen!$J$143+Fernmeldeanlagen!$R$143,0)</f>
        <v>0</v>
      </c>
      <c r="J136" s="698">
        <f>IF($B136=Fernmeldeanlagen!$U$144,Fernmeldeanlagen!$J$144*Fernmeldeanlagen!$F$23+Fernmeldeanlagen!$J$144+Fernmeldeanlagen!$R$144,0)</f>
        <v>0</v>
      </c>
      <c r="K136" s="698">
        <f>IF($B136=Fernmeldeanlagen!$U$145,Fernmeldeanlagen!$J$145*Fernmeldeanlagen!$F$23+Fernmeldeanlagen!$J$145+Fernmeldeanlagen!$R$145+Fernmeldeanlagen!$R$148,0)</f>
        <v>0</v>
      </c>
      <c r="L136" s="698">
        <f>IF($B136=Fernmeldeanlagen!$U$150,Fernmeldeanlagen!$J$150*Fernmeldeanlagen!$F$23+Fernmeldeanlagen!$J$150+Fernmeldeanlagen!$R$150,0)</f>
        <v>0</v>
      </c>
      <c r="M136" s="698">
        <f>IF($B136=Fernmeldeanlagen!$U$154,Fernmeldeanlagen!$J$154*Fernmeldeanlagen!$F$23+Fernmeldeanlagen!$J$154+Fernmeldeanlagen!$L$178,0)</f>
        <v>0</v>
      </c>
      <c r="N136" s="698">
        <f>IF($B136=Fernmeldeanlagen!$U$179,Fernmeldeanlagen!$J$179*Fernmeldeanlagen!$F$23+Fernmeldeanlagen!$J$179+Fernmeldeanlagen!$L$193,0)</f>
        <v>0</v>
      </c>
      <c r="O136" s="698">
        <f>IF($B136=Fernmeldeanlagen!$U$194,Fernmeldeanlagen!$J$194*Fernmeldeanlagen!$F$23+Fernmeldeanlagen!$J$194+Fernmeldeanlagen!$L$235,0)</f>
        <v>0</v>
      </c>
      <c r="P136" s="782">
        <f>IF($B136=Fernmeldeanlagen!$U$236,Fernmeldeanlagen!$J$236*Fernmeldeanlagen!$F$23+Fernmeldeanlagen!$J$236+Fernmeldeanlagen!$L$245,0)</f>
        <v>0</v>
      </c>
      <c r="Q136" s="783">
        <f t="shared" ref="Q136:Q142" si="6">SUM(C136:P136)</f>
        <v>0</v>
      </c>
    </row>
    <row r="137" spans="2:17" x14ac:dyDescent="0.3">
      <c r="B137" s="769">
        <f>IF(Überblick!$H$53&gt;=3,3,"")</f>
        <v>3</v>
      </c>
      <c r="C137" s="781">
        <f>IF($B137=Fernmeldeanlagen!$U$39,Fernmeldeanlagen!$J$39*Fernmeldeanlagen!$F$23+Fernmeldeanlagen!$J$39+Fernmeldeanlagen!$L$54,0)</f>
        <v>0</v>
      </c>
      <c r="D137" s="698">
        <f>IF($B137=Fernmeldeanlagen!$U$55,Fernmeldeanlagen!$J$55*Fernmeldeanlagen!$F$23+Fernmeldeanlagen!$J$55+Fernmeldeanlagen!$L$78,0)</f>
        <v>0</v>
      </c>
      <c r="E137" s="698">
        <f>IF($B137=Fernmeldeanlagen!$U$82,Fernmeldeanlagen!$J$82*Fernmeldeanlagen!$F$23+Fernmeldeanlagen!$J$82+Fernmeldeanlagen!$L$115,0)</f>
        <v>0</v>
      </c>
      <c r="F137" s="698">
        <f>IF($B137=Fernmeldeanlagen!$U$119,Fernmeldeanlagen!$J$119*Fernmeldeanlagen!$F$23+Fernmeldeanlagen!$J$119+Fernmeldeanlagen!$L$127,0)</f>
        <v>0</v>
      </c>
      <c r="G137" s="698">
        <f>IF($B137=Fernmeldeanlagen!$U$128,Fernmeldeanlagen!$J$128*Fernmeldeanlagen!$F$23+Fernmeldeanlagen!$J$128+Fernmeldeanlagen!$R$128,0)</f>
        <v>0</v>
      </c>
      <c r="H137" s="698">
        <f>IF($B137=Fernmeldeanlagen!$U$133,Fernmeldeanlagen!$J$133*Fernmeldeanlagen!$F$23+Fernmeldeanlagen!$J$133+Fernmeldeanlagen!$R$133+Fernmeldeanlagen!$R$136+Fernmeldeanlagen!$R$139+Fernmeldeanlagen!$R$142,0)</f>
        <v>0</v>
      </c>
      <c r="I137" s="698">
        <f>IF($B137=Fernmeldeanlagen!$U$143,Fernmeldeanlagen!$J$143*Fernmeldeanlagen!$F$23+Fernmeldeanlagen!$J$143+Fernmeldeanlagen!$R$143,0)</f>
        <v>0</v>
      </c>
      <c r="J137" s="698">
        <f>IF($B137=Fernmeldeanlagen!$U$144,Fernmeldeanlagen!$J$144*Fernmeldeanlagen!$F$23+Fernmeldeanlagen!$J$144+Fernmeldeanlagen!$R$144,0)</f>
        <v>0</v>
      </c>
      <c r="K137" s="698">
        <f>IF($B137=Fernmeldeanlagen!$U$145,Fernmeldeanlagen!$J$145*Fernmeldeanlagen!$F$23+Fernmeldeanlagen!$J$145+Fernmeldeanlagen!$R$145+Fernmeldeanlagen!$R$148,0)</f>
        <v>0</v>
      </c>
      <c r="L137" s="698">
        <f>IF($B137=Fernmeldeanlagen!$U$150,Fernmeldeanlagen!$J$150*Fernmeldeanlagen!$F$23+Fernmeldeanlagen!$J$150+Fernmeldeanlagen!$R$150,0)</f>
        <v>0</v>
      </c>
      <c r="M137" s="698">
        <f>IF($B137=Fernmeldeanlagen!$U$154,Fernmeldeanlagen!$J$154*Fernmeldeanlagen!$F$23+Fernmeldeanlagen!$J$154+Fernmeldeanlagen!$L$178,0)</f>
        <v>0</v>
      </c>
      <c r="N137" s="698">
        <f>IF($B137=Fernmeldeanlagen!$U$179,Fernmeldeanlagen!$J$179*Fernmeldeanlagen!$F$23+Fernmeldeanlagen!$J$179+Fernmeldeanlagen!$L$193,0)</f>
        <v>0</v>
      </c>
      <c r="O137" s="698">
        <f>IF($B137=Fernmeldeanlagen!$U$194,Fernmeldeanlagen!$J$194*Fernmeldeanlagen!$F$23+Fernmeldeanlagen!$J$194+Fernmeldeanlagen!$L$235,0)</f>
        <v>0</v>
      </c>
      <c r="P137" s="782">
        <f>IF($B137=Fernmeldeanlagen!$U$236,Fernmeldeanlagen!$J$236*Fernmeldeanlagen!$F$23+Fernmeldeanlagen!$J$236+Fernmeldeanlagen!$L$245,0)</f>
        <v>0</v>
      </c>
      <c r="Q137" s="783">
        <f t="shared" si="6"/>
        <v>0</v>
      </c>
    </row>
    <row r="138" spans="2:17" x14ac:dyDescent="0.3">
      <c r="B138" s="769"/>
      <c r="C138" s="781">
        <f>IF($B138=Fernmeldeanlagen!$U$39,Fernmeldeanlagen!$J$39*Fernmeldeanlagen!$F$23+Fernmeldeanlagen!$J$39+Fernmeldeanlagen!$L$54,0)</f>
        <v>0</v>
      </c>
      <c r="D138" s="698">
        <f>IF($B138=Fernmeldeanlagen!$U$55,Fernmeldeanlagen!$J$55*Fernmeldeanlagen!$F$23+Fernmeldeanlagen!$J$55+Fernmeldeanlagen!$L$78,0)</f>
        <v>0</v>
      </c>
      <c r="E138" s="698">
        <f>IF($B138=Fernmeldeanlagen!$U$82,Fernmeldeanlagen!$J$82*Fernmeldeanlagen!$F$23+Fernmeldeanlagen!$J$82+Fernmeldeanlagen!$L$115,0)</f>
        <v>0</v>
      </c>
      <c r="F138" s="698">
        <f>IF($B138=Fernmeldeanlagen!$U$119,Fernmeldeanlagen!$J$119*Fernmeldeanlagen!$F$23+Fernmeldeanlagen!$J$119+Fernmeldeanlagen!$L$127,0)</f>
        <v>0</v>
      </c>
      <c r="G138" s="698">
        <f>IF($B138=Fernmeldeanlagen!$U$128,Fernmeldeanlagen!$J$128*Fernmeldeanlagen!$F$23+Fernmeldeanlagen!$J$128+Fernmeldeanlagen!$R$128,0)</f>
        <v>0</v>
      </c>
      <c r="H138" s="698">
        <f>IF($B138=Fernmeldeanlagen!$U$133,Fernmeldeanlagen!$J$133*Fernmeldeanlagen!$F$23+Fernmeldeanlagen!$J$133+Fernmeldeanlagen!$R$133+Fernmeldeanlagen!$R$136+Fernmeldeanlagen!$R$139+Fernmeldeanlagen!$R$142,0)</f>
        <v>0</v>
      </c>
      <c r="I138" s="698">
        <f>IF($B138=Fernmeldeanlagen!$U$143,Fernmeldeanlagen!$J$143*Fernmeldeanlagen!$F$23+Fernmeldeanlagen!$J$143+Fernmeldeanlagen!$R$143,0)</f>
        <v>0</v>
      </c>
      <c r="J138" s="698">
        <f>IF($B138=Fernmeldeanlagen!$U$144,Fernmeldeanlagen!$J$144*Fernmeldeanlagen!$F$23+Fernmeldeanlagen!$J$144+Fernmeldeanlagen!$R$144,0)</f>
        <v>0</v>
      </c>
      <c r="K138" s="698">
        <f>IF($B138=Fernmeldeanlagen!$U$145,Fernmeldeanlagen!$J$145*Fernmeldeanlagen!$F$23+Fernmeldeanlagen!$J$145+Fernmeldeanlagen!$R$145+Fernmeldeanlagen!$R$148,0)</f>
        <v>0</v>
      </c>
      <c r="L138" s="698">
        <f>IF($B138=Fernmeldeanlagen!$U$150,Fernmeldeanlagen!$J$150*Fernmeldeanlagen!$F$23+Fernmeldeanlagen!$J$150+Fernmeldeanlagen!$R$150,0)</f>
        <v>0</v>
      </c>
      <c r="M138" s="698">
        <f>IF($B138=Fernmeldeanlagen!$U$154,Fernmeldeanlagen!$J$154*Fernmeldeanlagen!$F$23+Fernmeldeanlagen!$J$154+Fernmeldeanlagen!$L$178,0)</f>
        <v>0</v>
      </c>
      <c r="N138" s="698">
        <f>IF($B138=Fernmeldeanlagen!$U$179,Fernmeldeanlagen!$J$179*Fernmeldeanlagen!$F$23+Fernmeldeanlagen!$J$179+Fernmeldeanlagen!$L$193,0)</f>
        <v>0</v>
      </c>
      <c r="O138" s="698">
        <f>IF($B138=Fernmeldeanlagen!$U$194,Fernmeldeanlagen!$J$194*Fernmeldeanlagen!$F$23+Fernmeldeanlagen!$J$194+Fernmeldeanlagen!$L$235,0)</f>
        <v>0</v>
      </c>
      <c r="P138" s="782">
        <f>IF($B138=Fernmeldeanlagen!$U$236,Fernmeldeanlagen!$J$236*Fernmeldeanlagen!$F$23+Fernmeldeanlagen!$J$236+Fernmeldeanlagen!$L$245,0)</f>
        <v>0</v>
      </c>
      <c r="Q138" s="783">
        <f t="shared" si="6"/>
        <v>0</v>
      </c>
    </row>
    <row r="139" spans="2:17" x14ac:dyDescent="0.3">
      <c r="B139" s="769">
        <f>IF(Überblick!$H$53&gt;=5,5,"")</f>
        <v>5</v>
      </c>
      <c r="C139" s="781">
        <f>IF($B139=Fernmeldeanlagen!$U$39,Fernmeldeanlagen!$J$39*Fernmeldeanlagen!$F$23+Fernmeldeanlagen!$J$39+Fernmeldeanlagen!$L$54,0)</f>
        <v>0</v>
      </c>
      <c r="D139" s="698">
        <f>IF($B139=Fernmeldeanlagen!$U$55,Fernmeldeanlagen!$J$55*Fernmeldeanlagen!$F$23+Fernmeldeanlagen!$J$55+Fernmeldeanlagen!$L$78,0)</f>
        <v>0</v>
      </c>
      <c r="E139" s="698">
        <f>IF($B139=Fernmeldeanlagen!$U$82,Fernmeldeanlagen!$J$82*Fernmeldeanlagen!$F$23+Fernmeldeanlagen!$J$82+Fernmeldeanlagen!$L$115,0)</f>
        <v>0</v>
      </c>
      <c r="F139" s="698">
        <f>IF($B139=Fernmeldeanlagen!$U$119,Fernmeldeanlagen!$J$119*Fernmeldeanlagen!$F$23+Fernmeldeanlagen!$J$119+Fernmeldeanlagen!$L$127,0)</f>
        <v>0</v>
      </c>
      <c r="G139" s="698">
        <f>IF($B139=Fernmeldeanlagen!$U$128,Fernmeldeanlagen!$J$128*Fernmeldeanlagen!$F$23+Fernmeldeanlagen!$J$128+Fernmeldeanlagen!$R$128,0)</f>
        <v>0</v>
      </c>
      <c r="H139" s="698">
        <f>IF($B139=Fernmeldeanlagen!$U$133,Fernmeldeanlagen!$J$133*Fernmeldeanlagen!$F$23+Fernmeldeanlagen!$J$133+Fernmeldeanlagen!$R$133+Fernmeldeanlagen!$R$136+Fernmeldeanlagen!$R$139+Fernmeldeanlagen!$R$142,0)</f>
        <v>0</v>
      </c>
      <c r="I139" s="698">
        <f>IF($B139=Fernmeldeanlagen!$U$143,Fernmeldeanlagen!$J$143*Fernmeldeanlagen!$F$23+Fernmeldeanlagen!$J$143+Fernmeldeanlagen!$R$143,0)</f>
        <v>0</v>
      </c>
      <c r="J139" s="698">
        <f>IF($B139=Fernmeldeanlagen!$U$144,Fernmeldeanlagen!$J$144*Fernmeldeanlagen!$F$23+Fernmeldeanlagen!$J$144+Fernmeldeanlagen!$R$144,0)</f>
        <v>0</v>
      </c>
      <c r="K139" s="698">
        <f>IF($B139=Fernmeldeanlagen!$U$145,Fernmeldeanlagen!$J$145*Fernmeldeanlagen!$F$23+Fernmeldeanlagen!$J$145+Fernmeldeanlagen!$R$145+Fernmeldeanlagen!$R$148,0)</f>
        <v>0</v>
      </c>
      <c r="L139" s="698">
        <f>IF($B139=Fernmeldeanlagen!$U$150,Fernmeldeanlagen!$J$150*Fernmeldeanlagen!$F$23+Fernmeldeanlagen!$J$150+Fernmeldeanlagen!$R$150,0)</f>
        <v>0</v>
      </c>
      <c r="M139" s="698">
        <f>IF($B139=Fernmeldeanlagen!$U$154,Fernmeldeanlagen!$J$154*Fernmeldeanlagen!$F$23+Fernmeldeanlagen!$J$154+Fernmeldeanlagen!$L$178,0)</f>
        <v>0</v>
      </c>
      <c r="N139" s="698">
        <f>IF($B139=Fernmeldeanlagen!$U$179,Fernmeldeanlagen!$J$179*Fernmeldeanlagen!$F$23+Fernmeldeanlagen!$J$179+Fernmeldeanlagen!$L$193,0)</f>
        <v>0</v>
      </c>
      <c r="O139" s="698">
        <f>IF($B139=Fernmeldeanlagen!$U$194,Fernmeldeanlagen!$J$194*Fernmeldeanlagen!$F$23+Fernmeldeanlagen!$J$194+Fernmeldeanlagen!$L$235,0)</f>
        <v>0</v>
      </c>
      <c r="P139" s="782">
        <f>IF($B139=Fernmeldeanlagen!$U$236,Fernmeldeanlagen!$J$236*Fernmeldeanlagen!$F$23+Fernmeldeanlagen!$J$236+Fernmeldeanlagen!$L$245,0)</f>
        <v>0</v>
      </c>
      <c r="Q139" s="783">
        <f t="shared" si="6"/>
        <v>0</v>
      </c>
    </row>
    <row r="140" spans="2:17" x14ac:dyDescent="0.3">
      <c r="B140" s="769">
        <f>IF(Überblick!$H$53&gt;=6,6,"")</f>
        <v>6</v>
      </c>
      <c r="C140" s="781">
        <f>IF($B140=Fernmeldeanlagen!$U$39,Fernmeldeanlagen!$J$39*Fernmeldeanlagen!$F$23+Fernmeldeanlagen!$J$39+Fernmeldeanlagen!$L$54,0)</f>
        <v>0</v>
      </c>
      <c r="D140" s="698">
        <f>IF($B140=Fernmeldeanlagen!$U$55,Fernmeldeanlagen!$J$55*Fernmeldeanlagen!$F$23+Fernmeldeanlagen!$J$55+Fernmeldeanlagen!$L$78,0)</f>
        <v>0</v>
      </c>
      <c r="E140" s="698">
        <f>IF($B140=Fernmeldeanlagen!$U$82,Fernmeldeanlagen!$J$82*Fernmeldeanlagen!$F$23+Fernmeldeanlagen!$J$82+Fernmeldeanlagen!$L$115,0)</f>
        <v>0</v>
      </c>
      <c r="F140" s="698">
        <f>IF($B140=Fernmeldeanlagen!$U$119,Fernmeldeanlagen!$J$119*Fernmeldeanlagen!$F$23+Fernmeldeanlagen!$J$119+Fernmeldeanlagen!$L$127,0)</f>
        <v>0</v>
      </c>
      <c r="G140" s="698">
        <f>IF($B140=Fernmeldeanlagen!$U$128,Fernmeldeanlagen!$J$128*Fernmeldeanlagen!$F$23+Fernmeldeanlagen!$J$128+Fernmeldeanlagen!$R$128,0)</f>
        <v>0</v>
      </c>
      <c r="H140" s="698">
        <f>IF($B140=Fernmeldeanlagen!$U$133,Fernmeldeanlagen!$J$133*Fernmeldeanlagen!$F$23+Fernmeldeanlagen!$J$133+Fernmeldeanlagen!$R$133+Fernmeldeanlagen!$R$136+Fernmeldeanlagen!$R$139+Fernmeldeanlagen!$R$142,0)</f>
        <v>0</v>
      </c>
      <c r="I140" s="698">
        <f>IF($B140=Fernmeldeanlagen!$U$143,Fernmeldeanlagen!$J$143*Fernmeldeanlagen!$F$23+Fernmeldeanlagen!$J$143+Fernmeldeanlagen!$R$143,0)</f>
        <v>0</v>
      </c>
      <c r="J140" s="698">
        <f>IF($B140=Fernmeldeanlagen!$U$144,Fernmeldeanlagen!$J$144*Fernmeldeanlagen!$F$23+Fernmeldeanlagen!$J$144+Fernmeldeanlagen!$R$144,0)</f>
        <v>0</v>
      </c>
      <c r="K140" s="698">
        <f>IF($B140=Fernmeldeanlagen!$U$145,Fernmeldeanlagen!$J$145*Fernmeldeanlagen!$F$23+Fernmeldeanlagen!$J$145+Fernmeldeanlagen!$R$145+Fernmeldeanlagen!$R$148,0)</f>
        <v>0</v>
      </c>
      <c r="L140" s="698">
        <f>IF($B140=Fernmeldeanlagen!$U$150,Fernmeldeanlagen!$J$150*Fernmeldeanlagen!$F$23+Fernmeldeanlagen!$J$150+Fernmeldeanlagen!$R$150,0)</f>
        <v>0</v>
      </c>
      <c r="M140" s="698">
        <f>IF($B140=Fernmeldeanlagen!$U$154,Fernmeldeanlagen!$J$154*Fernmeldeanlagen!$F$23+Fernmeldeanlagen!$J$154+Fernmeldeanlagen!$L$178,0)</f>
        <v>0</v>
      </c>
      <c r="N140" s="698">
        <f>IF($B140=Fernmeldeanlagen!$U$179,Fernmeldeanlagen!$J$179*Fernmeldeanlagen!$F$23+Fernmeldeanlagen!$J$179+Fernmeldeanlagen!$L$193,0)</f>
        <v>0</v>
      </c>
      <c r="O140" s="698">
        <f>IF($B140=Fernmeldeanlagen!$U$194,Fernmeldeanlagen!$J$194*Fernmeldeanlagen!$F$23+Fernmeldeanlagen!$J$194+Fernmeldeanlagen!$L$235,0)</f>
        <v>0</v>
      </c>
      <c r="P140" s="782">
        <f>IF($B140=Fernmeldeanlagen!$U$236,Fernmeldeanlagen!$J$236*Fernmeldeanlagen!$F$23+Fernmeldeanlagen!$J$236+Fernmeldeanlagen!$L$245,0)</f>
        <v>0</v>
      </c>
      <c r="Q140" s="783">
        <f t="shared" si="6"/>
        <v>0</v>
      </c>
    </row>
    <row r="141" spans="2:17" x14ac:dyDescent="0.3">
      <c r="B141" s="769" t="str">
        <f>IF(Überblick!$H$53&gt;=7,7,"")</f>
        <v/>
      </c>
      <c r="C141" s="781">
        <f>IF($B141=Fernmeldeanlagen!$U$39,Fernmeldeanlagen!$J$39*Fernmeldeanlagen!$F$23+Fernmeldeanlagen!$J$39+Fernmeldeanlagen!$L$54,0)</f>
        <v>0</v>
      </c>
      <c r="D141" s="698">
        <f>IF($B141=Fernmeldeanlagen!$U$55,Fernmeldeanlagen!$J$55*Fernmeldeanlagen!$F$23+Fernmeldeanlagen!$J$55+Fernmeldeanlagen!$L$78,0)</f>
        <v>0</v>
      </c>
      <c r="E141" s="698">
        <f>IF($B141=Fernmeldeanlagen!$U$82,Fernmeldeanlagen!$J$82*Fernmeldeanlagen!$F$23+Fernmeldeanlagen!$J$82+Fernmeldeanlagen!$L$115,0)</f>
        <v>0</v>
      </c>
      <c r="F141" s="698">
        <f>IF($B141=Fernmeldeanlagen!$U$119,Fernmeldeanlagen!$J$119*Fernmeldeanlagen!$F$23+Fernmeldeanlagen!$J$119+Fernmeldeanlagen!$L$127,0)</f>
        <v>0</v>
      </c>
      <c r="G141" s="698">
        <f>IF($B141=Fernmeldeanlagen!$U$128,Fernmeldeanlagen!$J$128*Fernmeldeanlagen!$F$23+Fernmeldeanlagen!$J$128+Fernmeldeanlagen!$R$128,0)</f>
        <v>0</v>
      </c>
      <c r="H141" s="698">
        <f>IF($B141=Fernmeldeanlagen!$U$133,Fernmeldeanlagen!$J$133*Fernmeldeanlagen!$F$23+Fernmeldeanlagen!$J$133+Fernmeldeanlagen!$R$133+Fernmeldeanlagen!$R$136+Fernmeldeanlagen!$R$139+Fernmeldeanlagen!$R$142,0)</f>
        <v>0</v>
      </c>
      <c r="I141" s="698">
        <f>IF($B141=Fernmeldeanlagen!$U$143,Fernmeldeanlagen!$J$143*Fernmeldeanlagen!$F$23+Fernmeldeanlagen!$J$143+Fernmeldeanlagen!$R$143,0)</f>
        <v>0</v>
      </c>
      <c r="J141" s="698">
        <f>IF($B141=Fernmeldeanlagen!$U$144,Fernmeldeanlagen!$J$144*Fernmeldeanlagen!$F$23+Fernmeldeanlagen!$J$144+Fernmeldeanlagen!$R$144,0)</f>
        <v>0</v>
      </c>
      <c r="K141" s="698">
        <f>IF($B141=Fernmeldeanlagen!$U$145,Fernmeldeanlagen!$J$145*Fernmeldeanlagen!$F$23+Fernmeldeanlagen!$J$145+Fernmeldeanlagen!$R$145+Fernmeldeanlagen!$R$148,0)</f>
        <v>0</v>
      </c>
      <c r="L141" s="698">
        <f>IF($B141=Fernmeldeanlagen!$U$150,Fernmeldeanlagen!$J$150*Fernmeldeanlagen!$F$23+Fernmeldeanlagen!$J$150+Fernmeldeanlagen!$R$150,0)</f>
        <v>0</v>
      </c>
      <c r="M141" s="698">
        <f>IF($B141=Fernmeldeanlagen!$U$154,Fernmeldeanlagen!$J$154*Fernmeldeanlagen!$F$23+Fernmeldeanlagen!$J$154+Fernmeldeanlagen!$L$178,0)</f>
        <v>0</v>
      </c>
      <c r="N141" s="698">
        <f>IF($B141=Fernmeldeanlagen!$U$179,Fernmeldeanlagen!$J$179*Fernmeldeanlagen!$F$23+Fernmeldeanlagen!$J$179+Fernmeldeanlagen!$L$193,0)</f>
        <v>0</v>
      </c>
      <c r="O141" s="698">
        <f>IF($B141=Fernmeldeanlagen!$U$194,Fernmeldeanlagen!$J$194*Fernmeldeanlagen!$F$23+Fernmeldeanlagen!$J$194+Fernmeldeanlagen!$L$235,0)</f>
        <v>0</v>
      </c>
      <c r="P141" s="782">
        <f>IF($B141=Fernmeldeanlagen!$U$236,Fernmeldeanlagen!$J$236*Fernmeldeanlagen!$F$23+Fernmeldeanlagen!$J$236+Fernmeldeanlagen!$L$245,0)</f>
        <v>0</v>
      </c>
      <c r="Q141" s="783">
        <f t="shared" si="6"/>
        <v>0</v>
      </c>
    </row>
    <row r="142" spans="2:17" x14ac:dyDescent="0.3">
      <c r="B142" s="769" t="str">
        <f>IF(Überblick!$H$53&gt;=8,8,"")</f>
        <v/>
      </c>
      <c r="C142" s="781">
        <f>IF($B142=Fernmeldeanlagen!$U$39,Fernmeldeanlagen!$J$39*Fernmeldeanlagen!$F$23+Fernmeldeanlagen!$J$39+Fernmeldeanlagen!$L$54,0)</f>
        <v>0</v>
      </c>
      <c r="D142" s="698">
        <f>IF($B142=Fernmeldeanlagen!$U$55,Fernmeldeanlagen!$J$55*Fernmeldeanlagen!$F$23+Fernmeldeanlagen!$J$55+Fernmeldeanlagen!$L$78,0)</f>
        <v>0</v>
      </c>
      <c r="E142" s="698">
        <f>IF($B142=Fernmeldeanlagen!$U$82,Fernmeldeanlagen!$J$82*Fernmeldeanlagen!$F$23+Fernmeldeanlagen!$J$82+Fernmeldeanlagen!$L$115,0)</f>
        <v>0</v>
      </c>
      <c r="F142" s="698">
        <f>IF($B142=Fernmeldeanlagen!$U$119,Fernmeldeanlagen!$J$119*Fernmeldeanlagen!$F$23+Fernmeldeanlagen!$J$119+Fernmeldeanlagen!$L$127,0)</f>
        <v>0</v>
      </c>
      <c r="G142" s="698">
        <f>IF($B142=Fernmeldeanlagen!$U$128,Fernmeldeanlagen!$J$128*Fernmeldeanlagen!$F$23+Fernmeldeanlagen!$J$128+Fernmeldeanlagen!$R$128,0)</f>
        <v>0</v>
      </c>
      <c r="H142" s="698">
        <f>IF($B142=Fernmeldeanlagen!$U$133,Fernmeldeanlagen!$J$133*Fernmeldeanlagen!$F$23+Fernmeldeanlagen!$J$133+Fernmeldeanlagen!$R$133+Fernmeldeanlagen!$R$136+Fernmeldeanlagen!$R$139+Fernmeldeanlagen!$R$142,0)</f>
        <v>0</v>
      </c>
      <c r="I142" s="698">
        <f>IF($B142=Fernmeldeanlagen!$U$143,Fernmeldeanlagen!$J$143*Fernmeldeanlagen!$F$23+Fernmeldeanlagen!$J$143+Fernmeldeanlagen!$R$143,0)</f>
        <v>0</v>
      </c>
      <c r="J142" s="698">
        <f>IF($B142=Fernmeldeanlagen!$U$144,Fernmeldeanlagen!$J$144*Fernmeldeanlagen!$F$23+Fernmeldeanlagen!$J$144+Fernmeldeanlagen!$R$144,0)</f>
        <v>0</v>
      </c>
      <c r="K142" s="698">
        <f>IF($B142=Fernmeldeanlagen!$U$145,Fernmeldeanlagen!$J$145*Fernmeldeanlagen!$F$23+Fernmeldeanlagen!$J$145+Fernmeldeanlagen!$R$145+Fernmeldeanlagen!$R$148,0)</f>
        <v>0</v>
      </c>
      <c r="L142" s="698">
        <f>IF($B142=Fernmeldeanlagen!$U$150,Fernmeldeanlagen!$J$150*Fernmeldeanlagen!$F$23+Fernmeldeanlagen!$J$150+Fernmeldeanlagen!$R$150,0)</f>
        <v>0</v>
      </c>
      <c r="M142" s="698">
        <f>IF($B142=Fernmeldeanlagen!$U$154,Fernmeldeanlagen!$J$154*Fernmeldeanlagen!$F$23+Fernmeldeanlagen!$J$154+Fernmeldeanlagen!$L$178,0)</f>
        <v>0</v>
      </c>
      <c r="N142" s="698">
        <f>IF($B142=Fernmeldeanlagen!$U$179,Fernmeldeanlagen!$J$179*Fernmeldeanlagen!$F$23+Fernmeldeanlagen!$J$179+Fernmeldeanlagen!$L$193,0)</f>
        <v>0</v>
      </c>
      <c r="O142" s="698">
        <f>IF($B142=Fernmeldeanlagen!$U$194,Fernmeldeanlagen!$J$194*Fernmeldeanlagen!$F$23+Fernmeldeanlagen!$J$194+Fernmeldeanlagen!$L$235,0)</f>
        <v>0</v>
      </c>
      <c r="P142" s="782">
        <f>IF($B142=Fernmeldeanlagen!$U$236,Fernmeldeanlagen!$J$236*Fernmeldeanlagen!$F$23+Fernmeldeanlagen!$J$236+Fernmeldeanlagen!$L$245,0)</f>
        <v>0</v>
      </c>
      <c r="Q142" s="783">
        <f t="shared" si="6"/>
        <v>0</v>
      </c>
    </row>
    <row r="143" spans="2:17" ht="15.2" thickBot="1" x14ac:dyDescent="0.35">
      <c r="B143" s="776" t="str">
        <f>IF(Überblick!$H$53&gt;=9,9,"")</f>
        <v/>
      </c>
      <c r="C143" s="784">
        <f>IF($B143=Fernmeldeanlagen!$U$39,Fernmeldeanlagen!$J$39*Fernmeldeanlagen!$F$23+Fernmeldeanlagen!$J$39+Fernmeldeanlagen!$L$54,0)</f>
        <v>0</v>
      </c>
      <c r="D143" s="702">
        <f>IF($B143=Fernmeldeanlagen!$U$55,Fernmeldeanlagen!$J$55*Fernmeldeanlagen!$F$23+Fernmeldeanlagen!$J$55+Fernmeldeanlagen!$L$78,0)</f>
        <v>0</v>
      </c>
      <c r="E143" s="702">
        <f>IF($B143=Fernmeldeanlagen!$U$82,Fernmeldeanlagen!$J$82*Fernmeldeanlagen!$F$23+Fernmeldeanlagen!$J$82+Fernmeldeanlagen!$L$115,0)</f>
        <v>0</v>
      </c>
      <c r="F143" s="702">
        <f>IF($B143=Fernmeldeanlagen!$U$119,Fernmeldeanlagen!$J$119*Fernmeldeanlagen!$F$23+Fernmeldeanlagen!$J$119+Fernmeldeanlagen!$L$127,0)</f>
        <v>0</v>
      </c>
      <c r="G143" s="702">
        <f>IF($B143=Fernmeldeanlagen!$U$128,Fernmeldeanlagen!$J$128*Fernmeldeanlagen!$F$23+Fernmeldeanlagen!$J$128+Fernmeldeanlagen!$R$128,0)</f>
        <v>0</v>
      </c>
      <c r="H143" s="702">
        <f>IF($B143=Fernmeldeanlagen!$U$133,Fernmeldeanlagen!$J$133*Fernmeldeanlagen!$F$23+Fernmeldeanlagen!$J$133+Fernmeldeanlagen!$R$133+Fernmeldeanlagen!$R$136+Fernmeldeanlagen!$R$139+Fernmeldeanlagen!$R$142,0)</f>
        <v>0</v>
      </c>
      <c r="I143" s="702">
        <f>IF($B143=Fernmeldeanlagen!$U$143,Fernmeldeanlagen!$J$143*Fernmeldeanlagen!$F$23+Fernmeldeanlagen!$J$143+Fernmeldeanlagen!$R$143,0)</f>
        <v>0</v>
      </c>
      <c r="J143" s="702">
        <f>IF($B143=Fernmeldeanlagen!$U$144,Fernmeldeanlagen!$J$144*Fernmeldeanlagen!$F$23+Fernmeldeanlagen!$J$144+Fernmeldeanlagen!$R$144,0)</f>
        <v>0</v>
      </c>
      <c r="K143" s="702">
        <f>IF($B143=Fernmeldeanlagen!$U$145,Fernmeldeanlagen!$J$145*Fernmeldeanlagen!$F$23+Fernmeldeanlagen!$J$145+Fernmeldeanlagen!$R$145+Fernmeldeanlagen!$R$148,0)</f>
        <v>0</v>
      </c>
      <c r="L143" s="702">
        <f>IF($B143=Fernmeldeanlagen!$U$150,Fernmeldeanlagen!$J$150*Fernmeldeanlagen!$F$23+Fernmeldeanlagen!$J$150+Fernmeldeanlagen!$R$150,0)</f>
        <v>0</v>
      </c>
      <c r="M143" s="702">
        <f>IF($B143=Fernmeldeanlagen!$U$154,Fernmeldeanlagen!$J$154*Fernmeldeanlagen!$F$23+Fernmeldeanlagen!$J$154+Fernmeldeanlagen!$L$178,0)</f>
        <v>0</v>
      </c>
      <c r="N143" s="702">
        <f>IF($B143=Fernmeldeanlagen!$U$179,Fernmeldeanlagen!$J$179*Fernmeldeanlagen!$F$23+Fernmeldeanlagen!$J$179+Fernmeldeanlagen!$L$193,0)</f>
        <v>0</v>
      </c>
      <c r="O143" s="702">
        <f>IF($B143=Fernmeldeanlagen!$U$194,Fernmeldeanlagen!$J$194*Fernmeldeanlagen!$F$23+Fernmeldeanlagen!$J$194+Fernmeldeanlagen!$L$235,0)</f>
        <v>0</v>
      </c>
      <c r="P143" s="785">
        <f>IF($B143=Fernmeldeanlagen!$U$236,Fernmeldeanlagen!$J$236*Fernmeldeanlagen!$F$23+Fernmeldeanlagen!$J$236+Fernmeldeanlagen!$L$245,0)</f>
        <v>0</v>
      </c>
      <c r="Q143" s="786">
        <f t="shared" ref="Q143" si="7">SUM(C143:P143)</f>
        <v>0</v>
      </c>
    </row>
    <row r="144" spans="2:17" x14ac:dyDescent="0.3">
      <c r="Q144" s="704">
        <f>SUM(Q135:Q143)</f>
        <v>0</v>
      </c>
    </row>
    <row r="156" spans="2:4" x14ac:dyDescent="0.3">
      <c r="B156" s="705"/>
      <c r="C156" s="706"/>
      <c r="D156" s="707"/>
    </row>
  </sheetData>
  <mergeCells count="84">
    <mergeCell ref="B26:B44"/>
    <mergeCell ref="E26:E44"/>
    <mergeCell ref="H26:H44"/>
    <mergeCell ref="A2:A5"/>
    <mergeCell ref="C2:D2"/>
    <mergeCell ref="F2:G2"/>
    <mergeCell ref="I2:J2"/>
    <mergeCell ref="C3:D3"/>
    <mergeCell ref="F3:G3"/>
    <mergeCell ref="I3:J3"/>
    <mergeCell ref="C5:D5"/>
    <mergeCell ref="F5:G5"/>
    <mergeCell ref="I5:J5"/>
    <mergeCell ref="G50:H50"/>
    <mergeCell ref="J50:K50"/>
    <mergeCell ref="G52:G54"/>
    <mergeCell ref="G56:G60"/>
    <mergeCell ref="B62:E62"/>
    <mergeCell ref="G62:H62"/>
    <mergeCell ref="I62:J62"/>
    <mergeCell ref="K62:L62"/>
    <mergeCell ref="E76:E77"/>
    <mergeCell ref="B64:E64"/>
    <mergeCell ref="G64:H64"/>
    <mergeCell ref="J64:K64"/>
    <mergeCell ref="B65:E65"/>
    <mergeCell ref="G65:H65"/>
    <mergeCell ref="J65:K65"/>
    <mergeCell ref="G69:H69"/>
    <mergeCell ref="I69:J69"/>
    <mergeCell ref="K69:L69"/>
    <mergeCell ref="E70:E71"/>
    <mergeCell ref="D76:D80"/>
    <mergeCell ref="D70:D74"/>
    <mergeCell ref="I104:J104"/>
    <mergeCell ref="K104:L104"/>
    <mergeCell ref="B105:E105"/>
    <mergeCell ref="B85:E85"/>
    <mergeCell ref="B86:E86"/>
    <mergeCell ref="B87:E87"/>
    <mergeCell ref="B88:E88"/>
    <mergeCell ref="B93:E93"/>
    <mergeCell ref="B94:E94"/>
    <mergeCell ref="C110:D110"/>
    <mergeCell ref="E110:F110"/>
    <mergeCell ref="B95:E95"/>
    <mergeCell ref="B96:E96"/>
    <mergeCell ref="G104:H104"/>
    <mergeCell ref="C107:F107"/>
    <mergeCell ref="C108:D108"/>
    <mergeCell ref="E108:F108"/>
    <mergeCell ref="C109:D109"/>
    <mergeCell ref="E109:F109"/>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E132:F132"/>
    <mergeCell ref="C123:D123"/>
    <mergeCell ref="E123:F123"/>
    <mergeCell ref="C125:D125"/>
    <mergeCell ref="E125:F125"/>
    <mergeCell ref="C130:D130"/>
    <mergeCell ref="E130:F130"/>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E4A05-AF23-4BEF-8080-8C6D9904AD80}">
  <sheetPr codeName="Tabelle11">
    <tabColor rgb="FFFFC000"/>
  </sheetPr>
  <dimension ref="A1:Q156"/>
  <sheetViews>
    <sheetView workbookViewId="0"/>
  </sheetViews>
  <sheetFormatPr baseColWidth="10" defaultColWidth="11.44140625" defaultRowHeight="14.55" x14ac:dyDescent="0.3"/>
  <cols>
    <col min="1" max="1" width="12.777343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2" width="12" style="594" bestFit="1" customWidth="1"/>
    <col min="13" max="16" width="11.5546875" style="594" bestFit="1" customWidth="1"/>
    <col min="17" max="17" width="12"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8">
        <v>2547</v>
      </c>
      <c r="G6" s="609">
        <v>2990</v>
      </c>
      <c r="H6" s="605"/>
      <c r="I6" s="608">
        <v>2990</v>
      </c>
      <c r="J6" s="609">
        <v>3405</v>
      </c>
    </row>
    <row r="7" spans="1:13" x14ac:dyDescent="0.3">
      <c r="A7" s="610">
        <v>10000</v>
      </c>
      <c r="B7" s="605"/>
      <c r="C7" s="611">
        <v>3689</v>
      </c>
      <c r="D7" s="612">
        <v>4408</v>
      </c>
      <c r="E7" s="605"/>
      <c r="F7" s="611">
        <v>4408</v>
      </c>
      <c r="G7" s="613">
        <v>5174</v>
      </c>
      <c r="H7" s="605"/>
      <c r="I7" s="611">
        <v>5174</v>
      </c>
      <c r="J7" s="613">
        <v>5893</v>
      </c>
    </row>
    <row r="8" spans="1:13" x14ac:dyDescent="0.3">
      <c r="A8" s="610">
        <v>15000</v>
      </c>
      <c r="B8" s="605"/>
      <c r="C8" s="611">
        <v>5084</v>
      </c>
      <c r="D8" s="612">
        <v>6075</v>
      </c>
      <c r="E8" s="605"/>
      <c r="F8" s="611">
        <v>6075</v>
      </c>
      <c r="G8" s="613">
        <v>7131</v>
      </c>
      <c r="H8" s="605"/>
      <c r="I8" s="611">
        <v>7131</v>
      </c>
      <c r="J8" s="613">
        <v>8122</v>
      </c>
    </row>
    <row r="9" spans="1:13" x14ac:dyDescent="0.3">
      <c r="A9" s="610">
        <v>25000</v>
      </c>
      <c r="B9" s="605"/>
      <c r="C9" s="611">
        <v>7615</v>
      </c>
      <c r="D9" s="612">
        <v>9098</v>
      </c>
      <c r="E9" s="605"/>
      <c r="F9" s="611">
        <v>9098</v>
      </c>
      <c r="G9" s="613">
        <v>10681</v>
      </c>
      <c r="H9" s="605"/>
      <c r="I9" s="611">
        <v>10681</v>
      </c>
      <c r="J9" s="613">
        <v>12164</v>
      </c>
    </row>
    <row r="10" spans="1:13" x14ac:dyDescent="0.3">
      <c r="A10" s="610">
        <v>35000</v>
      </c>
      <c r="B10" s="605"/>
      <c r="C10" s="611">
        <v>9934</v>
      </c>
      <c r="D10" s="612">
        <v>11869</v>
      </c>
      <c r="E10" s="605"/>
      <c r="F10" s="611">
        <v>11869</v>
      </c>
      <c r="G10" s="613">
        <v>13934</v>
      </c>
      <c r="H10" s="605"/>
      <c r="I10" s="611">
        <v>13934</v>
      </c>
      <c r="J10" s="613">
        <v>15869</v>
      </c>
    </row>
    <row r="11" spans="1:13" x14ac:dyDescent="0.3">
      <c r="A11" s="610">
        <v>50000</v>
      </c>
      <c r="B11" s="605"/>
      <c r="C11" s="611">
        <v>13165</v>
      </c>
      <c r="D11" s="612">
        <v>15729</v>
      </c>
      <c r="E11" s="605"/>
      <c r="F11" s="611">
        <v>15729</v>
      </c>
      <c r="G11" s="613">
        <v>18465</v>
      </c>
      <c r="H11" s="605"/>
      <c r="I11" s="611">
        <v>18465</v>
      </c>
      <c r="J11" s="613">
        <v>21029</v>
      </c>
    </row>
    <row r="12" spans="1:13" x14ac:dyDescent="0.3">
      <c r="A12" s="610">
        <v>75000</v>
      </c>
      <c r="B12" s="605"/>
      <c r="C12" s="611">
        <v>18122</v>
      </c>
      <c r="D12" s="612">
        <v>21652</v>
      </c>
      <c r="E12" s="605"/>
      <c r="F12" s="611">
        <v>21652</v>
      </c>
      <c r="G12" s="613">
        <v>25418</v>
      </c>
      <c r="H12" s="605"/>
      <c r="I12" s="611">
        <v>25418</v>
      </c>
      <c r="J12" s="613">
        <v>28948</v>
      </c>
    </row>
    <row r="13" spans="1:13" x14ac:dyDescent="0.3">
      <c r="A13" s="610">
        <v>100000</v>
      </c>
      <c r="B13" s="605"/>
      <c r="C13" s="611">
        <v>22723</v>
      </c>
      <c r="D13" s="612">
        <v>27150</v>
      </c>
      <c r="E13" s="605"/>
      <c r="F13" s="611">
        <v>27150</v>
      </c>
      <c r="G13" s="613">
        <v>31872</v>
      </c>
      <c r="H13" s="605"/>
      <c r="I13" s="611">
        <v>31872</v>
      </c>
      <c r="J13" s="613">
        <v>36299</v>
      </c>
    </row>
    <row r="14" spans="1:13" x14ac:dyDescent="0.3">
      <c r="A14" s="610">
        <v>150000</v>
      </c>
      <c r="B14" s="605"/>
      <c r="C14" s="611">
        <v>31228</v>
      </c>
      <c r="D14" s="612">
        <v>37311</v>
      </c>
      <c r="E14" s="605"/>
      <c r="F14" s="611">
        <v>37311</v>
      </c>
      <c r="G14" s="613">
        <v>43800</v>
      </c>
      <c r="H14" s="605"/>
      <c r="I14" s="611">
        <v>43800</v>
      </c>
      <c r="J14" s="613">
        <v>49883</v>
      </c>
    </row>
    <row r="15" spans="1:13" x14ac:dyDescent="0.3">
      <c r="A15" s="610">
        <v>250000</v>
      </c>
      <c r="B15" s="605"/>
      <c r="C15" s="611">
        <v>46640</v>
      </c>
      <c r="D15" s="612">
        <v>55726</v>
      </c>
      <c r="E15" s="605"/>
      <c r="F15" s="611">
        <v>55726</v>
      </c>
      <c r="G15" s="613">
        <v>65418</v>
      </c>
      <c r="H15" s="605"/>
      <c r="I15" s="611">
        <v>65418</v>
      </c>
      <c r="J15" s="613">
        <v>74504</v>
      </c>
    </row>
    <row r="16" spans="1:13" x14ac:dyDescent="0.3">
      <c r="A16" s="610">
        <v>500000</v>
      </c>
      <c r="B16" s="605"/>
      <c r="C16" s="611">
        <v>80684</v>
      </c>
      <c r="D16" s="612">
        <v>96402</v>
      </c>
      <c r="E16" s="605"/>
      <c r="F16" s="611">
        <v>96402</v>
      </c>
      <c r="G16" s="613">
        <v>113168</v>
      </c>
      <c r="H16" s="605"/>
      <c r="I16" s="611">
        <v>113168</v>
      </c>
      <c r="J16" s="613">
        <v>128886</v>
      </c>
    </row>
    <row r="17" spans="1:10" x14ac:dyDescent="0.3">
      <c r="A17" s="610">
        <v>750000</v>
      </c>
      <c r="B17" s="605"/>
      <c r="C17" s="611">
        <v>111105</v>
      </c>
      <c r="D17" s="612">
        <v>132749</v>
      </c>
      <c r="E17" s="605"/>
      <c r="F17" s="611">
        <v>132749</v>
      </c>
      <c r="G17" s="613">
        <v>155836</v>
      </c>
      <c r="H17" s="605"/>
      <c r="I17" s="611">
        <v>155836</v>
      </c>
      <c r="J17" s="613">
        <v>177480</v>
      </c>
    </row>
    <row r="18" spans="1:10" x14ac:dyDescent="0.3">
      <c r="A18" s="610">
        <v>1000000</v>
      </c>
      <c r="B18" s="605"/>
      <c r="C18" s="611">
        <v>139347</v>
      </c>
      <c r="D18" s="612">
        <v>166493</v>
      </c>
      <c r="E18" s="605"/>
      <c r="F18" s="611">
        <v>166493</v>
      </c>
      <c r="G18" s="613">
        <v>195448</v>
      </c>
      <c r="H18" s="605"/>
      <c r="I18" s="611">
        <v>195448</v>
      </c>
      <c r="J18" s="613">
        <v>222594</v>
      </c>
    </row>
    <row r="19" spans="1:10" x14ac:dyDescent="0.3">
      <c r="A19" s="610">
        <v>1250000</v>
      </c>
      <c r="B19" s="605"/>
      <c r="C19" s="611">
        <v>166043</v>
      </c>
      <c r="D19" s="612">
        <v>198389</v>
      </c>
      <c r="E19" s="605"/>
      <c r="F19" s="611">
        <v>198389</v>
      </c>
      <c r="G19" s="613">
        <v>232891</v>
      </c>
      <c r="H19" s="605"/>
      <c r="I19" s="611">
        <v>232891</v>
      </c>
      <c r="J19" s="613">
        <v>265237</v>
      </c>
    </row>
    <row r="20" spans="1:10" x14ac:dyDescent="0.3">
      <c r="A20" s="610">
        <v>1500000</v>
      </c>
      <c r="B20" s="605"/>
      <c r="C20" s="611">
        <v>191545</v>
      </c>
      <c r="D20" s="612">
        <v>228859</v>
      </c>
      <c r="E20" s="605"/>
      <c r="F20" s="611">
        <v>228859</v>
      </c>
      <c r="G20" s="613">
        <v>268660</v>
      </c>
      <c r="H20" s="605"/>
      <c r="I20" s="611">
        <v>268660</v>
      </c>
      <c r="J20" s="613">
        <v>305974</v>
      </c>
    </row>
    <row r="21" spans="1:10" x14ac:dyDescent="0.3">
      <c r="A21" s="610">
        <v>2000000</v>
      </c>
      <c r="B21" s="605"/>
      <c r="C21" s="611">
        <v>239792</v>
      </c>
      <c r="D21" s="612">
        <v>286504</v>
      </c>
      <c r="E21" s="605"/>
      <c r="F21" s="611">
        <v>286504</v>
      </c>
      <c r="G21" s="613">
        <v>336331</v>
      </c>
      <c r="H21" s="605"/>
      <c r="I21" s="611">
        <v>336331</v>
      </c>
      <c r="J21" s="613">
        <v>383044</v>
      </c>
    </row>
    <row r="22" spans="1:10" x14ac:dyDescent="0.3">
      <c r="A22" s="610">
        <v>2500000</v>
      </c>
      <c r="B22" s="605"/>
      <c r="C22" s="611">
        <v>285649</v>
      </c>
      <c r="D22" s="612">
        <v>341295</v>
      </c>
      <c r="E22" s="605"/>
      <c r="F22" s="611">
        <v>341295</v>
      </c>
      <c r="G22" s="613">
        <v>400650</v>
      </c>
      <c r="H22" s="605"/>
      <c r="I22" s="611">
        <v>400650</v>
      </c>
      <c r="J22" s="613">
        <v>456296</v>
      </c>
    </row>
    <row r="23" spans="1:10" x14ac:dyDescent="0.3">
      <c r="A23" s="610">
        <v>3000000</v>
      </c>
      <c r="B23" s="605"/>
      <c r="C23" s="611">
        <v>329420</v>
      </c>
      <c r="D23" s="612">
        <v>393593</v>
      </c>
      <c r="E23" s="605"/>
      <c r="F23" s="611">
        <v>393593</v>
      </c>
      <c r="G23" s="613">
        <v>462044</v>
      </c>
      <c r="H23" s="605"/>
      <c r="I23" s="611">
        <v>462044</v>
      </c>
      <c r="J23" s="613">
        <v>526217</v>
      </c>
    </row>
    <row r="24" spans="1:10" x14ac:dyDescent="0.3">
      <c r="A24" s="610">
        <v>3500000</v>
      </c>
      <c r="B24" s="605"/>
      <c r="C24" s="611">
        <v>371491</v>
      </c>
      <c r="D24" s="612">
        <v>443859</v>
      </c>
      <c r="E24" s="605"/>
      <c r="F24" s="611">
        <v>443859</v>
      </c>
      <c r="G24" s="613">
        <v>521052</v>
      </c>
      <c r="H24" s="605"/>
      <c r="I24" s="611">
        <v>521052</v>
      </c>
      <c r="J24" s="613">
        <v>593420</v>
      </c>
    </row>
    <row r="25" spans="1:10" ht="15.2" thickBot="1" x14ac:dyDescent="0.35">
      <c r="A25" s="610">
        <v>4000000</v>
      </c>
      <c r="B25" s="614"/>
      <c r="C25" s="611">
        <v>412126</v>
      </c>
      <c r="D25" s="612">
        <v>492410</v>
      </c>
      <c r="E25" s="615"/>
      <c r="F25" s="611">
        <v>492410</v>
      </c>
      <c r="G25" s="612">
        <v>578046</v>
      </c>
      <c r="H25" s="605"/>
      <c r="I25" s="611">
        <v>578046</v>
      </c>
      <c r="J25" s="612">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Starkstrom!H8</f>
        <v>0</v>
      </c>
      <c r="H62" s="1648"/>
      <c r="I62" s="1647">
        <f>Starkstrom!L8</f>
        <v>0</v>
      </c>
      <c r="J62" s="1648"/>
      <c r="K62" s="1647">
        <f>Starkstrom!P8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Starkstrom!F15</f>
        <v>1</v>
      </c>
      <c r="H64" s="1463"/>
      <c r="J64" s="1643"/>
      <c r="K64" s="1643"/>
      <c r="L64" s="642"/>
      <c r="M64" s="645"/>
      <c r="N64" s="626"/>
      <c r="O64" s="626"/>
      <c r="P64" s="626"/>
      <c r="Q64" s="627"/>
    </row>
    <row r="65" spans="1:17" x14ac:dyDescent="0.3">
      <c r="A65" s="629"/>
      <c r="B65" s="1422" t="s">
        <v>317</v>
      </c>
      <c r="C65" s="1423"/>
      <c r="D65" s="1423"/>
      <c r="E65" s="1424"/>
      <c r="F65" s="644"/>
      <c r="G65" s="1462" t="str">
        <f>Starkstrom!F16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649"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651"/>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597">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597">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597">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652"/>
      <c r="E75" s="603"/>
      <c r="F75" s="603"/>
      <c r="G75" s="653"/>
      <c r="H75" s="651"/>
      <c r="I75" s="641"/>
      <c r="J75" s="641"/>
      <c r="K75" s="641"/>
      <c r="L75" s="654"/>
      <c r="M75" s="641"/>
      <c r="N75" s="627"/>
      <c r="O75" s="627"/>
      <c r="P75" s="627"/>
      <c r="Q75" s="627"/>
    </row>
    <row r="76" spans="1:17" x14ac:dyDescent="0.3">
      <c r="A76" s="629"/>
      <c r="B76" s="708"/>
      <c r="C76" s="709"/>
      <c r="D76" s="1397" t="s">
        <v>925</v>
      </c>
      <c r="E76" s="1649" t="s">
        <v>316</v>
      </c>
      <c r="F76" s="603"/>
      <c r="G76" s="647" t="s">
        <v>328</v>
      </c>
      <c r="H76" s="648">
        <f>IF(G62&lt;$A$6,0,IF(G62&gt;$A$44,0,INDEX($A$6:$A$44,MATCH(G62,$A$6:$A$44,1)+1,1)))</f>
        <v>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651"/>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597">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597">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597">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0</v>
      </c>
      <c r="H85" s="655">
        <f>VLOOKUP(G64,E72:H74,4)</f>
        <v>0</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0</v>
      </c>
      <c r="H86" s="655">
        <f>VLOOKUP(G64,E78:H80,4)</f>
        <v>0</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0</v>
      </c>
      <c r="H93" s="655">
        <f t="shared" si="3"/>
        <v>0</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0</v>
      </c>
      <c r="H94" s="655">
        <f>G88</f>
        <v>0</v>
      </c>
      <c r="I94" s="655">
        <f>I88</f>
        <v>0</v>
      </c>
      <c r="J94" s="655">
        <f>I88</f>
        <v>0</v>
      </c>
      <c r="K94" s="655">
        <f>K88</f>
        <v>0</v>
      </c>
      <c r="L94" s="655">
        <f>K88</f>
        <v>0</v>
      </c>
      <c r="M94" s="656"/>
    </row>
    <row r="95" spans="1:17" x14ac:dyDescent="0.3">
      <c r="A95" s="629"/>
      <c r="B95" s="1416" t="s">
        <v>336</v>
      </c>
      <c r="C95" s="1416"/>
      <c r="D95" s="1416"/>
      <c r="E95" s="1416"/>
      <c r="F95" s="660"/>
      <c r="G95" s="655">
        <f t="shared" ref="G95:L95" si="4">G87</f>
        <v>0</v>
      </c>
      <c r="H95" s="655">
        <f t="shared" si="4"/>
        <v>0</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0</v>
      </c>
      <c r="H96" s="655">
        <f>H76-H70</f>
        <v>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0</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IF(Starkstrom!$T39="ja",Starkstrom!J39,0)</f>
        <v>0</v>
      </c>
      <c r="D109" s="1639"/>
      <c r="E109" s="1669">
        <f>IF(Starkstrom!T39="ja",Starkstrom!L54,0)</f>
        <v>0</v>
      </c>
      <c r="F109" s="1639"/>
      <c r="G109" s="681">
        <f>C109*1.1+E109</f>
        <v>0</v>
      </c>
    </row>
    <row r="110" spans="1:13" x14ac:dyDescent="0.3">
      <c r="B110" s="682">
        <v>2</v>
      </c>
      <c r="C110" s="1408">
        <f>IF(Starkstrom!$T55="ja",Starkstrom!J55,0)</f>
        <v>0</v>
      </c>
      <c r="D110" s="1409"/>
      <c r="E110" s="1670">
        <f>IF(Starkstrom!T55="ja",Starkstrom!L78,0)</f>
        <v>0</v>
      </c>
      <c r="F110" s="1409"/>
      <c r="G110" s="681">
        <f t="shared" ref="G110:G122" si="5">C110*1.1+E110</f>
        <v>0</v>
      </c>
    </row>
    <row r="111" spans="1:13" x14ac:dyDescent="0.3">
      <c r="B111" s="682">
        <v>3</v>
      </c>
      <c r="C111" s="1408">
        <f>IF(Starkstrom!$T82="ja",Starkstrom!J82,0)</f>
        <v>0</v>
      </c>
      <c r="D111" s="1409"/>
      <c r="E111" s="1670">
        <f>IF(Starkstrom!T82="ja",Starkstrom!L115,0)</f>
        <v>0</v>
      </c>
      <c r="F111" s="1409"/>
      <c r="G111" s="681">
        <f t="shared" si="5"/>
        <v>0</v>
      </c>
    </row>
    <row r="112" spans="1:13" x14ac:dyDescent="0.3">
      <c r="B112" s="682">
        <v>4</v>
      </c>
      <c r="C112" s="1408">
        <f>IF(Starkstrom!$T119="ja",Starkstrom!J119,0)</f>
        <v>0</v>
      </c>
      <c r="D112" s="1409"/>
      <c r="E112" s="1670">
        <f>IF(Starkstrom!T119="ja",Starkstrom!L127,0)</f>
        <v>0</v>
      </c>
      <c r="F112" s="1409"/>
      <c r="G112" s="681">
        <f t="shared" si="5"/>
        <v>0</v>
      </c>
    </row>
    <row r="113" spans="2:7" x14ac:dyDescent="0.3">
      <c r="B113" s="682" t="s">
        <v>351</v>
      </c>
      <c r="C113" s="1408">
        <f>IF(Starkstrom!$T128="ja",Starkstrom!J128,0)</f>
        <v>0</v>
      </c>
      <c r="D113" s="1409"/>
      <c r="E113" s="1670">
        <f>IF(Starkstrom!T128="ja",Starkstrom!R128+Starkstrom!R131,0)</f>
        <v>0</v>
      </c>
      <c r="F113" s="1409"/>
      <c r="G113" s="681">
        <f t="shared" si="5"/>
        <v>0</v>
      </c>
    </row>
    <row r="114" spans="2:7" x14ac:dyDescent="0.3">
      <c r="B114" s="682" t="s">
        <v>352</v>
      </c>
      <c r="C114" s="1408">
        <f>IF(Starkstrom!$T133="ja",Starkstrom!J133,0)</f>
        <v>0</v>
      </c>
      <c r="D114" s="1409"/>
      <c r="E114" s="1670">
        <f>IF(Starkstrom!T133="ja",Starkstrom!R133+Starkstrom!R136+Starkstrom!R139+Starkstrom!R142,0)</f>
        <v>0</v>
      </c>
      <c r="F114" s="1409"/>
      <c r="G114" s="681">
        <f t="shared" si="5"/>
        <v>0</v>
      </c>
    </row>
    <row r="115" spans="2:7" x14ac:dyDescent="0.3">
      <c r="B115" s="682" t="s">
        <v>353</v>
      </c>
      <c r="C115" s="1408">
        <f>IF(Starkstrom!$T143="ja",Starkstrom!J143,0)</f>
        <v>0</v>
      </c>
      <c r="D115" s="1409"/>
      <c r="E115" s="1670">
        <f>IF(Starkstrom!T143="ja",Starkstrom!R143,0)</f>
        <v>0</v>
      </c>
      <c r="F115" s="1409"/>
      <c r="G115" s="681">
        <f t="shared" si="5"/>
        <v>0</v>
      </c>
    </row>
    <row r="116" spans="2:7" x14ac:dyDescent="0.3">
      <c r="B116" s="682" t="s">
        <v>354</v>
      </c>
      <c r="C116" s="1408">
        <f>IF(Starkstrom!$T144="ja",Starkstrom!J144,0)</f>
        <v>0</v>
      </c>
      <c r="D116" s="1409"/>
      <c r="E116" s="1670">
        <f>IF(Starkstrom!T144="ja",Starkstrom!R144,0)</f>
        <v>0</v>
      </c>
      <c r="F116" s="1409"/>
      <c r="G116" s="681">
        <f t="shared" si="5"/>
        <v>0</v>
      </c>
    </row>
    <row r="117" spans="2:7" x14ac:dyDescent="0.3">
      <c r="B117" s="682" t="s">
        <v>355</v>
      </c>
      <c r="C117" s="1408">
        <f>IF(Starkstrom!$T145="ja",Starkstrom!J145,0)</f>
        <v>0</v>
      </c>
      <c r="D117" s="1409"/>
      <c r="E117" s="1670">
        <f>IF(Starkstrom!T145="ja",Starkstrom!R145+Starkstrom!R148,0)</f>
        <v>0</v>
      </c>
      <c r="F117" s="1409"/>
      <c r="G117" s="681">
        <f t="shared" si="5"/>
        <v>0</v>
      </c>
    </row>
    <row r="118" spans="2:7" x14ac:dyDescent="0.3">
      <c r="B118" s="682" t="s">
        <v>356</v>
      </c>
      <c r="C118" s="1408">
        <f>IF(Starkstrom!$T150="ja",Starkstrom!J150,0)</f>
        <v>0</v>
      </c>
      <c r="D118" s="1409"/>
      <c r="E118" s="1670">
        <f>IF(Starkstrom!T150="ja",Starkstrom!R150,0)</f>
        <v>0</v>
      </c>
      <c r="F118" s="1409"/>
      <c r="G118" s="681">
        <f t="shared" si="5"/>
        <v>0</v>
      </c>
    </row>
    <row r="119" spans="2:7" x14ac:dyDescent="0.3">
      <c r="B119" s="683">
        <v>6</v>
      </c>
      <c r="C119" s="1408">
        <f>IF(Starkstrom!$T154="ja",Starkstrom!J154,0)</f>
        <v>0</v>
      </c>
      <c r="D119" s="1409"/>
      <c r="E119" s="1670">
        <f>IF(Starkstrom!T154="ja",Starkstrom!L178,0)</f>
        <v>0</v>
      </c>
      <c r="F119" s="1409"/>
      <c r="G119" s="681">
        <f t="shared" si="5"/>
        <v>0</v>
      </c>
    </row>
    <row r="120" spans="2:7" x14ac:dyDescent="0.3">
      <c r="B120" s="683">
        <v>7</v>
      </c>
      <c r="C120" s="1408">
        <f>IF(Starkstrom!$T179="ja",Starkstrom!J179,0)</f>
        <v>0</v>
      </c>
      <c r="D120" s="1409"/>
      <c r="E120" s="1670">
        <f>IF(Starkstrom!T179="ja",Starkstrom!L193,0)</f>
        <v>0</v>
      </c>
      <c r="F120" s="1409"/>
      <c r="G120" s="681">
        <f t="shared" si="5"/>
        <v>0</v>
      </c>
    </row>
    <row r="121" spans="2:7" x14ac:dyDescent="0.3">
      <c r="B121" s="683">
        <v>8</v>
      </c>
      <c r="C121" s="1408">
        <f>IF(Starkstrom!$T194="ja",Starkstrom!J194,0)</f>
        <v>0</v>
      </c>
      <c r="D121" s="1409"/>
      <c r="E121" s="1670">
        <f>IF(Starkstrom!T194="ja",Starkstrom!L235,0)</f>
        <v>0</v>
      </c>
      <c r="F121" s="1409"/>
      <c r="G121" s="681">
        <f t="shared" si="5"/>
        <v>0</v>
      </c>
    </row>
    <row r="122" spans="2:7" ht="15.2" thickBot="1" x14ac:dyDescent="0.35">
      <c r="B122" s="684">
        <v>9</v>
      </c>
      <c r="C122" s="1674">
        <f>IF(Starkstrom!$T236="ja",Starkstrom!J236,0)</f>
        <v>0</v>
      </c>
      <c r="D122" s="1675"/>
      <c r="E122" s="1676">
        <f>IF(Starkstrom!T236="ja",Starkstrom!L245,0)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C123*Starkstrom!F23+C123</f>
        <v>0</v>
      </c>
      <c r="D125" s="1658"/>
      <c r="E125" s="1657">
        <f>Starkstrom!R245</f>
        <v>0</v>
      </c>
      <c r="F125" s="1658"/>
    </row>
    <row r="128" spans="2:7" x14ac:dyDescent="0.3">
      <c r="B128" s="594" t="s">
        <v>463</v>
      </c>
      <c r="D128" s="687">
        <f>Überblick!G98</f>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742" t="s">
        <v>105</v>
      </c>
      <c r="C134" s="765" t="s">
        <v>285</v>
      </c>
      <c r="D134" s="766" t="s">
        <v>286</v>
      </c>
      <c r="E134" s="766" t="s">
        <v>287</v>
      </c>
      <c r="F134" s="766" t="s">
        <v>288</v>
      </c>
      <c r="G134" s="766" t="s">
        <v>289</v>
      </c>
      <c r="H134" s="766" t="s">
        <v>290</v>
      </c>
      <c r="I134" s="766" t="s">
        <v>291</v>
      </c>
      <c r="J134" s="766" t="s">
        <v>292</v>
      </c>
      <c r="K134" s="766" t="s">
        <v>293</v>
      </c>
      <c r="L134" s="766" t="s">
        <v>294</v>
      </c>
      <c r="M134" s="766" t="s">
        <v>295</v>
      </c>
      <c r="N134" s="766" t="s">
        <v>296</v>
      </c>
      <c r="O134" s="766" t="s">
        <v>297</v>
      </c>
      <c r="P134" s="766" t="s">
        <v>359</v>
      </c>
      <c r="Q134" s="767" t="s">
        <v>360</v>
      </c>
    </row>
    <row r="135" spans="2:17" x14ac:dyDescent="0.3">
      <c r="B135" s="777">
        <f>IF(Überblick!$H$53&gt;=1,1,"")</f>
        <v>1</v>
      </c>
      <c r="C135" s="694">
        <f>IF($B135=Starkstrom!$U$39,Starkstrom!$J$39*Starkstrom!$F$23+Starkstrom!$J$39+Starkstrom!$L$54,0)</f>
        <v>0</v>
      </c>
      <c r="D135" s="694">
        <f>IF($B135=Starkstrom!$U$55,Starkstrom!$J$55*Starkstrom!$F$23+Starkstrom!$J$55+Starkstrom!$L$78,0)</f>
        <v>0</v>
      </c>
      <c r="E135" s="694">
        <f>IF($B135=Starkstrom!$U$82,Starkstrom!$J$82*Starkstrom!$F$23+Starkstrom!$J$82+Starkstrom!$L$115,0)</f>
        <v>0</v>
      </c>
      <c r="F135" s="694">
        <f>IF($B135=Starkstrom!$U$119,Starkstrom!$J$119*Starkstrom!$F$23+Starkstrom!$J$119+Starkstrom!$L$127,0)</f>
        <v>0</v>
      </c>
      <c r="G135" s="694">
        <f>IF($B135=Starkstrom!$U$128,Starkstrom!$J$128*Starkstrom!$F$23+Starkstrom!$J$128+Starkstrom!$R$128+Starkstrom!$R$131,0)</f>
        <v>0</v>
      </c>
      <c r="H135" s="694">
        <f>IF($B135=Starkstrom!$U$133,Starkstrom!$J$133*Starkstrom!$F$23+Starkstrom!$J$133+Starkstrom!$R$133+Starkstrom!$R$136+Starkstrom!$R$139+Starkstrom!$R$142,0)</f>
        <v>0</v>
      </c>
      <c r="I135" s="694">
        <f>IF($B135=Starkstrom!$U$143,Starkstrom!$J$143*Starkstrom!$F$23+Starkstrom!$J$143+Starkstrom!$R$143,0)</f>
        <v>0</v>
      </c>
      <c r="J135" s="694">
        <f>IF($B135=Starkstrom!$U$144,Starkstrom!$J$144*Starkstrom!$F$23+Starkstrom!$J$144+Starkstrom!$R$144,0)</f>
        <v>0</v>
      </c>
      <c r="K135" s="694">
        <f>IF($B135=Starkstrom!$U$145,Starkstrom!$J$145*Starkstrom!$F$23+Starkstrom!$J$145+Starkstrom!$R$145+Starkstrom!$R$148,0)</f>
        <v>0</v>
      </c>
      <c r="L135" s="694">
        <f>IF($B135=Starkstrom!$U$150,Starkstrom!$J$150*Starkstrom!$F$23+Starkstrom!$J$150+Starkstrom!$R$150,0)</f>
        <v>0</v>
      </c>
      <c r="M135" s="694">
        <f>IF($B135=Starkstrom!$U$154,Starkstrom!$J$154*Starkstrom!$F$23+Starkstrom!$J$154+Starkstrom!$L$178,0)</f>
        <v>0</v>
      </c>
      <c r="N135" s="694">
        <f>IF($B135=Starkstrom!$U$179,Starkstrom!$J$179*Starkstrom!$F$23+Starkstrom!$J$179+Starkstrom!$L$193,0)</f>
        <v>0</v>
      </c>
      <c r="O135" s="694">
        <f>IF($B135=Starkstrom!$U$194,Starkstrom!$J$194*Starkstrom!$F$23+Starkstrom!$J$194+Starkstrom!$L$235,0)</f>
        <v>0</v>
      </c>
      <c r="P135" s="694">
        <f>IF($B135=Starkstrom!$U$236,Starkstrom!$J$236*Starkstrom!$F$23+Starkstrom!$J$236+Starkstrom!$L$245,0)</f>
        <v>0</v>
      </c>
      <c r="Q135" s="695">
        <f>SUM(C135:P135)</f>
        <v>0</v>
      </c>
    </row>
    <row r="136" spans="2:17" x14ac:dyDescent="0.3">
      <c r="B136" s="775">
        <f>IF(Überblick!$H$53&gt;=2,2,"")</f>
        <v>2</v>
      </c>
      <c r="C136" s="698">
        <f>IF($B136=Starkstrom!$U$39,Starkstrom!$J$39*Starkstrom!$F$23+Starkstrom!$J$39+Starkstrom!$L$54,0)</f>
        <v>0</v>
      </c>
      <c r="D136" s="698">
        <f>IF($B136=Starkstrom!$U$55,Starkstrom!$J$55*Starkstrom!$F$23+Starkstrom!$J$55+Starkstrom!$L$78,0)</f>
        <v>0</v>
      </c>
      <c r="E136" s="698">
        <f>IF($B136=Starkstrom!$U$82,Starkstrom!$J$82*Starkstrom!$F$23+Starkstrom!$J$82+Starkstrom!$L$115,0)</f>
        <v>0</v>
      </c>
      <c r="F136" s="698">
        <f>IF($B136=Starkstrom!$U$119,Starkstrom!$J$119*Starkstrom!$F$23+Starkstrom!$J$119+Starkstrom!$L$127,0)</f>
        <v>0</v>
      </c>
      <c r="G136" s="698">
        <f>IF($B136=Starkstrom!$U$128,Starkstrom!$J$128*Starkstrom!$F$23+Starkstrom!$J$128+Starkstrom!$R$128+Starkstrom!$R$131,0)</f>
        <v>0</v>
      </c>
      <c r="H136" s="698">
        <f>IF($B136=Starkstrom!$U$133,Starkstrom!$J$133*Starkstrom!$F$23+Starkstrom!$J$133+Starkstrom!$R$133+Starkstrom!$R$136+Starkstrom!$R$139+Starkstrom!$R$142,0)</f>
        <v>0</v>
      </c>
      <c r="I136" s="698">
        <f>IF($B136=Starkstrom!$U$143,Starkstrom!$J$143*Starkstrom!$F$23+Starkstrom!$J$143+Starkstrom!$R$143,0)</f>
        <v>0</v>
      </c>
      <c r="J136" s="698">
        <f>IF($B136=Starkstrom!$U$144,Starkstrom!$J$144*Starkstrom!$F$23+Starkstrom!$J$144+Starkstrom!$R$144,0)</f>
        <v>0</v>
      </c>
      <c r="K136" s="698">
        <f>IF($B136=Starkstrom!$U$145,Starkstrom!$J$145*Starkstrom!$F$23+Starkstrom!$J$145+Starkstrom!$R$145+Starkstrom!$R$148,0)</f>
        <v>0</v>
      </c>
      <c r="L136" s="698">
        <f>IF($B136=Starkstrom!$U$150,Starkstrom!$J$150*Starkstrom!$F$23+Starkstrom!$J$150+Starkstrom!$R$150,0)</f>
        <v>0</v>
      </c>
      <c r="M136" s="698">
        <f>IF($B136=Starkstrom!$U$154,Starkstrom!$J$154*Starkstrom!$F$23+Starkstrom!$J$154+Starkstrom!$L$178,0)</f>
        <v>0</v>
      </c>
      <c r="N136" s="698">
        <f>IF($B136=Starkstrom!$U$179,Starkstrom!$J$179*Starkstrom!$F$23+Starkstrom!$J$179+Starkstrom!$L$193,0)</f>
        <v>0</v>
      </c>
      <c r="O136" s="698">
        <f>IF($B136=Starkstrom!$U$194,Starkstrom!$J$194*Starkstrom!$F$23+Starkstrom!$J$194+Starkstrom!$L$235,0)</f>
        <v>0</v>
      </c>
      <c r="P136" s="698">
        <f>IF($B136=Starkstrom!$U$236,Starkstrom!$J$236*Starkstrom!$F$23+Starkstrom!$J$236+Starkstrom!$L$245,0)</f>
        <v>0</v>
      </c>
      <c r="Q136" s="699">
        <f t="shared" ref="Q136:Q143" si="6">SUM(C136:P136)</f>
        <v>0</v>
      </c>
    </row>
    <row r="137" spans="2:17" x14ac:dyDescent="0.3">
      <c r="B137" s="775">
        <f>IF(Überblick!$H$53&gt;=3,3,"")</f>
        <v>3</v>
      </c>
      <c r="C137" s="698">
        <f>IF($B137=Starkstrom!$U$39,Starkstrom!$J$39*Starkstrom!$F$23+Starkstrom!$J$39+Starkstrom!$L$54,0)</f>
        <v>0</v>
      </c>
      <c r="D137" s="698">
        <f>IF($B137=Starkstrom!$U$55,Starkstrom!$J$55*Starkstrom!$F$23+Starkstrom!$J$55+Starkstrom!$L$78,0)</f>
        <v>0</v>
      </c>
      <c r="E137" s="698">
        <f>IF($B137=Starkstrom!$U$82,Starkstrom!$J$82*Starkstrom!$F$23+Starkstrom!$J$82+Starkstrom!$L$115,0)</f>
        <v>0</v>
      </c>
      <c r="F137" s="698">
        <f>IF($B137=Starkstrom!$U$119,Starkstrom!$J$119*Starkstrom!$F$23+Starkstrom!$J$119+Starkstrom!$L$127,0)</f>
        <v>0</v>
      </c>
      <c r="G137" s="698">
        <f>IF($B137=Starkstrom!$U$128,Starkstrom!$J$128*Starkstrom!$F$23+Starkstrom!$J$128+Starkstrom!$R$128+Starkstrom!$R$131,0)</f>
        <v>0</v>
      </c>
      <c r="H137" s="698">
        <f>IF($B137=Starkstrom!$U$133,Starkstrom!$J$133*Starkstrom!$F$23+Starkstrom!$J$133+Starkstrom!$R$133+Starkstrom!$R$136+Starkstrom!$R$139+Starkstrom!$R$142,0)</f>
        <v>0</v>
      </c>
      <c r="I137" s="698">
        <f>IF($B137=Starkstrom!$U$143,Starkstrom!$J$143*Starkstrom!$F$23+Starkstrom!$J$143+Starkstrom!$R$143,0)</f>
        <v>0</v>
      </c>
      <c r="J137" s="698">
        <f>IF($B137=Starkstrom!$U$144,Starkstrom!$J$144*Starkstrom!$F$23+Starkstrom!$J$144+Starkstrom!$R$144,0)</f>
        <v>0</v>
      </c>
      <c r="K137" s="698">
        <f>IF($B137=Starkstrom!$U$145,Starkstrom!$J$145*Starkstrom!$F$23+Starkstrom!$J$145+Starkstrom!$R$145+Starkstrom!$R$148,0)</f>
        <v>0</v>
      </c>
      <c r="L137" s="698">
        <f>IF($B137=Starkstrom!$U$150,Starkstrom!$J$150*Starkstrom!$F$23+Starkstrom!$J$150+Starkstrom!$R$150,0)</f>
        <v>0</v>
      </c>
      <c r="M137" s="698">
        <f>IF($B137=Starkstrom!$U$154,Starkstrom!$J$154*Starkstrom!$F$23+Starkstrom!$J$154+Starkstrom!$L$178,0)</f>
        <v>0</v>
      </c>
      <c r="N137" s="698">
        <f>IF($B137=Starkstrom!$U$179,Starkstrom!$J$179*Starkstrom!$F$23+Starkstrom!$J$179+Starkstrom!$L$193,0)</f>
        <v>0</v>
      </c>
      <c r="O137" s="698">
        <f>IF($B137=Starkstrom!$U$194,Starkstrom!$J$194*Starkstrom!$F$23+Starkstrom!$J$194+Starkstrom!$L$235,0)</f>
        <v>0</v>
      </c>
      <c r="P137" s="698">
        <f>IF($B137=Starkstrom!$U$236,Starkstrom!$J$236*Starkstrom!$F$23+Starkstrom!$J$236+Starkstrom!$L$245,0)</f>
        <v>0</v>
      </c>
      <c r="Q137" s="699">
        <f t="shared" si="6"/>
        <v>0</v>
      </c>
    </row>
    <row r="138" spans="2:17" x14ac:dyDescent="0.3">
      <c r="B138" s="775">
        <f>IF(Überblick!$H$53&gt;=4,4,"")</f>
        <v>4</v>
      </c>
      <c r="C138" s="698">
        <f>IF($B138=Starkstrom!$U$39,Starkstrom!$J$39*Starkstrom!$F$23+Starkstrom!$J$39+Starkstrom!$L$54,0)</f>
        <v>0</v>
      </c>
      <c r="D138" s="698">
        <f>IF($B138=Starkstrom!$U$55,Starkstrom!$J$55*Starkstrom!$F$23+Starkstrom!$J$55+Starkstrom!$L$78,0)</f>
        <v>0</v>
      </c>
      <c r="E138" s="698">
        <f>IF($B138=Starkstrom!$U$82,Starkstrom!$J$82*Starkstrom!$F$23+Starkstrom!$J$82+Starkstrom!$L$115,0)</f>
        <v>0</v>
      </c>
      <c r="F138" s="698">
        <f>IF($B138=Starkstrom!$U$119,Starkstrom!$J$119*Starkstrom!$F$23+Starkstrom!$J$119+Starkstrom!$L$127,0)</f>
        <v>0</v>
      </c>
      <c r="G138" s="698">
        <f>IF($B138=Starkstrom!$U$128,Starkstrom!$J$128*Starkstrom!$F$23+Starkstrom!$J$128+Starkstrom!$R$128+Starkstrom!$R$131,0)</f>
        <v>0</v>
      </c>
      <c r="H138" s="698">
        <f>IF($B138=Starkstrom!$U$133,Starkstrom!$J$133*Starkstrom!$F$23+Starkstrom!$J$133+Starkstrom!$R$133+Starkstrom!$R$136+Starkstrom!$R$139+Starkstrom!$R$142,0)</f>
        <v>0</v>
      </c>
      <c r="I138" s="698">
        <f>IF($B138=Starkstrom!$U$143,Starkstrom!$J$143*Starkstrom!$F$23+Starkstrom!$J$143+Starkstrom!$R$143,0)</f>
        <v>0</v>
      </c>
      <c r="J138" s="698">
        <f>IF($B138=Starkstrom!$U$144,Starkstrom!$J$144*Starkstrom!$F$23+Starkstrom!$J$144+Starkstrom!$R$144,0)</f>
        <v>0</v>
      </c>
      <c r="K138" s="698">
        <f>IF($B138=Starkstrom!$U$145,Starkstrom!$J$145*Starkstrom!$F$23+Starkstrom!$J$145+Starkstrom!$R$145+Starkstrom!$R$148,0)</f>
        <v>0</v>
      </c>
      <c r="L138" s="698">
        <f>IF($B138=Starkstrom!$U$150,Starkstrom!$J$150*Starkstrom!$F$23+Starkstrom!$J$150+Starkstrom!$R$150,0)</f>
        <v>0</v>
      </c>
      <c r="M138" s="698">
        <f>IF($B138=Starkstrom!$U$154,Starkstrom!$J$154*Starkstrom!$F$23+Starkstrom!$J$154+Starkstrom!$L$178,0)</f>
        <v>0</v>
      </c>
      <c r="N138" s="698">
        <f>IF($B138=Starkstrom!$U$179,Starkstrom!$J$179*Starkstrom!$F$23+Starkstrom!$J$179+Starkstrom!$L$193,0)</f>
        <v>0</v>
      </c>
      <c r="O138" s="698">
        <f>IF($B138=Starkstrom!$U$194,Starkstrom!$J$194*Starkstrom!$F$23+Starkstrom!$J$194+Starkstrom!$L$235,0)</f>
        <v>0</v>
      </c>
      <c r="P138" s="698">
        <f>IF($B138=Starkstrom!$U$236,Starkstrom!$J$236*Starkstrom!$F$23+Starkstrom!$J$236+Starkstrom!$L$245,0)</f>
        <v>0</v>
      </c>
      <c r="Q138" s="699">
        <f t="shared" si="6"/>
        <v>0</v>
      </c>
    </row>
    <row r="139" spans="2:17" x14ac:dyDescent="0.3">
      <c r="B139" s="775">
        <f>IF(Überblick!$H$53&gt;=5,5,"")</f>
        <v>5</v>
      </c>
      <c r="C139" s="698">
        <f>IF($B139=Starkstrom!$U$39,Starkstrom!$J$39*Starkstrom!$F$23+Starkstrom!$J$39+Starkstrom!$L$54,0)</f>
        <v>0</v>
      </c>
      <c r="D139" s="698">
        <f>IF($B139=Starkstrom!$U$55,Starkstrom!$J$55*Starkstrom!$F$23+Starkstrom!$J$55+Starkstrom!$L$78,0)</f>
        <v>0</v>
      </c>
      <c r="E139" s="698">
        <f>IF($B139=Starkstrom!$U$82,Starkstrom!$J$82*Starkstrom!$F$23+Starkstrom!$J$82+Starkstrom!$L$115,0)</f>
        <v>0</v>
      </c>
      <c r="F139" s="698">
        <f>IF($B139=Starkstrom!$U$119,Starkstrom!$J$119*Starkstrom!$F$23+Starkstrom!$J$119+Starkstrom!$L$127,0)</f>
        <v>0</v>
      </c>
      <c r="G139" s="698">
        <f>IF($B139=Starkstrom!$U$128,Starkstrom!$J$128*Starkstrom!$F$23+Starkstrom!$J$128+Starkstrom!$R$128+Starkstrom!$R$131,0)</f>
        <v>0</v>
      </c>
      <c r="H139" s="698">
        <f>IF($B139=Starkstrom!$U$133,Starkstrom!$J$133*Starkstrom!$F$23+Starkstrom!$J$133+Starkstrom!$R$133+Starkstrom!$R$136+Starkstrom!$R$139+Starkstrom!$R$142,0)</f>
        <v>0</v>
      </c>
      <c r="I139" s="698">
        <f>IF($B139=Starkstrom!$U$143,Starkstrom!$J$143*Starkstrom!$F$23+Starkstrom!$J$143+Starkstrom!$R$143,0)</f>
        <v>0</v>
      </c>
      <c r="J139" s="698">
        <f>IF($B139=Starkstrom!$U$144,Starkstrom!$J$144*Starkstrom!$F$23+Starkstrom!$J$144+Starkstrom!$R$144,0)</f>
        <v>0</v>
      </c>
      <c r="K139" s="698">
        <f>IF($B139=Starkstrom!$U$145,Starkstrom!$J$145*Starkstrom!$F$23+Starkstrom!$J$145+Starkstrom!$R$145+Starkstrom!$R$148,0)</f>
        <v>0</v>
      </c>
      <c r="L139" s="698">
        <f>IF($B139=Starkstrom!$U$150,Starkstrom!$J$150*Starkstrom!$F$23+Starkstrom!$J$150+Starkstrom!$R$150,0)</f>
        <v>0</v>
      </c>
      <c r="M139" s="698">
        <f>IF($B139=Starkstrom!$U$154,Starkstrom!$J$154*Starkstrom!$F$23+Starkstrom!$J$154+Starkstrom!$L$178,0)</f>
        <v>0</v>
      </c>
      <c r="N139" s="698">
        <f>IF($B139=Starkstrom!$U$179,Starkstrom!$J$179*Starkstrom!$F$23+Starkstrom!$J$179+Starkstrom!$L$193,0)</f>
        <v>0</v>
      </c>
      <c r="O139" s="698">
        <f>IF($B139=Starkstrom!$U$194,Starkstrom!$J$194*Starkstrom!$F$23+Starkstrom!$J$194+Starkstrom!$L$235,0)</f>
        <v>0</v>
      </c>
      <c r="P139" s="698">
        <f>IF($B139=Starkstrom!$U$236,Starkstrom!$J$236*Starkstrom!$F$23+Starkstrom!$J$236+Starkstrom!$L$245,0)</f>
        <v>0</v>
      </c>
      <c r="Q139" s="699">
        <f t="shared" si="6"/>
        <v>0</v>
      </c>
    </row>
    <row r="140" spans="2:17" x14ac:dyDescent="0.3">
      <c r="B140" s="775">
        <f>IF(Überblick!$H$53&gt;=6,6,"")</f>
        <v>6</v>
      </c>
      <c r="C140" s="698">
        <f>IF($B140=Starkstrom!$U$39,Starkstrom!$J$39*Starkstrom!$F$23+Starkstrom!$J$39+Starkstrom!$L$54,0)</f>
        <v>0</v>
      </c>
      <c r="D140" s="698">
        <f>IF($B140=Starkstrom!$U$55,Starkstrom!$J$55*Starkstrom!$F$23+Starkstrom!$J$55+Starkstrom!$L$78,0)</f>
        <v>0</v>
      </c>
      <c r="E140" s="698">
        <f>IF($B140=Starkstrom!$U$82,Starkstrom!$J$82*Starkstrom!$F$23+Starkstrom!$J$82+Starkstrom!$L$115,0)</f>
        <v>0</v>
      </c>
      <c r="F140" s="698">
        <f>IF($B140=Starkstrom!$U$119,Starkstrom!$J$119*Starkstrom!$F$23+Starkstrom!$J$119+Starkstrom!$L$127,0)</f>
        <v>0</v>
      </c>
      <c r="G140" s="698">
        <f>IF($B140=Starkstrom!$U$128,Starkstrom!$J$128*Starkstrom!$F$23+Starkstrom!$J$128+Starkstrom!$R$128+Starkstrom!$R$131,0)</f>
        <v>0</v>
      </c>
      <c r="H140" s="698">
        <f>IF($B140=Starkstrom!$U$133,Starkstrom!$J$133*Starkstrom!$F$23+Starkstrom!$J$133+Starkstrom!$R$133+Starkstrom!$R$136+Starkstrom!$R$139+Starkstrom!$R$142,0)</f>
        <v>0</v>
      </c>
      <c r="I140" s="698">
        <f>IF($B140=Starkstrom!$U$143,Starkstrom!$J$143*Starkstrom!$F$23+Starkstrom!$J$143+Starkstrom!$R$143,0)</f>
        <v>0</v>
      </c>
      <c r="J140" s="698">
        <f>IF($B140=Starkstrom!$U$144,Starkstrom!$J$144*Starkstrom!$F$23+Starkstrom!$J$144+Starkstrom!$R$144,0)</f>
        <v>0</v>
      </c>
      <c r="K140" s="698">
        <f>IF($B140=Starkstrom!$U$145,Starkstrom!$J$145*Starkstrom!$F$23+Starkstrom!$J$145+Starkstrom!$R$145+Starkstrom!$R$148,0)</f>
        <v>0</v>
      </c>
      <c r="L140" s="698">
        <f>IF($B140=Starkstrom!$U$150,Starkstrom!$J$150*Starkstrom!$F$23+Starkstrom!$J$150+Starkstrom!$R$150,0)</f>
        <v>0</v>
      </c>
      <c r="M140" s="698">
        <f>IF($B140=Starkstrom!$U$154,Starkstrom!$J$154*Starkstrom!$F$23+Starkstrom!$J$154+Starkstrom!$L$178,0)</f>
        <v>0</v>
      </c>
      <c r="N140" s="698">
        <f>IF($B140=Starkstrom!$U$179,Starkstrom!$J$179*Starkstrom!$F$23+Starkstrom!$J$179+Starkstrom!$L$193,0)</f>
        <v>0</v>
      </c>
      <c r="O140" s="698">
        <f>IF($B140=Starkstrom!$U$194,Starkstrom!$J$194*Starkstrom!$F$23+Starkstrom!$J$194+Starkstrom!$L$235,0)</f>
        <v>0</v>
      </c>
      <c r="P140" s="698">
        <f>IF($B140=Starkstrom!$U$236,Starkstrom!$J$236*Starkstrom!$F$23+Starkstrom!$J$236+Starkstrom!$L$245,0)</f>
        <v>0</v>
      </c>
      <c r="Q140" s="699">
        <f t="shared" si="6"/>
        <v>0</v>
      </c>
    </row>
    <row r="141" spans="2:17" x14ac:dyDescent="0.3">
      <c r="B141" s="775" t="str">
        <f>IF(Überblick!$H$53&gt;=7,7,"")</f>
        <v/>
      </c>
      <c r="C141" s="698">
        <f>IF($B141=Starkstrom!$U$39,Starkstrom!$J$39*Starkstrom!$F$23+Starkstrom!$J$39+Starkstrom!$L$54,0)</f>
        <v>0</v>
      </c>
      <c r="D141" s="698">
        <f>IF($B141=Starkstrom!$U$55,Starkstrom!$J$55*Starkstrom!$F$23+Starkstrom!$J$55+Starkstrom!$L$78,0)</f>
        <v>0</v>
      </c>
      <c r="E141" s="698">
        <f>IF($B141=Starkstrom!$U$82,Starkstrom!$J$82*Starkstrom!$F$23+Starkstrom!$J$82+Starkstrom!$L$115,0)</f>
        <v>0</v>
      </c>
      <c r="F141" s="698">
        <f>IF($B141=Starkstrom!$U$119,Starkstrom!$J$119*Starkstrom!$F$23+Starkstrom!$J$119+Starkstrom!$L$127,0)</f>
        <v>0</v>
      </c>
      <c r="G141" s="698">
        <f>IF($B141=Starkstrom!$U$128,Starkstrom!$J$128*Starkstrom!$F$23+Starkstrom!$J$128+Starkstrom!$R$128+Starkstrom!$R$131,0)</f>
        <v>0</v>
      </c>
      <c r="H141" s="698">
        <f>IF($B141=Starkstrom!$U$133,Starkstrom!$J$133*Starkstrom!$F$23+Starkstrom!$J$133+Starkstrom!$R$133+Starkstrom!$R$136+Starkstrom!$R$139+Starkstrom!$R$142,0)</f>
        <v>0</v>
      </c>
      <c r="I141" s="698">
        <f>IF($B141=Starkstrom!$U$143,Starkstrom!$J$143*Starkstrom!$F$23+Starkstrom!$J$143+Starkstrom!$R$143,0)</f>
        <v>0</v>
      </c>
      <c r="J141" s="698">
        <f>IF($B141=Starkstrom!$U$144,Starkstrom!$J$144*Starkstrom!$F$23+Starkstrom!$J$144+Starkstrom!$R$144,0)</f>
        <v>0</v>
      </c>
      <c r="K141" s="698">
        <f>IF($B141=Starkstrom!$U$145,Starkstrom!$J$145*Starkstrom!$F$23+Starkstrom!$J$145+Starkstrom!$R$145+Starkstrom!$R$148,0)</f>
        <v>0</v>
      </c>
      <c r="L141" s="698">
        <f>IF($B141=Starkstrom!$U$150,Starkstrom!$J$150*Starkstrom!$F$23+Starkstrom!$J$150+Starkstrom!$R$150,0)</f>
        <v>0</v>
      </c>
      <c r="M141" s="698">
        <f>IF($B141=Starkstrom!$U$154,Starkstrom!$J$154*Starkstrom!$F$23+Starkstrom!$J$154+Starkstrom!$L$178,0)</f>
        <v>0</v>
      </c>
      <c r="N141" s="698">
        <f>IF($B141=Starkstrom!$U$179,Starkstrom!$J$179*Starkstrom!$F$23+Starkstrom!$J$179+Starkstrom!$L$193,0)</f>
        <v>0</v>
      </c>
      <c r="O141" s="698">
        <f>IF($B141=Starkstrom!$U$194,Starkstrom!$J$194*Starkstrom!$F$23+Starkstrom!$J$194+Starkstrom!$L$235,0)</f>
        <v>0</v>
      </c>
      <c r="P141" s="698">
        <f>IF($B141=Starkstrom!$U$236,Starkstrom!$J$236*Starkstrom!$F$23+Starkstrom!$J$236+Starkstrom!$L$245,0)</f>
        <v>0</v>
      </c>
      <c r="Q141" s="699">
        <f t="shared" si="6"/>
        <v>0</v>
      </c>
    </row>
    <row r="142" spans="2:17" x14ac:dyDescent="0.3">
      <c r="B142" s="775" t="str">
        <f>IF(Überblick!$H$53&gt;=8,8,"")</f>
        <v/>
      </c>
      <c r="C142" s="698">
        <f>IF($B142=Starkstrom!$U$39,Starkstrom!$J$39*Starkstrom!$F$23+Starkstrom!$J$39+Starkstrom!$L$54,0)</f>
        <v>0</v>
      </c>
      <c r="D142" s="698">
        <f>IF($B142=Starkstrom!$U$55,Starkstrom!$J$55*Starkstrom!$F$23+Starkstrom!$J$55+Starkstrom!$L$78,0)</f>
        <v>0</v>
      </c>
      <c r="E142" s="698">
        <f>IF($B142=Starkstrom!$U$82,Starkstrom!$J$82*Starkstrom!$F$23+Starkstrom!$J$82+Starkstrom!$L$115,0)</f>
        <v>0</v>
      </c>
      <c r="F142" s="698">
        <f>IF($B142=Starkstrom!$U$119,Starkstrom!$J$119*Starkstrom!$F$23+Starkstrom!$J$119+Starkstrom!$L$127,0)</f>
        <v>0</v>
      </c>
      <c r="G142" s="698">
        <f>IF($B142=Starkstrom!$U$128,Starkstrom!$J$128*Starkstrom!$F$23+Starkstrom!$J$128+Starkstrom!$R$128+Starkstrom!$R$131,0)</f>
        <v>0</v>
      </c>
      <c r="H142" s="698">
        <f>IF($B142=Starkstrom!$U$133,Starkstrom!$J$133*Starkstrom!$F$23+Starkstrom!$J$133+Starkstrom!$R$133+Starkstrom!$R$136+Starkstrom!$R$139+Starkstrom!$R$142,0)</f>
        <v>0</v>
      </c>
      <c r="I142" s="698">
        <f>IF($B142=Starkstrom!$U$143,Starkstrom!$J$143*Starkstrom!$F$23+Starkstrom!$J$143+Starkstrom!$R$143,0)</f>
        <v>0</v>
      </c>
      <c r="J142" s="698">
        <f>IF($B142=Starkstrom!$U$144,Starkstrom!$J$144*Starkstrom!$F$23+Starkstrom!$J$144+Starkstrom!$R$144,0)</f>
        <v>0</v>
      </c>
      <c r="K142" s="698">
        <f>IF($B142=Starkstrom!$U$145,Starkstrom!$J$145*Starkstrom!$F$23+Starkstrom!$J$145+Starkstrom!$R$145+Starkstrom!$R$148,0)</f>
        <v>0</v>
      </c>
      <c r="L142" s="698">
        <f>IF($B142=Starkstrom!$U$150,Starkstrom!$J$150*Starkstrom!$F$23+Starkstrom!$J$150+Starkstrom!$R$150,0)</f>
        <v>0</v>
      </c>
      <c r="M142" s="698">
        <f>IF($B142=Starkstrom!$U$154,Starkstrom!$J$154*Starkstrom!$F$23+Starkstrom!$J$154+Starkstrom!$L$178,0)</f>
        <v>0</v>
      </c>
      <c r="N142" s="698">
        <f>IF($B142=Starkstrom!$U$179,Starkstrom!$J$179*Starkstrom!$F$23+Starkstrom!$J$179+Starkstrom!$L$193,0)</f>
        <v>0</v>
      </c>
      <c r="O142" s="698">
        <f>IF($B142=Starkstrom!$U$194,Starkstrom!$J$194*Starkstrom!$F$23+Starkstrom!$J$194+Starkstrom!$L$235,0)</f>
        <v>0</v>
      </c>
      <c r="P142" s="698">
        <f>IF($B142=Starkstrom!$U$236,Starkstrom!$J$236*Starkstrom!$F$23+Starkstrom!$J$236+Starkstrom!$L$245,0)</f>
        <v>0</v>
      </c>
      <c r="Q142" s="699">
        <f t="shared" si="6"/>
        <v>0</v>
      </c>
    </row>
    <row r="143" spans="2:17" ht="15.2" thickBot="1" x14ac:dyDescent="0.35">
      <c r="B143" s="771" t="str">
        <f>IF(Überblick!$H$53&gt;=9,9,"")</f>
        <v/>
      </c>
      <c r="C143" s="702">
        <f>IF($B143=Starkstrom!$U$39,Starkstrom!$J$39*Starkstrom!$F$23+Starkstrom!$J$39+Starkstrom!$L$54,0)</f>
        <v>0</v>
      </c>
      <c r="D143" s="702">
        <f>IF($B143=Starkstrom!$U$55,Starkstrom!$J$55*Starkstrom!$F$23+Starkstrom!$J$55+Starkstrom!$L$78,0)</f>
        <v>0</v>
      </c>
      <c r="E143" s="702">
        <f>IF($B143=Starkstrom!$U$82,Starkstrom!$J$82*Starkstrom!$F$23+Starkstrom!$J$82+Starkstrom!$L$115,0)</f>
        <v>0</v>
      </c>
      <c r="F143" s="702">
        <f>IF($B143=Starkstrom!$U$119,Starkstrom!$J$119*Starkstrom!$F$23+Starkstrom!$J$119+Starkstrom!$L$127,0)</f>
        <v>0</v>
      </c>
      <c r="G143" s="702">
        <f>IF($B143=Starkstrom!$U$128,Starkstrom!$J$128*Starkstrom!$F$23+Starkstrom!$J$128+Starkstrom!$R$128+Starkstrom!$R$131,0)</f>
        <v>0</v>
      </c>
      <c r="H143" s="702">
        <f>IF($B143=Starkstrom!$U$133,Starkstrom!$J$133*Starkstrom!$F$23+Starkstrom!$J$133+Starkstrom!$R$133+Starkstrom!$R$136+Starkstrom!$R$139+Starkstrom!$R$142,0)</f>
        <v>0</v>
      </c>
      <c r="I143" s="702">
        <f>IF($B143=Starkstrom!$U$143,Starkstrom!$J$143*Starkstrom!$F$23+Starkstrom!$J$143+Starkstrom!$R$143,0)</f>
        <v>0</v>
      </c>
      <c r="J143" s="702">
        <f>IF($B143=Starkstrom!$U$144,Starkstrom!$J$144*Starkstrom!$F$23+Starkstrom!$J$144+Starkstrom!$R$144,0)</f>
        <v>0</v>
      </c>
      <c r="K143" s="702">
        <f>IF($B143=Starkstrom!$U$145,Starkstrom!$J$145*Starkstrom!$F$23+Starkstrom!$J$145+Starkstrom!$R$145+Starkstrom!$R$148,0)</f>
        <v>0</v>
      </c>
      <c r="L143" s="702">
        <f>IF($B143=Starkstrom!$U$150,Starkstrom!$J$150*Starkstrom!$F$23+Starkstrom!$J$150+Starkstrom!$R$150,0)</f>
        <v>0</v>
      </c>
      <c r="M143" s="702">
        <f>IF($B143=Starkstrom!$U$154,Starkstrom!$J$154*Starkstrom!$F$23+Starkstrom!$J$154+Starkstrom!$L$178,0)</f>
        <v>0</v>
      </c>
      <c r="N143" s="702">
        <f>IF($B143=Starkstrom!$U$179,Starkstrom!$J$179*Starkstrom!$F$23+Starkstrom!$J$179+Starkstrom!$L$193,0)</f>
        <v>0</v>
      </c>
      <c r="O143" s="702">
        <f>IF($B143=Starkstrom!$U$194,Starkstrom!$J$194*Starkstrom!$F$23+Starkstrom!$J$194+Starkstrom!$L$235,0)</f>
        <v>0</v>
      </c>
      <c r="P143" s="702">
        <f>IF($B143=Starkstrom!$U$236,Starkstrom!$J$236*Starkstrom!$F$23+Starkstrom!$J$236+Starkstrom!$L$245,0)</f>
        <v>0</v>
      </c>
      <c r="Q143" s="703">
        <f t="shared" si="6"/>
        <v>0</v>
      </c>
    </row>
    <row r="144" spans="2:17" x14ac:dyDescent="0.3">
      <c r="Q144" s="704">
        <f>SUM(Q135:Q143)</f>
        <v>0</v>
      </c>
    </row>
    <row r="156" spans="2:4" x14ac:dyDescent="0.3">
      <c r="B156" s="705"/>
      <c r="C156" s="706"/>
      <c r="D156" s="707"/>
    </row>
  </sheetData>
  <mergeCells count="84">
    <mergeCell ref="B26:B44"/>
    <mergeCell ref="E26:E44"/>
    <mergeCell ref="H26:H44"/>
    <mergeCell ref="A2:A5"/>
    <mergeCell ref="C2:D2"/>
    <mergeCell ref="F2:G2"/>
    <mergeCell ref="I2:J2"/>
    <mergeCell ref="C3:D3"/>
    <mergeCell ref="F3:G3"/>
    <mergeCell ref="I3:J3"/>
    <mergeCell ref="C5:D5"/>
    <mergeCell ref="F5:G5"/>
    <mergeCell ref="I5:J5"/>
    <mergeCell ref="G50:H50"/>
    <mergeCell ref="J50:K50"/>
    <mergeCell ref="G52:G54"/>
    <mergeCell ref="G56:G60"/>
    <mergeCell ref="B62:E62"/>
    <mergeCell ref="G62:H62"/>
    <mergeCell ref="I62:J62"/>
    <mergeCell ref="K62:L62"/>
    <mergeCell ref="E76:E77"/>
    <mergeCell ref="B64:E64"/>
    <mergeCell ref="G64:H64"/>
    <mergeCell ref="J64:K64"/>
    <mergeCell ref="B65:E65"/>
    <mergeCell ref="G65:H65"/>
    <mergeCell ref="J65:K65"/>
    <mergeCell ref="G69:H69"/>
    <mergeCell ref="I69:J69"/>
    <mergeCell ref="K69:L69"/>
    <mergeCell ref="E70:E71"/>
    <mergeCell ref="D76:D80"/>
    <mergeCell ref="D70:D74"/>
    <mergeCell ref="I104:J104"/>
    <mergeCell ref="K104:L104"/>
    <mergeCell ref="B105:E105"/>
    <mergeCell ref="B85:E85"/>
    <mergeCell ref="B86:E86"/>
    <mergeCell ref="B87:E87"/>
    <mergeCell ref="B88:E88"/>
    <mergeCell ref="B93:E93"/>
    <mergeCell ref="B94:E94"/>
    <mergeCell ref="C110:D110"/>
    <mergeCell ref="E110:F110"/>
    <mergeCell ref="B95:E95"/>
    <mergeCell ref="B96:E96"/>
    <mergeCell ref="G104:H104"/>
    <mergeCell ref="C107:F107"/>
    <mergeCell ref="C108:D108"/>
    <mergeCell ref="E108:F108"/>
    <mergeCell ref="C109:D109"/>
    <mergeCell ref="E109:F109"/>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E132:F132"/>
    <mergeCell ref="C123:D123"/>
    <mergeCell ref="E123:F123"/>
    <mergeCell ref="C125:D125"/>
    <mergeCell ref="E125:F125"/>
    <mergeCell ref="C130:D130"/>
    <mergeCell ref="E130:F130"/>
  </mergeCells>
  <conditionalFormatting sqref="A6:A44">
    <cfRule type="colorScale" priority="7">
      <colorScale>
        <cfvo type="min"/>
        <cfvo type="percentile" val="50"/>
        <cfvo type="max"/>
        <color rgb="FF63BE7B"/>
        <color rgb="FFFFEB84"/>
        <color rgb="FFF8696B"/>
      </colorScale>
    </cfRule>
  </conditionalFormatting>
  <conditionalFormatting sqref="C6:C44">
    <cfRule type="colorScale" priority="6">
      <colorScale>
        <cfvo type="min"/>
        <cfvo type="percentile" val="50"/>
        <cfvo type="max"/>
        <color rgb="FF63BE7B"/>
        <color rgb="FFFFEB84"/>
        <color rgb="FFF8696B"/>
      </colorScale>
    </cfRule>
  </conditionalFormatting>
  <conditionalFormatting sqref="D6:D44">
    <cfRule type="colorScale" priority="5">
      <colorScale>
        <cfvo type="min"/>
        <cfvo type="percentile" val="50"/>
        <cfvo type="max"/>
        <color rgb="FF63BE7B"/>
        <color rgb="FFFFEB84"/>
        <color rgb="FFF8696B"/>
      </colorScale>
    </cfRule>
  </conditionalFormatting>
  <conditionalFormatting sqref="F6:F44">
    <cfRule type="colorScale" priority="4">
      <colorScale>
        <cfvo type="min"/>
        <cfvo type="percentile" val="50"/>
        <cfvo type="max"/>
        <color rgb="FF63BE7B"/>
        <color rgb="FFFFEB84"/>
        <color rgb="FFF8696B"/>
      </colorScale>
    </cfRule>
  </conditionalFormatting>
  <conditionalFormatting sqref="G6:G44">
    <cfRule type="colorScale" priority="3">
      <colorScale>
        <cfvo type="min"/>
        <cfvo type="percentile" val="50"/>
        <cfvo type="max"/>
        <color rgb="FF63BE7B"/>
        <color rgb="FFFFEB84"/>
        <color rgb="FFF8696B"/>
      </colorScale>
    </cfRule>
  </conditionalFormatting>
  <conditionalFormatting sqref="I6:I44">
    <cfRule type="colorScale" priority="2">
      <colorScale>
        <cfvo type="min"/>
        <cfvo type="percentile" val="50"/>
        <cfvo type="max"/>
        <color rgb="FF63BE7B"/>
        <color rgb="FFFFEB84"/>
        <color rgb="FFF8696B"/>
      </colorScale>
    </cfRule>
  </conditionalFormatting>
  <conditionalFormatting sqref="J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ignoredErrors>
    <ignoredError sqref="H78:H80 H72:H74 J72:J74 J78:J8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8FC-CE22-4AD6-BA7F-AD93E925949F}">
  <sheetPr codeName="Tabelle6">
    <tabColor rgb="FFFFC000"/>
  </sheetPr>
  <dimension ref="A1:AL295"/>
  <sheetViews>
    <sheetView workbookViewId="0">
      <selection activeCell="V14" sqref="V14"/>
    </sheetView>
  </sheetViews>
  <sheetFormatPr baseColWidth="10" defaultColWidth="11.44140625" defaultRowHeight="13.9" x14ac:dyDescent="0.25"/>
  <cols>
    <col min="1" max="1" width="9.21875" style="41" customWidth="1"/>
    <col min="2" max="21" width="9.21875" style="39" customWidth="1"/>
    <col min="22" max="22" width="9.21875" style="72" customWidth="1"/>
    <col min="23" max="29" width="11.44140625" style="72"/>
    <col min="30" max="31" width="11.44140625" style="68"/>
    <col min="32" max="38" width="11.44140625" style="72"/>
    <col min="39" max="16384" width="11.44140625" style="39"/>
  </cols>
  <sheetData>
    <row r="1" spans="1:24" x14ac:dyDescent="0.25">
      <c r="A1" s="493" t="str">
        <f>Überblick!X106</f>
        <v/>
      </c>
      <c r="B1" s="188" t="str">
        <f>IF(Überblick!B2=Überblick!L4,Förderanlagen!Q1,Förderanlagen!Q2)</f>
        <v>Honorarangebot -Förderanlagen</v>
      </c>
      <c r="Q1" s="185" t="s">
        <v>488</v>
      </c>
      <c r="T1" s="963" t="str">
        <f>'Hochbauplanung '!T1</f>
        <v>Version: 27.06.2023</v>
      </c>
      <c r="U1" s="963"/>
    </row>
    <row r="2" spans="1:24" x14ac:dyDescent="0.25">
      <c r="A2" s="491"/>
      <c r="Q2" s="185" t="s">
        <v>489</v>
      </c>
      <c r="R2" s="535" t="s">
        <v>110</v>
      </c>
      <c r="S2" s="1389" t="str">
        <f>IF(Überblick!Q2=0,"",Überblick!Q2)</f>
        <v/>
      </c>
      <c r="T2" s="1389"/>
      <c r="U2" s="1389"/>
    </row>
    <row r="3" spans="1:24" x14ac:dyDescent="0.25">
      <c r="A3" s="491" t="s">
        <v>112</v>
      </c>
      <c r="B3" s="40" t="s">
        <v>365</v>
      </c>
      <c r="F3" s="883" t="s">
        <v>998</v>
      </c>
      <c r="G3" s="878"/>
      <c r="H3" s="878"/>
      <c r="I3" s="878"/>
      <c r="J3" s="878"/>
      <c r="K3" s="878"/>
      <c r="R3" s="535" t="s">
        <v>24</v>
      </c>
      <c r="S3" s="1389" t="str">
        <f>IF(Überblick!G29=0,"",Überblick!G29)</f>
        <v>Breite Strasse, 10178 Berlin-Mitte, zw. Neumannsgasse und Scharrenstrasse</v>
      </c>
      <c r="T3" s="1389"/>
      <c r="U3" s="1389"/>
    </row>
    <row r="4" spans="1:24" ht="14.55" thickBot="1" x14ac:dyDescent="0.3">
      <c r="A4" s="491"/>
      <c r="R4" s="535" t="s">
        <v>17</v>
      </c>
      <c r="S4" s="1389" t="str">
        <f>IF(Überblick!D19=0,"",Überblick!D19)</f>
        <v/>
      </c>
      <c r="T4" s="1389"/>
      <c r="U4" s="1389"/>
    </row>
    <row r="5" spans="1:2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24"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2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24" ht="14.55" thickBot="1" x14ac:dyDescent="0.3">
      <c r="A8" s="491"/>
      <c r="B8" s="1599" t="s">
        <v>490</v>
      </c>
      <c r="C8" s="1600"/>
      <c r="D8" s="1600"/>
      <c r="E8" s="1601"/>
      <c r="F8" s="1205">
        <f>H8*1.19</f>
        <v>0</v>
      </c>
      <c r="G8" s="1237"/>
      <c r="H8" s="1219"/>
      <c r="I8" s="1220"/>
      <c r="J8" s="1205">
        <f>L8*1.19</f>
        <v>0</v>
      </c>
      <c r="K8" s="1206"/>
      <c r="L8" s="1207"/>
      <c r="M8" s="1208"/>
      <c r="N8" s="1205">
        <f>P8*1.19</f>
        <v>0</v>
      </c>
      <c r="O8" s="1206"/>
      <c r="P8" s="1207"/>
      <c r="Q8" s="1208"/>
      <c r="R8" s="96">
        <f>+H8+L8+P8</f>
        <v>0</v>
      </c>
      <c r="S8" s="96">
        <f>IF((R8+AB245)&gt;0,1,0)</f>
        <v>0</v>
      </c>
      <c r="T8" s="96"/>
      <c r="U8" s="96"/>
      <c r="V8" s="96"/>
      <c r="W8" s="96"/>
      <c r="X8" s="96"/>
    </row>
    <row r="9" spans="1:24" x14ac:dyDescent="0.25">
      <c r="A9" s="491"/>
      <c r="B9" s="49"/>
      <c r="C9" s="49"/>
      <c r="D9" s="49"/>
      <c r="E9" s="49"/>
      <c r="F9" s="1138" t="str">
        <f>IF(H8&gt;'Berechnung - Förderanlagen'!$A$25,$R$9,"")</f>
        <v/>
      </c>
      <c r="G9" s="1138"/>
      <c r="H9" s="1138"/>
      <c r="I9" s="1138"/>
      <c r="J9" s="1138" t="str">
        <f>IF(L8&gt;'Berechnung - Förderanlagen'!$A$25,$R$9,"")</f>
        <v/>
      </c>
      <c r="K9" s="1138"/>
      <c r="L9" s="1138"/>
      <c r="M9" s="1138"/>
      <c r="N9" s="1138" t="str">
        <f>IF(P8&gt;'Berechnung - Förderanlagen'!$A$25,$R$9,"")</f>
        <v/>
      </c>
      <c r="O9" s="1138"/>
      <c r="P9" s="1138"/>
      <c r="Q9" s="1138"/>
      <c r="R9" s="96" t="s">
        <v>124</v>
      </c>
      <c r="S9" s="96"/>
      <c r="T9" s="96"/>
      <c r="U9" s="96"/>
      <c r="V9" s="96"/>
      <c r="W9" s="96"/>
      <c r="X9" s="96"/>
    </row>
    <row r="10" spans="1:2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row>
    <row r="11" spans="1:2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row>
    <row r="12" spans="1:24" x14ac:dyDescent="0.25">
      <c r="A12" s="491"/>
      <c r="B12" s="39" t="s">
        <v>130</v>
      </c>
      <c r="R12" s="72"/>
      <c r="S12" s="72"/>
      <c r="T12" s="72"/>
      <c r="U12" s="72"/>
    </row>
    <row r="13" spans="1:24" x14ac:dyDescent="0.25">
      <c r="A13" s="491"/>
      <c r="B13" s="39" t="s">
        <v>131</v>
      </c>
      <c r="R13" s="72"/>
      <c r="S13" s="72"/>
      <c r="T13" s="72"/>
      <c r="U13" s="72"/>
    </row>
    <row r="14" spans="1:24" ht="14.55" thickBot="1" x14ac:dyDescent="0.3">
      <c r="A14" s="491"/>
      <c r="B14" s="40"/>
      <c r="G14" s="54"/>
      <c r="H14" s="41"/>
      <c r="I14" s="57"/>
      <c r="J14" s="54"/>
      <c r="K14" s="54"/>
      <c r="L14" s="57"/>
      <c r="M14" s="58"/>
      <c r="N14" s="58"/>
      <c r="O14" s="59"/>
      <c r="R14" s="72"/>
      <c r="S14" s="351"/>
      <c r="T14" s="96"/>
      <c r="U14" s="72"/>
    </row>
    <row r="15" spans="1:2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2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row>
    <row r="19" spans="1:24" ht="14.55" thickBot="1" x14ac:dyDescent="0.3">
      <c r="A19" s="491"/>
      <c r="B19" s="40"/>
      <c r="C19" s="40"/>
      <c r="D19" s="40"/>
      <c r="E19" s="69"/>
      <c r="F19" s="1596">
        <f>'Berechnung - Förderanlagen'!H105</f>
        <v>0</v>
      </c>
      <c r="G19" s="1597"/>
      <c r="H19" s="1597"/>
      <c r="I19" s="1598"/>
      <c r="J19" s="1596" t="str">
        <f>IF('Berechnung - Förderanlagen'!J105=0,"Kostenschätzung liegt noch nicht vor",'Berechnung - Förderanlagen'!J105)</f>
        <v>Kostenschätzung liegt noch nicht vor</v>
      </c>
      <c r="K19" s="1597"/>
      <c r="L19" s="1597"/>
      <c r="M19" s="1598"/>
      <c r="N19" s="1596" t="str">
        <f>IF('Berechnung - Förderanlagen'!L105=0,"Kostenberechnung liegt noch nicht vor",'Berechnung - Förderanlagen'!L105)</f>
        <v>Kostenberechnung liegt noch nicht vor</v>
      </c>
      <c r="O19" s="1597"/>
      <c r="P19" s="1597"/>
      <c r="Q19" s="1598"/>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0</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491</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29"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29" ht="14.55" thickBot="1" x14ac:dyDescent="0.3">
      <c r="A34" s="1516"/>
      <c r="B34" s="1129"/>
      <c r="C34" s="1130"/>
      <c r="D34" s="1130"/>
      <c r="E34" s="1130"/>
      <c r="F34" s="1130"/>
      <c r="G34" s="1130"/>
      <c r="H34" s="1133"/>
      <c r="I34" s="1136"/>
      <c r="J34" s="1521"/>
      <c r="K34" s="1522"/>
      <c r="L34" s="176"/>
      <c r="M34" s="115"/>
      <c r="N34" s="115"/>
      <c r="O34" s="115"/>
      <c r="P34" s="116"/>
      <c r="Q34" s="116"/>
      <c r="R34" s="838"/>
      <c r="S34" s="117"/>
      <c r="T34" s="117"/>
      <c r="U34" s="118"/>
      <c r="V34" s="81"/>
      <c r="W34" s="81"/>
    </row>
    <row r="35" spans="1:29" ht="15" customHeight="1" thickBot="1" x14ac:dyDescent="0.3">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608"/>
      <c r="T35" s="1605" t="s">
        <v>156</v>
      </c>
      <c r="U35" s="1371" t="s">
        <v>157</v>
      </c>
      <c r="Y35" s="73" t="s">
        <v>5</v>
      </c>
      <c r="Z35" s="72" t="s">
        <v>374</v>
      </c>
      <c r="AA35" s="81"/>
      <c r="AB35" s="81"/>
    </row>
    <row r="36" spans="1:29"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row>
    <row r="37" spans="1:29"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row>
    <row r="38" spans="1:29" ht="14.55" thickBot="1" x14ac:dyDescent="0.3">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149"/>
      <c r="AC38" s="149"/>
    </row>
    <row r="39" spans="1:29" ht="15.95" customHeight="1" thickBot="1" x14ac:dyDescent="0.3">
      <c r="A39" s="1516"/>
      <c r="B39" s="1497" t="s">
        <v>375</v>
      </c>
      <c r="C39" s="1498"/>
      <c r="D39" s="1498"/>
      <c r="E39" s="1498"/>
      <c r="F39" s="1498"/>
      <c r="G39" s="1499"/>
      <c r="H39" s="1194" t="s">
        <v>100</v>
      </c>
      <c r="I39" s="1016">
        <f>Z54</f>
        <v>0</v>
      </c>
      <c r="J39" s="1027">
        <f>I35*I39</f>
        <v>0</v>
      </c>
      <c r="K39" s="1691"/>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78">
        <f>IF(Q39="ja",1,0)</f>
        <v>0</v>
      </c>
    </row>
    <row r="40" spans="1:29" ht="15" customHeight="1" thickBot="1" x14ac:dyDescent="0.3">
      <c r="A40" s="1516"/>
      <c r="B40" s="1493"/>
      <c r="C40" s="1317"/>
      <c r="D40" s="1317"/>
      <c r="E40" s="1317"/>
      <c r="F40" s="1317"/>
      <c r="G40" s="1494"/>
      <c r="H40" s="982"/>
      <c r="I40" s="1017"/>
      <c r="J40" s="1029"/>
      <c r="K40" s="1692"/>
      <c r="L40" s="1544"/>
      <c r="M40" s="1545"/>
      <c r="N40" s="1545"/>
      <c r="O40" s="1545"/>
      <c r="P40" s="1545"/>
      <c r="Q40" s="978"/>
      <c r="R40" s="972"/>
      <c r="S40" s="973"/>
      <c r="T40" s="1543"/>
      <c r="U40" s="1337"/>
      <c r="Y40" s="74"/>
      <c r="Z40" s="77"/>
      <c r="AA40" s="78"/>
      <c r="AB40" s="78">
        <f t="shared" ref="AB40:AB103" si="0">IF(Q40="ja",1,0)</f>
        <v>0</v>
      </c>
    </row>
    <row r="41" spans="1:29" ht="15" customHeight="1" thickBot="1" x14ac:dyDescent="0.3">
      <c r="A41" s="1516"/>
      <c r="B41" s="1490"/>
      <c r="C41" s="1491"/>
      <c r="D41" s="1491"/>
      <c r="E41" s="1491"/>
      <c r="F41" s="1491"/>
      <c r="G41" s="1492"/>
      <c r="H41" s="983"/>
      <c r="I41" s="1017"/>
      <c r="J41" s="1029"/>
      <c r="K41" s="1692"/>
      <c r="L41" s="1544"/>
      <c r="M41" s="1545"/>
      <c r="N41" s="1545"/>
      <c r="O41" s="1545"/>
      <c r="P41" s="1545"/>
      <c r="Q41" s="978"/>
      <c r="R41" s="972"/>
      <c r="S41" s="973"/>
      <c r="T41" s="1543"/>
      <c r="U41" s="1337"/>
      <c r="Y41" s="74"/>
      <c r="Z41" s="77"/>
      <c r="AA41" s="78"/>
      <c r="AB41" s="78">
        <f t="shared" si="0"/>
        <v>0</v>
      </c>
    </row>
    <row r="42" spans="1:29" ht="15" customHeight="1" thickBot="1" x14ac:dyDescent="0.3">
      <c r="A42" s="1516"/>
      <c r="B42" s="1493" t="s">
        <v>377</v>
      </c>
      <c r="C42" s="1317"/>
      <c r="D42" s="1317"/>
      <c r="E42" s="1317"/>
      <c r="F42" s="1317"/>
      <c r="G42" s="1494"/>
      <c r="H42" s="982" t="s">
        <v>100</v>
      </c>
      <c r="I42" s="1017"/>
      <c r="J42" s="1029"/>
      <c r="K42" s="1692"/>
      <c r="L42" s="1544"/>
      <c r="M42" s="1545"/>
      <c r="N42" s="1545"/>
      <c r="O42" s="1545"/>
      <c r="P42" s="1545"/>
      <c r="Q42" s="978"/>
      <c r="R42" s="972"/>
      <c r="S42" s="973"/>
      <c r="T42" s="1543"/>
      <c r="U42" s="1337"/>
      <c r="Y42" s="74">
        <v>3.0000000000000001E-3</v>
      </c>
      <c r="Z42" s="77">
        <f>IF(H42="ja",Y42,0)</f>
        <v>0</v>
      </c>
      <c r="AA42" s="78"/>
      <c r="AB42" s="78">
        <f t="shared" si="0"/>
        <v>0</v>
      </c>
    </row>
    <row r="43" spans="1:29" ht="15" customHeight="1" thickBot="1" x14ac:dyDescent="0.3">
      <c r="A43" s="1516"/>
      <c r="B43" s="1493"/>
      <c r="C43" s="1317"/>
      <c r="D43" s="1317"/>
      <c r="E43" s="1317"/>
      <c r="F43" s="1317"/>
      <c r="G43" s="1494"/>
      <c r="H43" s="982"/>
      <c r="I43" s="1017"/>
      <c r="J43" s="1029"/>
      <c r="K43" s="1692"/>
      <c r="L43" s="1544"/>
      <c r="M43" s="1545"/>
      <c r="N43" s="1545"/>
      <c r="O43" s="1545"/>
      <c r="P43" s="1545"/>
      <c r="Q43" s="978"/>
      <c r="R43" s="972"/>
      <c r="S43" s="973"/>
      <c r="T43" s="1543"/>
      <c r="U43" s="1337"/>
      <c r="Y43" s="74"/>
      <c r="Z43" s="77"/>
      <c r="AA43" s="78"/>
      <c r="AB43" s="78">
        <f t="shared" si="0"/>
        <v>0</v>
      </c>
    </row>
    <row r="44" spans="1:29" ht="15.95" customHeight="1" thickBot="1" x14ac:dyDescent="0.3">
      <c r="A44" s="1516"/>
      <c r="B44" s="1490"/>
      <c r="C44" s="1491"/>
      <c r="D44" s="1491"/>
      <c r="E44" s="1491"/>
      <c r="F44" s="1491"/>
      <c r="G44" s="1492"/>
      <c r="H44" s="983"/>
      <c r="I44" s="1017"/>
      <c r="J44" s="1029"/>
      <c r="K44" s="1692"/>
      <c r="L44" s="1544" t="s">
        <v>378</v>
      </c>
      <c r="M44" s="1545"/>
      <c r="N44" s="1545"/>
      <c r="O44" s="1545"/>
      <c r="P44" s="1545"/>
      <c r="Q44" s="978" t="s">
        <v>100</v>
      </c>
      <c r="R44" s="972"/>
      <c r="S44" s="973"/>
      <c r="T44" s="1543"/>
      <c r="U44" s="1337"/>
      <c r="V44" s="72">
        <f>IF(AND(Q44="ja",R44=""),1,0)</f>
        <v>0</v>
      </c>
      <c r="Y44" s="74"/>
      <c r="Z44" s="77"/>
      <c r="AA44" s="78"/>
      <c r="AB44" s="78">
        <f t="shared" si="0"/>
        <v>0</v>
      </c>
    </row>
    <row r="45" spans="1:29" ht="15" customHeight="1" thickBot="1" x14ac:dyDescent="0.3">
      <c r="A45" s="1516"/>
      <c r="B45" s="1493" t="s">
        <v>171</v>
      </c>
      <c r="C45" s="1317"/>
      <c r="D45" s="1317"/>
      <c r="E45" s="1317"/>
      <c r="F45" s="1317"/>
      <c r="G45" s="1494"/>
      <c r="H45" s="1191" t="s">
        <v>100</v>
      </c>
      <c r="I45" s="1017"/>
      <c r="J45" s="1029"/>
      <c r="K45" s="1692"/>
      <c r="L45" s="1544"/>
      <c r="M45" s="1545"/>
      <c r="N45" s="1545"/>
      <c r="O45" s="1545"/>
      <c r="P45" s="1545"/>
      <c r="Q45" s="978"/>
      <c r="R45" s="972"/>
      <c r="S45" s="973"/>
      <c r="T45" s="1543"/>
      <c r="U45" s="1337"/>
      <c r="Y45" s="74">
        <v>2E-3</v>
      </c>
      <c r="Z45" s="77">
        <f>IF(H45="ja",Y45,0)</f>
        <v>0</v>
      </c>
      <c r="AA45" s="78"/>
      <c r="AB45" s="78">
        <f t="shared" si="0"/>
        <v>0</v>
      </c>
    </row>
    <row r="46" spans="1:29" ht="15" customHeight="1" thickBot="1" x14ac:dyDescent="0.3">
      <c r="A46" s="1516"/>
      <c r="B46" s="1493"/>
      <c r="C46" s="1317"/>
      <c r="D46" s="1317"/>
      <c r="E46" s="1317"/>
      <c r="F46" s="1317"/>
      <c r="G46" s="1494"/>
      <c r="H46" s="1191"/>
      <c r="I46" s="1017"/>
      <c r="J46" s="1029"/>
      <c r="K46" s="1692"/>
      <c r="L46" s="1544"/>
      <c r="M46" s="1545"/>
      <c r="N46" s="1545"/>
      <c r="O46" s="1545"/>
      <c r="P46" s="1545"/>
      <c r="Q46" s="978"/>
      <c r="R46" s="972"/>
      <c r="S46" s="973"/>
      <c r="T46" s="1543"/>
      <c r="U46" s="1337"/>
      <c r="Y46" s="74"/>
      <c r="Z46" s="77"/>
      <c r="AA46" s="78"/>
      <c r="AB46" s="78">
        <f t="shared" si="0"/>
        <v>0</v>
      </c>
    </row>
    <row r="47" spans="1:29" ht="15" customHeight="1" thickBot="1" x14ac:dyDescent="0.3">
      <c r="A47" s="1516"/>
      <c r="B47" s="1493"/>
      <c r="C47" s="1317"/>
      <c r="D47" s="1317"/>
      <c r="E47" s="1317"/>
      <c r="F47" s="1317"/>
      <c r="G47" s="1494"/>
      <c r="H47" s="1191"/>
      <c r="I47" s="1017"/>
      <c r="J47" s="1029"/>
      <c r="K47" s="1692"/>
      <c r="L47" s="1544" t="s">
        <v>379</v>
      </c>
      <c r="M47" s="1545"/>
      <c r="N47" s="1545"/>
      <c r="O47" s="1545"/>
      <c r="P47" s="1545"/>
      <c r="Q47" s="978" t="s">
        <v>100</v>
      </c>
      <c r="R47" s="972"/>
      <c r="S47" s="973"/>
      <c r="T47" s="1543"/>
      <c r="U47" s="1337"/>
      <c r="V47" s="72">
        <f>IF(AND(Q47="ja",R47=""),1,0)</f>
        <v>0</v>
      </c>
      <c r="Y47" s="74"/>
      <c r="Z47" s="77"/>
      <c r="AA47" s="78"/>
      <c r="AB47" s="78">
        <f t="shared" si="0"/>
        <v>0</v>
      </c>
    </row>
    <row r="48" spans="1:29" ht="15" customHeight="1" thickBot="1" x14ac:dyDescent="0.3">
      <c r="A48" s="1516"/>
      <c r="B48" s="1493"/>
      <c r="C48" s="1317"/>
      <c r="D48" s="1317"/>
      <c r="E48" s="1317"/>
      <c r="F48" s="1317"/>
      <c r="G48" s="1494"/>
      <c r="H48" s="1191"/>
      <c r="I48" s="1017"/>
      <c r="J48" s="1029"/>
      <c r="K48" s="1692"/>
      <c r="L48" s="1544"/>
      <c r="M48" s="1545"/>
      <c r="N48" s="1545"/>
      <c r="O48" s="1545"/>
      <c r="P48" s="1545"/>
      <c r="Q48" s="978"/>
      <c r="R48" s="972"/>
      <c r="S48" s="973"/>
      <c r="T48" s="1543"/>
      <c r="U48" s="1337"/>
      <c r="Y48" s="74"/>
      <c r="Z48" s="77"/>
      <c r="AA48" s="78"/>
      <c r="AB48" s="78">
        <f t="shared" si="0"/>
        <v>0</v>
      </c>
    </row>
    <row r="49" spans="1:38" ht="15" customHeight="1" thickBot="1" x14ac:dyDescent="0.3">
      <c r="A49" s="1516"/>
      <c r="B49" s="1493"/>
      <c r="C49" s="1317"/>
      <c r="D49" s="1317"/>
      <c r="E49" s="1317"/>
      <c r="F49" s="1317"/>
      <c r="G49" s="1494"/>
      <c r="H49" s="1191"/>
      <c r="I49" s="1017"/>
      <c r="J49" s="1029"/>
      <c r="K49" s="1692"/>
      <c r="L49" s="1532" t="s">
        <v>380</v>
      </c>
      <c r="M49" s="1533"/>
      <c r="N49" s="1533"/>
      <c r="O49" s="1533"/>
      <c r="P49" s="1533"/>
      <c r="Q49" s="329" t="s">
        <v>100</v>
      </c>
      <c r="R49" s="972"/>
      <c r="S49" s="973"/>
      <c r="T49" s="1543"/>
      <c r="U49" s="1337"/>
      <c r="V49" s="72">
        <f>IF(AND(Q49="ja",R49=""),1,0)</f>
        <v>0</v>
      </c>
      <c r="Y49" s="74"/>
      <c r="Z49" s="77"/>
      <c r="AA49" s="78"/>
      <c r="AB49" s="78">
        <f t="shared" si="0"/>
        <v>0</v>
      </c>
    </row>
    <row r="50" spans="1:38" ht="15" customHeight="1" thickBot="1" x14ac:dyDescent="0.3">
      <c r="A50" s="1516"/>
      <c r="B50" s="1493"/>
      <c r="C50" s="1317"/>
      <c r="D50" s="1317"/>
      <c r="E50" s="1317"/>
      <c r="F50" s="1317"/>
      <c r="G50" s="1494"/>
      <c r="H50" s="1191"/>
      <c r="I50" s="1017"/>
      <c r="J50" s="1029"/>
      <c r="K50" s="1692"/>
      <c r="L50" s="1532" t="s">
        <v>381</v>
      </c>
      <c r="M50" s="1533"/>
      <c r="N50" s="1533"/>
      <c r="O50" s="1533"/>
      <c r="P50" s="1533"/>
      <c r="Q50" s="329" t="s">
        <v>100</v>
      </c>
      <c r="R50" s="972"/>
      <c r="S50" s="973"/>
      <c r="T50" s="1543"/>
      <c r="U50" s="1337"/>
      <c r="V50" s="72">
        <f>IF(AND(Q50="ja",R50=""),1,0)</f>
        <v>0</v>
      </c>
      <c r="Y50" s="74"/>
      <c r="Z50" s="77"/>
      <c r="AA50" s="78"/>
      <c r="AB50" s="78">
        <f t="shared" si="0"/>
        <v>0</v>
      </c>
    </row>
    <row r="51" spans="1:38" ht="15.95" customHeight="1" thickBot="1" x14ac:dyDescent="0.3">
      <c r="A51" s="1516"/>
      <c r="B51" s="1493"/>
      <c r="C51" s="1317"/>
      <c r="D51" s="1317"/>
      <c r="E51" s="1317"/>
      <c r="F51" s="1317"/>
      <c r="G51" s="1494"/>
      <c r="H51" s="1191"/>
      <c r="I51" s="1017"/>
      <c r="J51" s="1029"/>
      <c r="K51" s="1692"/>
      <c r="L51" s="1544" t="s">
        <v>382</v>
      </c>
      <c r="M51" s="1545"/>
      <c r="N51" s="1545"/>
      <c r="O51" s="1545"/>
      <c r="P51" s="1545"/>
      <c r="Q51" s="978" t="s">
        <v>100</v>
      </c>
      <c r="R51" s="972"/>
      <c r="S51" s="973"/>
      <c r="T51" s="1543"/>
      <c r="U51" s="1337"/>
      <c r="V51" s="72">
        <f>IF(AND(Q51="ja",R51=""),1,0)</f>
        <v>0</v>
      </c>
      <c r="Y51" s="74"/>
      <c r="Z51" s="77"/>
      <c r="AA51" s="78"/>
      <c r="AB51" s="78">
        <f t="shared" si="0"/>
        <v>0</v>
      </c>
    </row>
    <row r="52" spans="1:38" ht="15" customHeight="1" thickBot="1" x14ac:dyDescent="0.3">
      <c r="A52" s="1516"/>
      <c r="B52" s="1493"/>
      <c r="C52" s="1317"/>
      <c r="D52" s="1317"/>
      <c r="E52" s="1317"/>
      <c r="F52" s="1317"/>
      <c r="G52" s="1494"/>
      <c r="H52" s="1191"/>
      <c r="I52" s="1017"/>
      <c r="J52" s="1029"/>
      <c r="K52" s="1692"/>
      <c r="L52" s="1544"/>
      <c r="M52" s="1545"/>
      <c r="N52" s="1545"/>
      <c r="O52" s="1545"/>
      <c r="P52" s="1545"/>
      <c r="Q52" s="978"/>
      <c r="R52" s="972"/>
      <c r="S52" s="973"/>
      <c r="T52" s="1543"/>
      <c r="U52" s="1337"/>
      <c r="Y52" s="74"/>
      <c r="Z52" s="77"/>
      <c r="AA52" s="78"/>
      <c r="AB52" s="78">
        <f t="shared" si="0"/>
        <v>0</v>
      </c>
    </row>
    <row r="53" spans="1:38" ht="15" customHeight="1" thickBot="1" x14ac:dyDescent="0.3">
      <c r="A53" s="1516"/>
      <c r="B53" s="1592"/>
      <c r="C53" s="1593"/>
      <c r="D53" s="1593"/>
      <c r="E53" s="1593"/>
      <c r="F53" s="1593"/>
      <c r="G53" s="1594"/>
      <c r="H53" s="1192"/>
      <c r="I53" s="1018"/>
      <c r="J53" s="1031"/>
      <c r="K53" s="1693"/>
      <c r="L53" s="1546" t="s">
        <v>383</v>
      </c>
      <c r="M53" s="1547"/>
      <c r="N53" s="1547"/>
      <c r="O53" s="1547"/>
      <c r="P53" s="1547"/>
      <c r="Q53" s="330" t="s">
        <v>100</v>
      </c>
      <c r="R53" s="976"/>
      <c r="S53" s="977"/>
      <c r="T53" s="1543"/>
      <c r="U53" s="1337"/>
      <c r="V53" s="72">
        <f>IF(AND(Q53="ja",R53=""),1,0)</f>
        <v>0</v>
      </c>
      <c r="Y53" s="74"/>
      <c r="Z53" s="77"/>
      <c r="AA53" s="78"/>
      <c r="AB53" s="78">
        <f t="shared" si="0"/>
        <v>0</v>
      </c>
    </row>
    <row r="54" spans="1:38"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0</v>
      </c>
      <c r="AA54" s="77"/>
      <c r="AB54" s="78">
        <f t="shared" si="0"/>
        <v>0</v>
      </c>
    </row>
    <row r="55" spans="1:38" ht="15.95" customHeight="1" thickBot="1" x14ac:dyDescent="0.3">
      <c r="A55" s="1516"/>
      <c r="B55" s="1497" t="s">
        <v>384</v>
      </c>
      <c r="C55" s="1498"/>
      <c r="D55" s="1498"/>
      <c r="E55" s="1498"/>
      <c r="F55" s="1498"/>
      <c r="G55" s="1498"/>
      <c r="H55" s="1194" t="s">
        <v>100</v>
      </c>
      <c r="I55" s="1016">
        <f>Z78</f>
        <v>0</v>
      </c>
      <c r="J55" s="1027">
        <f>I35*I55</f>
        <v>0</v>
      </c>
      <c r="K55" s="1691"/>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0</v>
      </c>
      <c r="AA55" s="78"/>
      <c r="AB55" s="78">
        <f t="shared" si="0"/>
        <v>0</v>
      </c>
    </row>
    <row r="56" spans="1:38" ht="15" customHeight="1" thickBot="1" x14ac:dyDescent="0.3">
      <c r="A56" s="1516"/>
      <c r="B56" s="1490"/>
      <c r="C56" s="1491"/>
      <c r="D56" s="1491"/>
      <c r="E56" s="1491"/>
      <c r="F56" s="1491"/>
      <c r="G56" s="1491"/>
      <c r="H56" s="983"/>
      <c r="I56" s="1017"/>
      <c r="J56" s="1029"/>
      <c r="K56" s="1692"/>
      <c r="L56" s="984"/>
      <c r="M56" s="985"/>
      <c r="N56" s="985"/>
      <c r="O56" s="985"/>
      <c r="P56" s="985"/>
      <c r="Q56" s="1548"/>
      <c r="R56" s="972"/>
      <c r="S56" s="973"/>
      <c r="T56" s="1543"/>
      <c r="U56" s="1337"/>
      <c r="Y56" s="74"/>
      <c r="Z56" s="77"/>
      <c r="AA56" s="78"/>
      <c r="AB56" s="78">
        <f t="shared" si="0"/>
        <v>0</v>
      </c>
    </row>
    <row r="57" spans="1:38" s="70" customFormat="1" ht="15" customHeight="1" thickBot="1" x14ac:dyDescent="0.3">
      <c r="A57" s="1516"/>
      <c r="B57" s="1487" t="s">
        <v>385</v>
      </c>
      <c r="C57" s="1488"/>
      <c r="D57" s="1488"/>
      <c r="E57" s="1488"/>
      <c r="F57" s="1488"/>
      <c r="G57" s="1489"/>
      <c r="H57" s="1583" t="s">
        <v>100</v>
      </c>
      <c r="I57" s="1017"/>
      <c r="J57" s="1029"/>
      <c r="K57" s="1692"/>
      <c r="L57" s="984"/>
      <c r="M57" s="985"/>
      <c r="N57" s="985"/>
      <c r="O57" s="985"/>
      <c r="P57" s="985"/>
      <c r="Q57" s="1548"/>
      <c r="R57" s="972"/>
      <c r="S57" s="973"/>
      <c r="T57" s="1543"/>
      <c r="U57" s="1337"/>
      <c r="V57" s="339"/>
      <c r="W57" s="339"/>
      <c r="X57" s="339"/>
      <c r="Y57" s="340">
        <v>5.2499999999999998E-2</v>
      </c>
      <c r="Z57" s="77">
        <f>IF(H57="ja",Y57,0)</f>
        <v>0</v>
      </c>
      <c r="AA57" s="78"/>
      <c r="AB57" s="78">
        <f t="shared" si="0"/>
        <v>0</v>
      </c>
      <c r="AC57" s="339"/>
      <c r="AD57" s="341"/>
      <c r="AE57" s="341"/>
      <c r="AF57" s="339"/>
      <c r="AG57" s="339"/>
      <c r="AH57" s="339"/>
      <c r="AI57" s="339"/>
      <c r="AJ57" s="339"/>
      <c r="AK57" s="339"/>
      <c r="AL57" s="339"/>
    </row>
    <row r="58" spans="1:38" s="70" customFormat="1" ht="15" customHeight="1" thickBot="1" x14ac:dyDescent="0.3">
      <c r="A58" s="1516"/>
      <c r="B58" s="1493"/>
      <c r="C58" s="1317"/>
      <c r="D58" s="1317"/>
      <c r="E58" s="1317"/>
      <c r="F58" s="1317"/>
      <c r="G58" s="1494"/>
      <c r="H58" s="1584"/>
      <c r="I58" s="1017"/>
      <c r="J58" s="1029"/>
      <c r="K58" s="1692"/>
      <c r="L58" s="984"/>
      <c r="M58" s="985"/>
      <c r="N58" s="985"/>
      <c r="O58" s="985"/>
      <c r="P58" s="985"/>
      <c r="Q58" s="1548" t="s">
        <v>100</v>
      </c>
      <c r="R58" s="972"/>
      <c r="S58" s="973"/>
      <c r="T58" s="1543"/>
      <c r="U58" s="1337"/>
      <c r="V58" s="72">
        <f>IF(AND(Q58="ja",R58=""),1,0)</f>
        <v>0</v>
      </c>
      <c r="W58" s="339"/>
      <c r="X58" s="339"/>
      <c r="Y58" s="340"/>
      <c r="Z58" s="207"/>
      <c r="AA58" s="78"/>
      <c r="AB58" s="78">
        <f t="shared" si="0"/>
        <v>0</v>
      </c>
      <c r="AC58" s="339"/>
      <c r="AD58" s="341"/>
      <c r="AE58" s="341"/>
      <c r="AF58" s="339"/>
      <c r="AG58" s="339"/>
      <c r="AH58" s="339"/>
      <c r="AI58" s="339"/>
      <c r="AJ58" s="339"/>
      <c r="AK58" s="339"/>
      <c r="AL58" s="339"/>
    </row>
    <row r="59" spans="1:38" s="70" customFormat="1" ht="15" customHeight="1" thickBot="1" x14ac:dyDescent="0.3">
      <c r="A59" s="1516"/>
      <c r="B59" s="1493"/>
      <c r="C59" s="1317"/>
      <c r="D59" s="1317"/>
      <c r="E59" s="1317"/>
      <c r="F59" s="1317"/>
      <c r="G59" s="1494"/>
      <c r="H59" s="1584"/>
      <c r="I59" s="1017"/>
      <c r="J59" s="1029"/>
      <c r="K59" s="1692"/>
      <c r="L59" s="984"/>
      <c r="M59" s="985"/>
      <c r="N59" s="985"/>
      <c r="O59" s="985"/>
      <c r="P59" s="985"/>
      <c r="Q59" s="1548"/>
      <c r="R59" s="972"/>
      <c r="S59" s="973"/>
      <c r="T59" s="1543"/>
      <c r="U59" s="1337"/>
      <c r="V59" s="339"/>
      <c r="W59" s="339"/>
      <c r="X59" s="339"/>
      <c r="Y59" s="340"/>
      <c r="Z59" s="207"/>
      <c r="AA59" s="78"/>
      <c r="AB59" s="78">
        <f t="shared" si="0"/>
        <v>0</v>
      </c>
      <c r="AC59" s="339"/>
      <c r="AD59" s="341"/>
      <c r="AE59" s="341"/>
      <c r="AF59" s="339"/>
      <c r="AG59" s="339"/>
      <c r="AH59" s="339"/>
      <c r="AI59" s="339"/>
      <c r="AJ59" s="339"/>
      <c r="AK59" s="339"/>
      <c r="AL59" s="339"/>
    </row>
    <row r="60" spans="1:38" s="70" customFormat="1" ht="15" customHeight="1" thickBot="1" x14ac:dyDescent="0.3">
      <c r="A60" s="1516"/>
      <c r="B60" s="1493"/>
      <c r="C60" s="1317"/>
      <c r="D60" s="1317"/>
      <c r="E60" s="1317"/>
      <c r="F60" s="1317"/>
      <c r="G60" s="1494"/>
      <c r="H60" s="1584"/>
      <c r="I60" s="1017"/>
      <c r="J60" s="1029"/>
      <c r="K60" s="1692"/>
      <c r="L60" s="984"/>
      <c r="M60" s="985"/>
      <c r="N60" s="985"/>
      <c r="O60" s="985"/>
      <c r="P60" s="985"/>
      <c r="Q60" s="1548"/>
      <c r="R60" s="972"/>
      <c r="S60" s="973"/>
      <c r="T60" s="1543"/>
      <c r="U60" s="1337"/>
      <c r="V60" s="339"/>
      <c r="W60" s="339"/>
      <c r="X60" s="339"/>
      <c r="Y60" s="340"/>
      <c r="Z60" s="207"/>
      <c r="AA60" s="78"/>
      <c r="AB60" s="78">
        <f t="shared" si="0"/>
        <v>0</v>
      </c>
      <c r="AC60" s="339"/>
      <c r="AD60" s="341"/>
      <c r="AE60" s="341"/>
      <c r="AF60" s="339"/>
      <c r="AG60" s="339"/>
      <c r="AH60" s="339"/>
      <c r="AI60" s="339"/>
      <c r="AJ60" s="339"/>
      <c r="AK60" s="339"/>
      <c r="AL60" s="339"/>
    </row>
    <row r="61" spans="1:38" ht="15" customHeight="1" thickBot="1" x14ac:dyDescent="0.3">
      <c r="A61" s="1516"/>
      <c r="B61" s="1493"/>
      <c r="C61" s="1317"/>
      <c r="D61" s="1317"/>
      <c r="E61" s="1317"/>
      <c r="F61" s="1317"/>
      <c r="G61" s="1494"/>
      <c r="H61" s="1584"/>
      <c r="I61" s="1017"/>
      <c r="J61" s="1029"/>
      <c r="K61" s="1692"/>
      <c r="L61" s="984"/>
      <c r="M61" s="985"/>
      <c r="N61" s="985"/>
      <c r="O61" s="985"/>
      <c r="P61" s="985"/>
      <c r="Q61" s="1548" t="s">
        <v>100</v>
      </c>
      <c r="R61" s="972"/>
      <c r="S61" s="973"/>
      <c r="T61" s="1543"/>
      <c r="U61" s="1337"/>
      <c r="V61" s="72">
        <f>IF(AND(Q61="ja",R61=""),1,0)</f>
        <v>0</v>
      </c>
      <c r="Y61" s="340"/>
      <c r="Z61" s="77"/>
      <c r="AA61" s="78"/>
      <c r="AB61" s="78">
        <f t="shared" si="0"/>
        <v>0</v>
      </c>
    </row>
    <row r="62" spans="1:38" ht="15" customHeight="1" thickBot="1" x14ac:dyDescent="0.3">
      <c r="A62" s="1516"/>
      <c r="B62" s="1493"/>
      <c r="C62" s="1317"/>
      <c r="D62" s="1317"/>
      <c r="E62" s="1317"/>
      <c r="F62" s="1317"/>
      <c r="G62" s="1494"/>
      <c r="H62" s="1584"/>
      <c r="I62" s="1017"/>
      <c r="J62" s="1029"/>
      <c r="K62" s="1692"/>
      <c r="L62" s="984"/>
      <c r="M62" s="985"/>
      <c r="N62" s="985"/>
      <c r="O62" s="985"/>
      <c r="P62" s="985"/>
      <c r="Q62" s="1548"/>
      <c r="R62" s="972"/>
      <c r="S62" s="973"/>
      <c r="T62" s="1543"/>
      <c r="U62" s="1337"/>
      <c r="Y62" s="340"/>
      <c r="Z62" s="77"/>
      <c r="AA62" s="78"/>
      <c r="AB62" s="78">
        <f t="shared" si="0"/>
        <v>0</v>
      </c>
    </row>
    <row r="63" spans="1:38" ht="15" customHeight="1" thickBot="1" x14ac:dyDescent="0.3">
      <c r="A63" s="1516"/>
      <c r="B63" s="1493"/>
      <c r="C63" s="1317"/>
      <c r="D63" s="1317"/>
      <c r="E63" s="1317"/>
      <c r="F63" s="1317"/>
      <c r="G63" s="1494"/>
      <c r="H63" s="1584"/>
      <c r="I63" s="1017"/>
      <c r="J63" s="1029"/>
      <c r="K63" s="1692"/>
      <c r="L63" s="984"/>
      <c r="M63" s="985"/>
      <c r="N63" s="985"/>
      <c r="O63" s="985"/>
      <c r="P63" s="985"/>
      <c r="Q63" s="1548"/>
      <c r="R63" s="972"/>
      <c r="S63" s="973"/>
      <c r="T63" s="1543"/>
      <c r="U63" s="1337"/>
      <c r="Y63" s="340"/>
      <c r="Z63" s="77"/>
      <c r="AA63" s="78"/>
      <c r="AB63" s="78">
        <f t="shared" si="0"/>
        <v>0</v>
      </c>
    </row>
    <row r="64" spans="1:38" ht="22.6" customHeight="1" thickBot="1" x14ac:dyDescent="0.3">
      <c r="A64" s="1516"/>
      <c r="B64" s="1490"/>
      <c r="C64" s="1491"/>
      <c r="D64" s="1491"/>
      <c r="E64" s="1491"/>
      <c r="F64" s="1491"/>
      <c r="G64" s="1492"/>
      <c r="H64" s="1585"/>
      <c r="I64" s="1017"/>
      <c r="J64" s="1029"/>
      <c r="K64" s="1692"/>
      <c r="L64" s="984"/>
      <c r="M64" s="985"/>
      <c r="N64" s="985"/>
      <c r="O64" s="985"/>
      <c r="P64" s="985"/>
      <c r="Q64" s="1548" t="s">
        <v>100</v>
      </c>
      <c r="R64" s="972"/>
      <c r="S64" s="973"/>
      <c r="T64" s="1543"/>
      <c r="U64" s="1337"/>
      <c r="V64" s="72">
        <f>IF(AND(Q64="ja",R64=""),1,0)</f>
        <v>0</v>
      </c>
      <c r="Y64" s="340"/>
      <c r="Z64" s="77"/>
      <c r="AA64" s="78"/>
      <c r="AB64" s="78">
        <f t="shared" si="0"/>
        <v>0</v>
      </c>
    </row>
    <row r="65" spans="1:28" ht="15" customHeight="1" thickBot="1" x14ac:dyDescent="0.3">
      <c r="A65" s="1516"/>
      <c r="B65" s="1487" t="s">
        <v>386</v>
      </c>
      <c r="C65" s="1488"/>
      <c r="D65" s="1488"/>
      <c r="E65" s="1488"/>
      <c r="F65" s="1488"/>
      <c r="G65" s="1489"/>
      <c r="H65" s="981" t="s">
        <v>100</v>
      </c>
      <c r="I65" s="1017"/>
      <c r="J65" s="1029"/>
      <c r="K65" s="1692"/>
      <c r="L65" s="984"/>
      <c r="M65" s="985"/>
      <c r="N65" s="985"/>
      <c r="O65" s="985"/>
      <c r="P65" s="985"/>
      <c r="Q65" s="1548"/>
      <c r="R65" s="972"/>
      <c r="S65" s="973"/>
      <c r="T65" s="1543"/>
      <c r="U65" s="1337"/>
      <c r="V65" s="339"/>
      <c r="Y65" s="74">
        <v>0.01</v>
      </c>
      <c r="Z65" s="77">
        <f>IF(H65="ja",Y65,0)</f>
        <v>0</v>
      </c>
      <c r="AA65" s="78"/>
      <c r="AB65" s="78">
        <f t="shared" si="0"/>
        <v>0</v>
      </c>
    </row>
    <row r="66" spans="1:28" ht="15" customHeight="1" thickBot="1" x14ac:dyDescent="0.3">
      <c r="A66" s="1516"/>
      <c r="B66" s="1490"/>
      <c r="C66" s="1491"/>
      <c r="D66" s="1491"/>
      <c r="E66" s="1491"/>
      <c r="F66" s="1491"/>
      <c r="G66" s="1492"/>
      <c r="H66" s="983"/>
      <c r="I66" s="1017"/>
      <c r="J66" s="1029"/>
      <c r="K66" s="1692"/>
      <c r="L66" s="984"/>
      <c r="M66" s="985"/>
      <c r="N66" s="985"/>
      <c r="O66" s="985"/>
      <c r="P66" s="985"/>
      <c r="Q66" s="1548"/>
      <c r="R66" s="972"/>
      <c r="S66" s="973"/>
      <c r="T66" s="1543"/>
      <c r="U66" s="1337"/>
      <c r="V66" s="339"/>
      <c r="Y66" s="74"/>
      <c r="Z66" s="77"/>
      <c r="AA66" s="78"/>
      <c r="AB66" s="78">
        <f t="shared" si="0"/>
        <v>0</v>
      </c>
    </row>
    <row r="67" spans="1:28" ht="15" customHeight="1" thickBot="1" x14ac:dyDescent="0.3">
      <c r="A67" s="1516"/>
      <c r="B67" s="1487" t="s">
        <v>387</v>
      </c>
      <c r="C67" s="1488"/>
      <c r="D67" s="1488"/>
      <c r="E67" s="1488"/>
      <c r="F67" s="1488"/>
      <c r="G67" s="1489"/>
      <c r="H67" s="981" t="s">
        <v>100</v>
      </c>
      <c r="I67" s="1017"/>
      <c r="J67" s="1029"/>
      <c r="K67" s="1692"/>
      <c r="L67" s="984"/>
      <c r="M67" s="985"/>
      <c r="N67" s="985"/>
      <c r="O67" s="985"/>
      <c r="P67" s="985"/>
      <c r="Q67" s="1548" t="s">
        <v>100</v>
      </c>
      <c r="R67" s="972"/>
      <c r="S67" s="973"/>
      <c r="T67" s="1543"/>
      <c r="U67" s="1337"/>
      <c r="V67" s="72">
        <f>IF(AND(Q67="ja",R67=""),1,0)</f>
        <v>0</v>
      </c>
      <c r="Y67" s="74">
        <v>8.0000000000000002E-3</v>
      </c>
      <c r="Z67" s="77">
        <f>IF(H67="ja",Y67,0)</f>
        <v>0</v>
      </c>
      <c r="AA67" s="78"/>
      <c r="AB67" s="78">
        <f t="shared" si="0"/>
        <v>0</v>
      </c>
    </row>
    <row r="68" spans="1:28" ht="15" customHeight="1" thickBot="1" x14ac:dyDescent="0.3">
      <c r="A68" s="1516"/>
      <c r="B68" s="1493"/>
      <c r="C68" s="1317"/>
      <c r="D68" s="1317"/>
      <c r="E68" s="1317"/>
      <c r="F68" s="1317"/>
      <c r="G68" s="1494"/>
      <c r="H68" s="982"/>
      <c r="I68" s="1017"/>
      <c r="J68" s="1029"/>
      <c r="K68" s="1692"/>
      <c r="L68" s="984"/>
      <c r="M68" s="985"/>
      <c r="N68" s="985"/>
      <c r="O68" s="985"/>
      <c r="P68" s="985"/>
      <c r="Q68" s="1548"/>
      <c r="R68" s="972"/>
      <c r="S68" s="973"/>
      <c r="T68" s="1543"/>
      <c r="U68" s="1337"/>
      <c r="Y68" s="74"/>
      <c r="Z68" s="77"/>
      <c r="AA68" s="78"/>
      <c r="AB68" s="78">
        <f t="shared" si="0"/>
        <v>0</v>
      </c>
    </row>
    <row r="69" spans="1:28" ht="15" customHeight="1" thickBot="1" x14ac:dyDescent="0.3">
      <c r="A69" s="1516"/>
      <c r="B69" s="1493"/>
      <c r="C69" s="1317"/>
      <c r="D69" s="1317"/>
      <c r="E69" s="1317"/>
      <c r="F69" s="1317"/>
      <c r="G69" s="1494"/>
      <c r="H69" s="982"/>
      <c r="I69" s="1017"/>
      <c r="J69" s="1029"/>
      <c r="K69" s="1692"/>
      <c r="L69" s="984"/>
      <c r="M69" s="985"/>
      <c r="N69" s="985"/>
      <c r="O69" s="985"/>
      <c r="P69" s="985"/>
      <c r="Q69" s="1548"/>
      <c r="R69" s="972"/>
      <c r="S69" s="973"/>
      <c r="T69" s="1543"/>
      <c r="U69" s="1337"/>
      <c r="Y69" s="74"/>
      <c r="Z69" s="77"/>
      <c r="AA69" s="78"/>
      <c r="AB69" s="78">
        <f t="shared" si="0"/>
        <v>0</v>
      </c>
    </row>
    <row r="70" spans="1:28" ht="15" customHeight="1" thickBot="1" x14ac:dyDescent="0.3">
      <c r="A70" s="1516"/>
      <c r="B70" s="1490"/>
      <c r="C70" s="1491"/>
      <c r="D70" s="1491"/>
      <c r="E70" s="1491"/>
      <c r="F70" s="1491"/>
      <c r="G70" s="1492"/>
      <c r="H70" s="983"/>
      <c r="I70" s="1017"/>
      <c r="J70" s="1029"/>
      <c r="K70" s="1692"/>
      <c r="L70" s="984"/>
      <c r="M70" s="985"/>
      <c r="N70" s="985"/>
      <c r="O70" s="985"/>
      <c r="P70" s="985"/>
      <c r="Q70" s="1548" t="s">
        <v>100</v>
      </c>
      <c r="R70" s="972"/>
      <c r="S70" s="973"/>
      <c r="T70" s="1543"/>
      <c r="U70" s="1337"/>
      <c r="V70" s="72">
        <f>IF(AND(Q70="ja",R70=""),1,0)</f>
        <v>0</v>
      </c>
      <c r="Y70" s="74"/>
      <c r="Z70" s="77"/>
      <c r="AA70" s="78"/>
      <c r="AB70" s="78">
        <f t="shared" si="0"/>
        <v>0</v>
      </c>
    </row>
    <row r="71" spans="1:28" ht="15" customHeight="1" thickBot="1" x14ac:dyDescent="0.3">
      <c r="A71" s="1516"/>
      <c r="B71" s="1487" t="s">
        <v>388</v>
      </c>
      <c r="C71" s="1488"/>
      <c r="D71" s="1488"/>
      <c r="E71" s="1488"/>
      <c r="F71" s="1488"/>
      <c r="G71" s="1489"/>
      <c r="H71" s="981" t="s">
        <v>100</v>
      </c>
      <c r="I71" s="1017"/>
      <c r="J71" s="1029"/>
      <c r="K71" s="1692"/>
      <c r="L71" s="984"/>
      <c r="M71" s="985"/>
      <c r="N71" s="985"/>
      <c r="O71" s="985"/>
      <c r="P71" s="985"/>
      <c r="Q71" s="1548"/>
      <c r="R71" s="972"/>
      <c r="S71" s="973"/>
      <c r="T71" s="1543"/>
      <c r="U71" s="1337"/>
      <c r="V71" s="339"/>
      <c r="Y71" s="74">
        <v>2E-3</v>
      </c>
      <c r="Z71" s="77">
        <f>IF(H71="ja",Y71,0)</f>
        <v>0</v>
      </c>
      <c r="AA71" s="78"/>
      <c r="AB71" s="78">
        <f t="shared" si="0"/>
        <v>0</v>
      </c>
    </row>
    <row r="72" spans="1:28" ht="15" customHeight="1" thickBot="1" x14ac:dyDescent="0.3">
      <c r="A72" s="1516"/>
      <c r="B72" s="1493"/>
      <c r="C72" s="1317"/>
      <c r="D72" s="1317"/>
      <c r="E72" s="1317"/>
      <c r="F72" s="1317"/>
      <c r="G72" s="1494"/>
      <c r="H72" s="982"/>
      <c r="I72" s="1017"/>
      <c r="J72" s="1029"/>
      <c r="K72" s="1692"/>
      <c r="L72" s="984"/>
      <c r="M72" s="985"/>
      <c r="N72" s="985"/>
      <c r="O72" s="985"/>
      <c r="P72" s="985"/>
      <c r="Q72" s="1548"/>
      <c r="R72" s="972"/>
      <c r="S72" s="973"/>
      <c r="T72" s="1543"/>
      <c r="U72" s="1337"/>
      <c r="V72" s="339"/>
      <c r="Y72" s="74"/>
      <c r="Z72" s="77"/>
      <c r="AA72" s="78"/>
      <c r="AB72" s="78">
        <f t="shared" si="0"/>
        <v>0</v>
      </c>
    </row>
    <row r="73" spans="1:28" ht="15" customHeight="1" thickBot="1" x14ac:dyDescent="0.3">
      <c r="A73" s="1516"/>
      <c r="B73" s="1490"/>
      <c r="C73" s="1491"/>
      <c r="D73" s="1491"/>
      <c r="E73" s="1491"/>
      <c r="F73" s="1491"/>
      <c r="G73" s="1492"/>
      <c r="H73" s="983"/>
      <c r="I73" s="1017"/>
      <c r="J73" s="1029"/>
      <c r="K73" s="1692"/>
      <c r="L73" s="984"/>
      <c r="M73" s="985"/>
      <c r="N73" s="985"/>
      <c r="O73" s="985"/>
      <c r="P73" s="985"/>
      <c r="Q73" s="1548" t="s">
        <v>100</v>
      </c>
      <c r="R73" s="972"/>
      <c r="S73" s="973"/>
      <c r="T73" s="1543"/>
      <c r="U73" s="1337"/>
      <c r="V73" s="72">
        <f>IF(AND(Q73="ja",R73=""),1,0)</f>
        <v>0</v>
      </c>
      <c r="Y73" s="74"/>
      <c r="Z73" s="77"/>
      <c r="AA73" s="78"/>
      <c r="AB73" s="78">
        <f t="shared" si="0"/>
        <v>0</v>
      </c>
    </row>
    <row r="74" spans="1:28" ht="15" customHeight="1" thickBot="1" x14ac:dyDescent="0.3">
      <c r="A74" s="1516"/>
      <c r="B74" s="1487" t="s">
        <v>389</v>
      </c>
      <c r="C74" s="1488"/>
      <c r="D74" s="1488"/>
      <c r="E74" s="1488"/>
      <c r="F74" s="1488"/>
      <c r="G74" s="1489"/>
      <c r="H74" s="981" t="s">
        <v>100</v>
      </c>
      <c r="I74" s="1017"/>
      <c r="J74" s="1029"/>
      <c r="K74" s="1692"/>
      <c r="L74" s="984"/>
      <c r="M74" s="985"/>
      <c r="N74" s="985"/>
      <c r="O74" s="985"/>
      <c r="P74" s="985"/>
      <c r="Q74" s="1548"/>
      <c r="R74" s="972"/>
      <c r="S74" s="973"/>
      <c r="T74" s="1543"/>
      <c r="U74" s="1337"/>
      <c r="Y74" s="74">
        <v>7.0000000000000001E-3</v>
      </c>
      <c r="Z74" s="77">
        <f>IF(H74="ja",Y74,0)</f>
        <v>0</v>
      </c>
      <c r="AA74" s="78"/>
      <c r="AB74" s="78">
        <f t="shared" si="0"/>
        <v>0</v>
      </c>
    </row>
    <row r="75" spans="1:28" ht="15" customHeight="1" thickBot="1" x14ac:dyDescent="0.3">
      <c r="A75" s="1516"/>
      <c r="B75" s="1490"/>
      <c r="C75" s="1491"/>
      <c r="D75" s="1491"/>
      <c r="E75" s="1491"/>
      <c r="F75" s="1491"/>
      <c r="G75" s="1492"/>
      <c r="H75" s="983"/>
      <c r="I75" s="1017"/>
      <c r="J75" s="1029"/>
      <c r="K75" s="1692"/>
      <c r="L75" s="984"/>
      <c r="M75" s="985"/>
      <c r="N75" s="985"/>
      <c r="O75" s="985"/>
      <c r="P75" s="985"/>
      <c r="Q75" s="1548"/>
      <c r="R75" s="972"/>
      <c r="S75" s="973"/>
      <c r="T75" s="1543"/>
      <c r="U75" s="1337"/>
      <c r="Y75" s="74"/>
      <c r="Z75" s="77"/>
      <c r="AA75" s="78"/>
      <c r="AB75" s="78">
        <f t="shared" si="0"/>
        <v>0</v>
      </c>
    </row>
    <row r="76" spans="1:28" ht="15" customHeight="1" thickBot="1" x14ac:dyDescent="0.3">
      <c r="A76" s="1516"/>
      <c r="B76" s="1487" t="s">
        <v>171</v>
      </c>
      <c r="C76" s="1488"/>
      <c r="D76" s="1488"/>
      <c r="E76" s="1488"/>
      <c r="F76" s="1488"/>
      <c r="G76" s="1489"/>
      <c r="H76" s="981" t="s">
        <v>100</v>
      </c>
      <c r="I76" s="1017"/>
      <c r="J76" s="1029"/>
      <c r="K76" s="1692"/>
      <c r="L76" s="1539"/>
      <c r="M76" s="1540"/>
      <c r="N76" s="1540"/>
      <c r="O76" s="1540"/>
      <c r="P76" s="1540"/>
      <c r="Q76" s="1548" t="s">
        <v>100</v>
      </c>
      <c r="R76" s="972"/>
      <c r="S76" s="973"/>
      <c r="T76" s="1543"/>
      <c r="U76" s="1337"/>
      <c r="V76" s="72">
        <f>IF(AND(Q76="ja",R76=""),1,0)</f>
        <v>0</v>
      </c>
      <c r="Y76" s="74">
        <v>2.5000000000000001E-3</v>
      </c>
      <c r="Z76" s="77">
        <f>IF(H76="ja",Y76,0)</f>
        <v>0</v>
      </c>
      <c r="AA76" s="78"/>
      <c r="AB76" s="78">
        <f t="shared" si="0"/>
        <v>0</v>
      </c>
    </row>
    <row r="77" spans="1:28" ht="15" customHeight="1" thickBot="1" x14ac:dyDescent="0.3">
      <c r="A77" s="1516"/>
      <c r="B77" s="1490"/>
      <c r="C77" s="1491"/>
      <c r="D77" s="1491"/>
      <c r="E77" s="1491"/>
      <c r="F77" s="1491"/>
      <c r="G77" s="1492"/>
      <c r="H77" s="983"/>
      <c r="I77" s="1018"/>
      <c r="J77" s="1031"/>
      <c r="K77" s="1693"/>
      <c r="L77" s="1559"/>
      <c r="M77" s="1560"/>
      <c r="N77" s="1560"/>
      <c r="O77" s="1560"/>
      <c r="P77" s="1560"/>
      <c r="Q77" s="1548"/>
      <c r="R77" s="974"/>
      <c r="S77" s="975"/>
      <c r="T77" s="1543"/>
      <c r="U77" s="1337"/>
      <c r="Y77" s="74"/>
      <c r="Z77" s="77"/>
      <c r="AA77" s="78"/>
      <c r="AB77" s="78">
        <f t="shared" si="0"/>
        <v>0</v>
      </c>
    </row>
    <row r="78" spans="1:28" ht="15.95" customHeight="1" thickBot="1" x14ac:dyDescent="0.3">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552"/>
      <c r="S78" s="1553"/>
      <c r="T78" s="1567"/>
      <c r="U78" s="1610"/>
      <c r="Y78" s="74"/>
      <c r="Z78" s="152">
        <f>SUM(Z55:Z76)</f>
        <v>0</v>
      </c>
      <c r="AA78" s="77"/>
      <c r="AB78" s="78">
        <f t="shared" si="0"/>
        <v>0</v>
      </c>
    </row>
    <row r="79" spans="1:28" ht="14.55" thickBot="1" x14ac:dyDescent="0.3">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78">
        <f t="shared" si="0"/>
        <v>0</v>
      </c>
    </row>
    <row r="80" spans="1:28" ht="14.55" thickBot="1" x14ac:dyDescent="0.3">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78">
        <f t="shared" si="0"/>
        <v>0</v>
      </c>
    </row>
    <row r="81" spans="1:28"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78">
        <f t="shared" si="0"/>
        <v>0</v>
      </c>
    </row>
    <row r="82" spans="1:28" ht="15" customHeight="1" thickBot="1" x14ac:dyDescent="0.3">
      <c r="A82" s="1516"/>
      <c r="B82" s="1497" t="s">
        <v>391</v>
      </c>
      <c r="C82" s="1498"/>
      <c r="D82" s="1498"/>
      <c r="E82" s="1498"/>
      <c r="F82" s="1498"/>
      <c r="G82" s="1499"/>
      <c r="H82" s="1194" t="s">
        <v>100</v>
      </c>
      <c r="I82" s="1016">
        <f>Z115</f>
        <v>0</v>
      </c>
      <c r="J82" s="1027">
        <f>I78*I82</f>
        <v>0</v>
      </c>
      <c r="K82" s="1691"/>
      <c r="L82" s="987" t="s">
        <v>392</v>
      </c>
      <c r="M82" s="988"/>
      <c r="N82" s="988"/>
      <c r="O82" s="988"/>
      <c r="P82" s="988"/>
      <c r="Q82" s="1548" t="s">
        <v>100</v>
      </c>
      <c r="R82" s="972"/>
      <c r="S82" s="973"/>
      <c r="T82" s="1257" t="str">
        <f>IFERROR(IF((VLOOKUP(U82,Überblick!$M$125:$N$133,2))="ja","ja","nein"),"")</f>
        <v/>
      </c>
      <c r="U82" s="1337"/>
      <c r="V82" s="72">
        <f>IF(AND(Q82="ja",R82=""),1,0)</f>
        <v>0</v>
      </c>
      <c r="Y82" s="74">
        <v>5.5E-2</v>
      </c>
      <c r="Z82" s="77">
        <f>IF(H82="ja",Y82,0)</f>
        <v>0</v>
      </c>
      <c r="AA82" s="78"/>
      <c r="AB82" s="78">
        <f t="shared" si="0"/>
        <v>0</v>
      </c>
    </row>
    <row r="83" spans="1:28" ht="15" customHeight="1" thickBot="1" x14ac:dyDescent="0.3">
      <c r="A83" s="1516"/>
      <c r="B83" s="1493"/>
      <c r="C83" s="1317"/>
      <c r="D83" s="1317"/>
      <c r="E83" s="1317"/>
      <c r="F83" s="1317"/>
      <c r="G83" s="1494"/>
      <c r="H83" s="982"/>
      <c r="I83" s="1017"/>
      <c r="J83" s="1029"/>
      <c r="K83" s="1692"/>
      <c r="L83" s="984"/>
      <c r="M83" s="985"/>
      <c r="N83" s="985"/>
      <c r="O83" s="985"/>
      <c r="P83" s="985"/>
      <c r="Q83" s="1548"/>
      <c r="R83" s="972"/>
      <c r="S83" s="973"/>
      <c r="T83" s="1258"/>
      <c r="U83" s="1337"/>
      <c r="V83" s="339"/>
      <c r="Y83" s="74"/>
      <c r="Z83" s="77"/>
      <c r="AA83" s="78"/>
      <c r="AB83" s="78">
        <f t="shared" si="0"/>
        <v>0</v>
      </c>
    </row>
    <row r="84" spans="1:28" ht="15" customHeight="1" thickBot="1" x14ac:dyDescent="0.3">
      <c r="A84" s="1516"/>
      <c r="B84" s="1493"/>
      <c r="C84" s="1317"/>
      <c r="D84" s="1317"/>
      <c r="E84" s="1317"/>
      <c r="F84" s="1317"/>
      <c r="G84" s="1494"/>
      <c r="H84" s="982"/>
      <c r="I84" s="1017"/>
      <c r="J84" s="1029"/>
      <c r="K84" s="1692"/>
      <c r="L84" s="984"/>
      <c r="M84" s="985"/>
      <c r="N84" s="985"/>
      <c r="O84" s="985"/>
      <c r="P84" s="985"/>
      <c r="Q84" s="1548"/>
      <c r="R84" s="972"/>
      <c r="S84" s="973"/>
      <c r="T84" s="1258"/>
      <c r="U84" s="1337"/>
      <c r="V84" s="339"/>
      <c r="Y84" s="74"/>
      <c r="Z84" s="77"/>
      <c r="AA84" s="78"/>
      <c r="AB84" s="78">
        <f t="shared" si="0"/>
        <v>0</v>
      </c>
    </row>
    <row r="85" spans="1:28" ht="15" customHeight="1" thickBot="1" x14ac:dyDescent="0.3">
      <c r="A85" s="1516"/>
      <c r="B85" s="1493"/>
      <c r="C85" s="1317"/>
      <c r="D85" s="1317"/>
      <c r="E85" s="1317"/>
      <c r="F85" s="1317"/>
      <c r="G85" s="1494"/>
      <c r="H85" s="982"/>
      <c r="I85" s="1017"/>
      <c r="J85" s="1029"/>
      <c r="K85" s="1692"/>
      <c r="L85" s="984" t="s">
        <v>393</v>
      </c>
      <c r="M85" s="985"/>
      <c r="N85" s="985"/>
      <c r="O85" s="985"/>
      <c r="P85" s="985"/>
      <c r="Q85" s="1548" t="s">
        <v>100</v>
      </c>
      <c r="R85" s="972"/>
      <c r="S85" s="973"/>
      <c r="T85" s="1258"/>
      <c r="U85" s="1337"/>
      <c r="V85" s="72">
        <f>IF(AND(Q85="ja",R85=""),1,0)</f>
        <v>0</v>
      </c>
      <c r="Y85" s="74"/>
      <c r="Z85" s="77"/>
      <c r="AA85" s="78"/>
      <c r="AB85" s="78">
        <f t="shared" si="0"/>
        <v>0</v>
      </c>
    </row>
    <row r="86" spans="1:28" ht="15" customHeight="1" thickBot="1" x14ac:dyDescent="0.3">
      <c r="A86" s="1516"/>
      <c r="B86" s="1490"/>
      <c r="C86" s="1491"/>
      <c r="D86" s="1491"/>
      <c r="E86" s="1491"/>
      <c r="F86" s="1491"/>
      <c r="G86" s="1492"/>
      <c r="H86" s="983"/>
      <c r="I86" s="1017"/>
      <c r="J86" s="1029"/>
      <c r="K86" s="1692"/>
      <c r="L86" s="984"/>
      <c r="M86" s="985"/>
      <c r="N86" s="985"/>
      <c r="O86" s="985"/>
      <c r="P86" s="985"/>
      <c r="Q86" s="1548"/>
      <c r="R86" s="972"/>
      <c r="S86" s="973"/>
      <c r="T86" s="1258"/>
      <c r="U86" s="1337"/>
      <c r="Y86" s="74"/>
      <c r="Z86" s="77"/>
      <c r="AA86" s="78"/>
      <c r="AB86" s="78">
        <f t="shared" si="0"/>
        <v>0</v>
      </c>
    </row>
    <row r="87" spans="1:28" ht="15" customHeight="1" thickBot="1" x14ac:dyDescent="0.3">
      <c r="A87" s="1516"/>
      <c r="B87" s="1103" t="s">
        <v>394</v>
      </c>
      <c r="C87" s="1104"/>
      <c r="D87" s="1104"/>
      <c r="E87" s="1104"/>
      <c r="F87" s="1104"/>
      <c r="G87" s="1105"/>
      <c r="H87" s="314" t="s">
        <v>100</v>
      </c>
      <c r="I87" s="1017"/>
      <c r="J87" s="1029"/>
      <c r="K87" s="1692"/>
      <c r="L87" s="984"/>
      <c r="M87" s="985"/>
      <c r="N87" s="985"/>
      <c r="O87" s="985"/>
      <c r="P87" s="985"/>
      <c r="Q87" s="1548"/>
      <c r="R87" s="972"/>
      <c r="S87" s="973"/>
      <c r="T87" s="1258"/>
      <c r="U87" s="1337"/>
      <c r="Y87" s="74">
        <v>2.5000000000000001E-3</v>
      </c>
      <c r="Z87" s="77">
        <f>IF(H87="ja",Y87,0)</f>
        <v>0</v>
      </c>
      <c r="AA87" s="78"/>
      <c r="AB87" s="78">
        <f t="shared" si="0"/>
        <v>0</v>
      </c>
    </row>
    <row r="88" spans="1:28" ht="15" customHeight="1" thickBot="1" x14ac:dyDescent="0.3">
      <c r="A88" s="1516"/>
      <c r="B88" s="1487" t="s">
        <v>395</v>
      </c>
      <c r="C88" s="1488"/>
      <c r="D88" s="1488"/>
      <c r="E88" s="1488"/>
      <c r="F88" s="1488"/>
      <c r="G88" s="1489"/>
      <c r="H88" s="981" t="s">
        <v>100</v>
      </c>
      <c r="I88" s="1017"/>
      <c r="J88" s="1029"/>
      <c r="K88" s="1692"/>
      <c r="L88" s="984" t="s">
        <v>396</v>
      </c>
      <c r="M88" s="985"/>
      <c r="N88" s="985"/>
      <c r="O88" s="985"/>
      <c r="P88" s="985"/>
      <c r="Q88" s="1548" t="s">
        <v>100</v>
      </c>
      <c r="R88" s="972"/>
      <c r="S88" s="973"/>
      <c r="T88" s="1258"/>
      <c r="U88" s="1337"/>
      <c r="V88" s="72">
        <f>IF(AND(Q88="ja",R88=""),1,0)</f>
        <v>0</v>
      </c>
      <c r="Y88" s="74">
        <v>9.9500000000000005E-2</v>
      </c>
      <c r="Z88" s="77">
        <f>IF(H88="ja",Y88,0)</f>
        <v>0</v>
      </c>
      <c r="AA88" s="78"/>
      <c r="AB88" s="78">
        <f t="shared" si="0"/>
        <v>0</v>
      </c>
    </row>
    <row r="89" spans="1:28" ht="15" customHeight="1" thickBot="1" x14ac:dyDescent="0.3">
      <c r="A89" s="1516"/>
      <c r="B89" s="1493"/>
      <c r="C89" s="1317"/>
      <c r="D89" s="1317"/>
      <c r="E89" s="1317"/>
      <c r="F89" s="1317"/>
      <c r="G89" s="1494"/>
      <c r="H89" s="982"/>
      <c r="I89" s="1017"/>
      <c r="J89" s="1029"/>
      <c r="K89" s="1692"/>
      <c r="L89" s="984"/>
      <c r="M89" s="985"/>
      <c r="N89" s="985"/>
      <c r="O89" s="985"/>
      <c r="P89" s="985"/>
      <c r="Q89" s="1548"/>
      <c r="R89" s="972"/>
      <c r="S89" s="973"/>
      <c r="T89" s="1258"/>
      <c r="U89" s="1337"/>
      <c r="V89" s="339"/>
      <c r="Y89" s="74"/>
      <c r="Z89" s="77"/>
      <c r="AA89" s="78"/>
      <c r="AB89" s="78">
        <f t="shared" si="0"/>
        <v>0</v>
      </c>
    </row>
    <row r="90" spans="1:28" ht="15" customHeight="1" thickBot="1" x14ac:dyDescent="0.3">
      <c r="A90" s="1516"/>
      <c r="B90" s="1493"/>
      <c r="C90" s="1317"/>
      <c r="D90" s="1317"/>
      <c r="E90" s="1317"/>
      <c r="F90" s="1317"/>
      <c r="G90" s="1494"/>
      <c r="H90" s="982"/>
      <c r="I90" s="1017"/>
      <c r="J90" s="1029"/>
      <c r="K90" s="1692"/>
      <c r="L90" s="984"/>
      <c r="M90" s="985"/>
      <c r="N90" s="985"/>
      <c r="O90" s="985"/>
      <c r="P90" s="985"/>
      <c r="Q90" s="1548"/>
      <c r="R90" s="972"/>
      <c r="S90" s="973"/>
      <c r="T90" s="1258"/>
      <c r="U90" s="1337"/>
      <c r="V90" s="339"/>
      <c r="Y90" s="74"/>
      <c r="Z90" s="77"/>
      <c r="AA90" s="78"/>
      <c r="AB90" s="78">
        <f t="shared" si="0"/>
        <v>0</v>
      </c>
    </row>
    <row r="91" spans="1:28" ht="15" customHeight="1" thickBot="1" x14ac:dyDescent="0.3">
      <c r="A91" s="1516"/>
      <c r="B91" s="1493"/>
      <c r="C91" s="1317"/>
      <c r="D91" s="1317"/>
      <c r="E91" s="1317"/>
      <c r="F91" s="1317"/>
      <c r="G91" s="1494"/>
      <c r="H91" s="982"/>
      <c r="I91" s="1017"/>
      <c r="J91" s="1029"/>
      <c r="K91" s="1692"/>
      <c r="L91" s="984" t="s">
        <v>397</v>
      </c>
      <c r="M91" s="985"/>
      <c r="N91" s="985"/>
      <c r="O91" s="985"/>
      <c r="P91" s="985"/>
      <c r="Q91" s="1548" t="s">
        <v>100</v>
      </c>
      <c r="R91" s="972"/>
      <c r="S91" s="973"/>
      <c r="T91" s="1258"/>
      <c r="U91" s="1337"/>
      <c r="V91" s="72">
        <f>IF(AND(Q91="ja",R91=""),1,0)</f>
        <v>0</v>
      </c>
      <c r="Y91" s="74"/>
      <c r="Z91" s="77"/>
      <c r="AA91" s="78"/>
      <c r="AB91" s="78">
        <f t="shared" si="0"/>
        <v>0</v>
      </c>
    </row>
    <row r="92" spans="1:28" ht="15" customHeight="1" thickBot="1" x14ac:dyDescent="0.3">
      <c r="A92" s="1516"/>
      <c r="B92" s="1493"/>
      <c r="C92" s="1317"/>
      <c r="D92" s="1317"/>
      <c r="E92" s="1317"/>
      <c r="F92" s="1317"/>
      <c r="G92" s="1494"/>
      <c r="H92" s="982"/>
      <c r="I92" s="1017"/>
      <c r="J92" s="1029"/>
      <c r="K92" s="1692"/>
      <c r="L92" s="984"/>
      <c r="M92" s="985"/>
      <c r="N92" s="985"/>
      <c r="O92" s="985"/>
      <c r="P92" s="985"/>
      <c r="Q92" s="1548"/>
      <c r="R92" s="972"/>
      <c r="S92" s="973"/>
      <c r="T92" s="1258"/>
      <c r="U92" s="1337"/>
      <c r="Y92" s="74"/>
      <c r="Z92" s="77"/>
      <c r="AA92" s="78"/>
      <c r="AB92" s="78">
        <f t="shared" si="0"/>
        <v>0</v>
      </c>
    </row>
    <row r="93" spans="1:28" ht="15" customHeight="1" thickBot="1" x14ac:dyDescent="0.3">
      <c r="A93" s="1516"/>
      <c r="B93" s="1493"/>
      <c r="C93" s="1317"/>
      <c r="D93" s="1317"/>
      <c r="E93" s="1317"/>
      <c r="F93" s="1317"/>
      <c r="G93" s="1494"/>
      <c r="H93" s="982"/>
      <c r="I93" s="1017"/>
      <c r="J93" s="1029"/>
      <c r="K93" s="1692"/>
      <c r="L93" s="984"/>
      <c r="M93" s="985"/>
      <c r="N93" s="985"/>
      <c r="O93" s="985"/>
      <c r="P93" s="985"/>
      <c r="Q93" s="1548"/>
      <c r="R93" s="972"/>
      <c r="S93" s="973"/>
      <c r="T93" s="1258"/>
      <c r="U93" s="1337"/>
      <c r="Y93" s="74"/>
      <c r="Z93" s="77"/>
      <c r="AA93" s="78"/>
      <c r="AB93" s="78">
        <f t="shared" si="0"/>
        <v>0</v>
      </c>
    </row>
    <row r="94" spans="1:28" ht="15" customHeight="1" thickBot="1" x14ac:dyDescent="0.3">
      <c r="A94" s="1516"/>
      <c r="B94" s="1493"/>
      <c r="C94" s="1317"/>
      <c r="D94" s="1317"/>
      <c r="E94" s="1317"/>
      <c r="F94" s="1317"/>
      <c r="G94" s="1494"/>
      <c r="H94" s="982"/>
      <c r="I94" s="1017"/>
      <c r="J94" s="1029"/>
      <c r="K94" s="1692"/>
      <c r="L94" s="984" t="s">
        <v>192</v>
      </c>
      <c r="M94" s="985"/>
      <c r="N94" s="985"/>
      <c r="O94" s="985"/>
      <c r="P94" s="985"/>
      <c r="Q94" s="1548" t="s">
        <v>100</v>
      </c>
      <c r="R94" s="972"/>
      <c r="S94" s="973"/>
      <c r="T94" s="1258"/>
      <c r="U94" s="1337"/>
      <c r="V94" s="72">
        <f>IF(AND(Q94="ja",R94=""),1,0)</f>
        <v>0</v>
      </c>
      <c r="Y94" s="74"/>
      <c r="Z94" s="77"/>
      <c r="AA94" s="78"/>
      <c r="AB94" s="78">
        <f t="shared" si="0"/>
        <v>0</v>
      </c>
    </row>
    <row r="95" spans="1:28" ht="15" customHeight="1" thickBot="1" x14ac:dyDescent="0.3">
      <c r="A95" s="1516"/>
      <c r="B95" s="1493"/>
      <c r="C95" s="1317"/>
      <c r="D95" s="1317"/>
      <c r="E95" s="1317"/>
      <c r="F95" s="1317"/>
      <c r="G95" s="1494"/>
      <c r="H95" s="982"/>
      <c r="I95" s="1017"/>
      <c r="J95" s="1029"/>
      <c r="K95" s="1692"/>
      <c r="L95" s="984"/>
      <c r="M95" s="985"/>
      <c r="N95" s="985"/>
      <c r="O95" s="985"/>
      <c r="P95" s="985"/>
      <c r="Q95" s="1548"/>
      <c r="R95" s="972"/>
      <c r="S95" s="973"/>
      <c r="T95" s="1258"/>
      <c r="U95" s="1337"/>
      <c r="Y95" s="74"/>
      <c r="Z95" s="77"/>
      <c r="AA95" s="78"/>
      <c r="AB95" s="78">
        <f t="shared" si="0"/>
        <v>0</v>
      </c>
    </row>
    <row r="96" spans="1:28" ht="15" customHeight="1" thickBot="1" x14ac:dyDescent="0.3">
      <c r="A96" s="1516"/>
      <c r="B96" s="1493"/>
      <c r="C96" s="1317"/>
      <c r="D96" s="1317"/>
      <c r="E96" s="1317"/>
      <c r="F96" s="1317"/>
      <c r="G96" s="1494"/>
      <c r="H96" s="982"/>
      <c r="I96" s="1017"/>
      <c r="J96" s="1029"/>
      <c r="K96" s="1692"/>
      <c r="L96" s="984"/>
      <c r="M96" s="985"/>
      <c r="N96" s="985"/>
      <c r="O96" s="985"/>
      <c r="P96" s="985"/>
      <c r="Q96" s="1548"/>
      <c r="R96" s="972"/>
      <c r="S96" s="973"/>
      <c r="T96" s="1258"/>
      <c r="U96" s="1337"/>
      <c r="V96" s="339"/>
      <c r="Y96" s="74"/>
      <c r="Z96" s="77"/>
      <c r="AA96" s="78"/>
      <c r="AB96" s="78">
        <f t="shared" si="0"/>
        <v>0</v>
      </c>
    </row>
    <row r="97" spans="1:28" ht="15" customHeight="1" thickBot="1" x14ac:dyDescent="0.3">
      <c r="A97" s="1516"/>
      <c r="B97" s="1493"/>
      <c r="C97" s="1317"/>
      <c r="D97" s="1317"/>
      <c r="E97" s="1317"/>
      <c r="F97" s="1317"/>
      <c r="G97" s="1494"/>
      <c r="H97" s="982"/>
      <c r="I97" s="1017"/>
      <c r="J97" s="1029"/>
      <c r="K97" s="1692"/>
      <c r="L97" s="984"/>
      <c r="M97" s="985"/>
      <c r="N97" s="985"/>
      <c r="O97" s="985"/>
      <c r="P97" s="985"/>
      <c r="Q97" s="1548"/>
      <c r="R97" s="972"/>
      <c r="S97" s="973"/>
      <c r="T97" s="1258"/>
      <c r="U97" s="1337"/>
      <c r="V97" s="339"/>
      <c r="Y97" s="74"/>
      <c r="Z97" s="77"/>
      <c r="AA97" s="78"/>
      <c r="AB97" s="78">
        <f t="shared" si="0"/>
        <v>0</v>
      </c>
    </row>
    <row r="98" spans="1:28" ht="15" customHeight="1" thickBot="1" x14ac:dyDescent="0.3">
      <c r="A98" s="1516"/>
      <c r="B98" s="1493"/>
      <c r="C98" s="1317"/>
      <c r="D98" s="1317"/>
      <c r="E98" s="1317"/>
      <c r="F98" s="1317"/>
      <c r="G98" s="1494"/>
      <c r="H98" s="982"/>
      <c r="I98" s="1017"/>
      <c r="J98" s="1029"/>
      <c r="K98" s="1692"/>
      <c r="L98" s="984"/>
      <c r="M98" s="985"/>
      <c r="N98" s="985"/>
      <c r="O98" s="985"/>
      <c r="P98" s="985"/>
      <c r="Q98" s="1548" t="s">
        <v>100</v>
      </c>
      <c r="R98" s="972"/>
      <c r="S98" s="973"/>
      <c r="T98" s="1258"/>
      <c r="U98" s="1337"/>
      <c r="V98" s="72">
        <f>IF(AND(Q98="ja",R98=""),1,0)</f>
        <v>0</v>
      </c>
      <c r="Y98" s="74"/>
      <c r="Z98" s="77"/>
      <c r="AA98" s="78"/>
      <c r="AB98" s="78">
        <f t="shared" si="0"/>
        <v>0</v>
      </c>
    </row>
    <row r="99" spans="1:28" ht="15" customHeight="1" thickBot="1" x14ac:dyDescent="0.3">
      <c r="A99" s="1516"/>
      <c r="B99" s="1493"/>
      <c r="C99" s="1317"/>
      <c r="D99" s="1317"/>
      <c r="E99" s="1317"/>
      <c r="F99" s="1317"/>
      <c r="G99" s="1494"/>
      <c r="H99" s="982"/>
      <c r="I99" s="1017"/>
      <c r="J99" s="1029"/>
      <c r="K99" s="1692"/>
      <c r="L99" s="984"/>
      <c r="M99" s="985"/>
      <c r="N99" s="985"/>
      <c r="O99" s="985"/>
      <c r="P99" s="985"/>
      <c r="Q99" s="1548"/>
      <c r="R99" s="972"/>
      <c r="S99" s="973"/>
      <c r="T99" s="1258"/>
      <c r="U99" s="1337"/>
      <c r="Y99" s="74"/>
      <c r="Z99" s="77"/>
      <c r="AA99" s="78"/>
      <c r="AB99" s="78">
        <f t="shared" si="0"/>
        <v>0</v>
      </c>
    </row>
    <row r="100" spans="1:28" ht="15" customHeight="1" thickBot="1" x14ac:dyDescent="0.3">
      <c r="A100" s="1516"/>
      <c r="B100" s="1490"/>
      <c r="C100" s="1491"/>
      <c r="D100" s="1491"/>
      <c r="E100" s="1491"/>
      <c r="F100" s="1491"/>
      <c r="G100" s="1492"/>
      <c r="H100" s="983"/>
      <c r="I100" s="1017"/>
      <c r="J100" s="1029"/>
      <c r="K100" s="1692"/>
      <c r="L100" s="984"/>
      <c r="M100" s="985"/>
      <c r="N100" s="985"/>
      <c r="O100" s="985"/>
      <c r="P100" s="985"/>
      <c r="Q100" s="1548"/>
      <c r="R100" s="972"/>
      <c r="S100" s="973"/>
      <c r="T100" s="1258"/>
      <c r="U100" s="1337"/>
      <c r="Y100" s="74"/>
      <c r="Z100" s="77"/>
      <c r="AA100" s="78"/>
      <c r="AB100" s="78">
        <f t="shared" si="0"/>
        <v>0</v>
      </c>
    </row>
    <row r="101" spans="1:28" ht="15" customHeight="1" thickBot="1" x14ac:dyDescent="0.3">
      <c r="A101" s="1516"/>
      <c r="B101" s="1487" t="s">
        <v>398</v>
      </c>
      <c r="C101" s="1488"/>
      <c r="D101" s="1488"/>
      <c r="E101" s="1488"/>
      <c r="F101" s="1488"/>
      <c r="G101" s="1489"/>
      <c r="H101" s="981" t="s">
        <v>100</v>
      </c>
      <c r="I101" s="1017"/>
      <c r="J101" s="1029"/>
      <c r="K101" s="1692"/>
      <c r="L101" s="984"/>
      <c r="M101" s="985"/>
      <c r="N101" s="985"/>
      <c r="O101" s="985"/>
      <c r="P101" s="985"/>
      <c r="Q101" s="1548" t="s">
        <v>100</v>
      </c>
      <c r="R101" s="972"/>
      <c r="S101" s="973"/>
      <c r="T101" s="1258"/>
      <c r="U101" s="1337"/>
      <c r="V101" s="72">
        <f>IF(AND(Q101="ja",R101=""),1,0)</f>
        <v>0</v>
      </c>
      <c r="Y101" s="74">
        <v>2.5000000000000001E-3</v>
      </c>
      <c r="Z101" s="77">
        <f>IF(H101="ja",Y101,0)</f>
        <v>0</v>
      </c>
      <c r="AA101" s="78"/>
      <c r="AB101" s="78">
        <f t="shared" si="0"/>
        <v>0</v>
      </c>
    </row>
    <row r="102" spans="1:28" ht="15" customHeight="1" thickBot="1" x14ac:dyDescent="0.3">
      <c r="A102" s="1516"/>
      <c r="B102" s="1493"/>
      <c r="C102" s="1317"/>
      <c r="D102" s="1317"/>
      <c r="E102" s="1317"/>
      <c r="F102" s="1317"/>
      <c r="G102" s="1494"/>
      <c r="H102" s="982"/>
      <c r="I102" s="1017"/>
      <c r="J102" s="1029"/>
      <c r="K102" s="1692"/>
      <c r="L102" s="984"/>
      <c r="M102" s="985"/>
      <c r="N102" s="985"/>
      <c r="O102" s="985"/>
      <c r="P102" s="985"/>
      <c r="Q102" s="1548"/>
      <c r="R102" s="972"/>
      <c r="S102" s="973"/>
      <c r="T102" s="1258"/>
      <c r="U102" s="1337"/>
      <c r="V102" s="339"/>
      <c r="Y102" s="74"/>
      <c r="Z102" s="77"/>
      <c r="AA102" s="78"/>
      <c r="AB102" s="78">
        <f t="shared" si="0"/>
        <v>0</v>
      </c>
    </row>
    <row r="103" spans="1:28" ht="15" customHeight="1" thickBot="1" x14ac:dyDescent="0.3">
      <c r="A103" s="1516"/>
      <c r="B103" s="1493"/>
      <c r="C103" s="1317"/>
      <c r="D103" s="1317"/>
      <c r="E103" s="1317"/>
      <c r="F103" s="1317"/>
      <c r="G103" s="1494"/>
      <c r="H103" s="982"/>
      <c r="I103" s="1017"/>
      <c r="J103" s="1029"/>
      <c r="K103" s="1692"/>
      <c r="L103" s="984"/>
      <c r="M103" s="985"/>
      <c r="N103" s="985"/>
      <c r="O103" s="985"/>
      <c r="P103" s="985"/>
      <c r="Q103" s="1548"/>
      <c r="R103" s="972"/>
      <c r="S103" s="973"/>
      <c r="T103" s="1258"/>
      <c r="U103" s="1337"/>
      <c r="V103" s="339"/>
      <c r="Y103" s="74"/>
      <c r="Z103" s="77"/>
      <c r="AA103" s="78"/>
      <c r="AB103" s="78">
        <f t="shared" si="0"/>
        <v>0</v>
      </c>
    </row>
    <row r="104" spans="1:28" ht="15" customHeight="1" thickBot="1" x14ac:dyDescent="0.3">
      <c r="A104" s="1516"/>
      <c r="B104" s="1493"/>
      <c r="C104" s="1317"/>
      <c r="D104" s="1317"/>
      <c r="E104" s="1317"/>
      <c r="F104" s="1317"/>
      <c r="G104" s="1494"/>
      <c r="H104" s="982"/>
      <c r="I104" s="1017"/>
      <c r="J104" s="1029"/>
      <c r="K104" s="1692"/>
      <c r="L104" s="984"/>
      <c r="M104" s="985"/>
      <c r="N104" s="985"/>
      <c r="O104" s="985"/>
      <c r="P104" s="985"/>
      <c r="Q104" s="1548" t="s">
        <v>100</v>
      </c>
      <c r="R104" s="972"/>
      <c r="S104" s="973"/>
      <c r="T104" s="1258"/>
      <c r="U104" s="1337"/>
      <c r="V104" s="72">
        <f>IF(AND(Q104="ja",R104=""),1,0)</f>
        <v>0</v>
      </c>
      <c r="Y104" s="74"/>
      <c r="Z104" s="77"/>
      <c r="AA104" s="78"/>
      <c r="AB104" s="78">
        <f t="shared" ref="AB104:AB167" si="1">IF(Q104="ja",1,0)</f>
        <v>0</v>
      </c>
    </row>
    <row r="105" spans="1:28" ht="15" customHeight="1" thickBot="1" x14ac:dyDescent="0.3">
      <c r="A105" s="1516"/>
      <c r="B105" s="1493"/>
      <c r="C105" s="1317"/>
      <c r="D105" s="1317"/>
      <c r="E105" s="1317"/>
      <c r="F105" s="1317"/>
      <c r="G105" s="1494"/>
      <c r="H105" s="982"/>
      <c r="I105" s="1017"/>
      <c r="J105" s="1029"/>
      <c r="K105" s="1692"/>
      <c r="L105" s="984"/>
      <c r="M105" s="985"/>
      <c r="N105" s="985"/>
      <c r="O105" s="985"/>
      <c r="P105" s="985"/>
      <c r="Q105" s="1548"/>
      <c r="R105" s="972"/>
      <c r="S105" s="973"/>
      <c r="T105" s="1258"/>
      <c r="U105" s="1337"/>
      <c r="Y105" s="74"/>
      <c r="Z105" s="77"/>
      <c r="AA105" s="78"/>
      <c r="AB105" s="78">
        <f t="shared" si="1"/>
        <v>0</v>
      </c>
    </row>
    <row r="106" spans="1:28" ht="15" customHeight="1" thickBot="1" x14ac:dyDescent="0.3">
      <c r="A106" s="1516"/>
      <c r="B106" s="1490"/>
      <c r="C106" s="1491"/>
      <c r="D106" s="1491"/>
      <c r="E106" s="1491"/>
      <c r="F106" s="1491"/>
      <c r="G106" s="1492"/>
      <c r="H106" s="983"/>
      <c r="I106" s="1017"/>
      <c r="J106" s="1029"/>
      <c r="K106" s="1692"/>
      <c r="L106" s="984"/>
      <c r="M106" s="985"/>
      <c r="N106" s="985"/>
      <c r="O106" s="985"/>
      <c r="P106" s="985"/>
      <c r="Q106" s="1548"/>
      <c r="R106" s="972"/>
      <c r="S106" s="973"/>
      <c r="T106" s="1258"/>
      <c r="U106" s="1337"/>
      <c r="Y106" s="74"/>
      <c r="Z106" s="77"/>
      <c r="AA106" s="78"/>
      <c r="AB106" s="78">
        <f t="shared" si="1"/>
        <v>0</v>
      </c>
    </row>
    <row r="107" spans="1:28" ht="15" customHeight="1" thickBot="1" x14ac:dyDescent="0.3">
      <c r="A107" s="1516"/>
      <c r="B107" s="1487" t="s">
        <v>399</v>
      </c>
      <c r="C107" s="1488"/>
      <c r="D107" s="1488"/>
      <c r="E107" s="1488"/>
      <c r="F107" s="1488"/>
      <c r="G107" s="1489"/>
      <c r="H107" s="981" t="s">
        <v>100</v>
      </c>
      <c r="I107" s="1017"/>
      <c r="J107" s="1029"/>
      <c r="K107" s="1692"/>
      <c r="L107" s="984"/>
      <c r="M107" s="985"/>
      <c r="N107" s="985"/>
      <c r="O107" s="985"/>
      <c r="P107" s="985"/>
      <c r="Q107" s="1548" t="s">
        <v>100</v>
      </c>
      <c r="R107" s="972"/>
      <c r="S107" s="973"/>
      <c r="T107" s="1258"/>
      <c r="U107" s="1337"/>
      <c r="V107" s="72">
        <f>IF(AND(Q107="ja",R107=""),1,0)</f>
        <v>0</v>
      </c>
      <c r="Y107" s="74">
        <v>1.5E-3</v>
      </c>
      <c r="Z107" s="77">
        <f>IF(H107="ja",Y107,0)</f>
        <v>0</v>
      </c>
      <c r="AA107" s="78"/>
      <c r="AB107" s="78">
        <f t="shared" si="1"/>
        <v>0</v>
      </c>
    </row>
    <row r="108" spans="1:28" ht="15" customHeight="1" thickBot="1" x14ac:dyDescent="0.3">
      <c r="A108" s="1516"/>
      <c r="B108" s="1490"/>
      <c r="C108" s="1491"/>
      <c r="D108" s="1491"/>
      <c r="E108" s="1491"/>
      <c r="F108" s="1491"/>
      <c r="G108" s="1492"/>
      <c r="H108" s="983"/>
      <c r="I108" s="1017"/>
      <c r="J108" s="1029"/>
      <c r="K108" s="1692"/>
      <c r="L108" s="984"/>
      <c r="M108" s="985"/>
      <c r="N108" s="985"/>
      <c r="O108" s="985"/>
      <c r="P108" s="985"/>
      <c r="Q108" s="1548"/>
      <c r="R108" s="972"/>
      <c r="S108" s="973"/>
      <c r="T108" s="1258"/>
      <c r="U108" s="1337"/>
      <c r="V108" s="339"/>
      <c r="Y108" s="74"/>
      <c r="Z108" s="77"/>
      <c r="AA108" s="78"/>
      <c r="AB108" s="78">
        <f t="shared" si="1"/>
        <v>0</v>
      </c>
    </row>
    <row r="109" spans="1:28" ht="15" customHeight="1" thickBot="1" x14ac:dyDescent="0.3">
      <c r="A109" s="1516"/>
      <c r="B109" s="1487" t="s">
        <v>400</v>
      </c>
      <c r="C109" s="1488"/>
      <c r="D109" s="1488"/>
      <c r="E109" s="1488"/>
      <c r="F109" s="1488"/>
      <c r="G109" s="1489"/>
      <c r="H109" s="981" t="s">
        <v>100</v>
      </c>
      <c r="I109" s="1017"/>
      <c r="J109" s="1029"/>
      <c r="K109" s="1692"/>
      <c r="L109" s="984"/>
      <c r="M109" s="985"/>
      <c r="N109" s="985"/>
      <c r="O109" s="985"/>
      <c r="P109" s="985"/>
      <c r="Q109" s="1548"/>
      <c r="R109" s="972"/>
      <c r="S109" s="973"/>
      <c r="T109" s="1258"/>
      <c r="U109" s="1337"/>
      <c r="V109" s="339"/>
      <c r="Y109" s="74">
        <v>6.4999999999999997E-3</v>
      </c>
      <c r="Z109" s="77">
        <f>IF(H109="ja",Y109,0)</f>
        <v>0</v>
      </c>
      <c r="AA109" s="78"/>
      <c r="AB109" s="78">
        <f t="shared" si="1"/>
        <v>0</v>
      </c>
    </row>
    <row r="110" spans="1:28" ht="15" customHeight="1" thickBot="1" x14ac:dyDescent="0.3">
      <c r="A110" s="1516"/>
      <c r="B110" s="1490"/>
      <c r="C110" s="1491"/>
      <c r="D110" s="1491"/>
      <c r="E110" s="1491"/>
      <c r="F110" s="1491"/>
      <c r="G110" s="1492"/>
      <c r="H110" s="983"/>
      <c r="I110" s="1017"/>
      <c r="J110" s="1029"/>
      <c r="K110" s="1692"/>
      <c r="L110" s="984"/>
      <c r="M110" s="985"/>
      <c r="N110" s="985"/>
      <c r="O110" s="985"/>
      <c r="P110" s="985"/>
      <c r="Q110" s="1548" t="s">
        <v>100</v>
      </c>
      <c r="R110" s="972"/>
      <c r="S110" s="973"/>
      <c r="T110" s="1258"/>
      <c r="U110" s="1337"/>
      <c r="V110" s="72">
        <f>IF(AND(Q110="ja",R110=""),1,0)</f>
        <v>0</v>
      </c>
      <c r="Y110" s="74"/>
      <c r="Z110" s="77"/>
      <c r="AA110" s="78"/>
      <c r="AB110" s="78">
        <f t="shared" si="1"/>
        <v>0</v>
      </c>
    </row>
    <row r="111" spans="1:28" ht="15" customHeight="1" thickBot="1" x14ac:dyDescent="0.3">
      <c r="A111" s="1516"/>
      <c r="B111" s="1487" t="s">
        <v>401</v>
      </c>
      <c r="C111" s="1488"/>
      <c r="D111" s="1488"/>
      <c r="E111" s="1488"/>
      <c r="F111" s="1488"/>
      <c r="G111" s="1489"/>
      <c r="H111" s="981" t="s">
        <v>100</v>
      </c>
      <c r="I111" s="1017"/>
      <c r="J111" s="1029"/>
      <c r="K111" s="1692"/>
      <c r="L111" s="984"/>
      <c r="M111" s="985"/>
      <c r="N111" s="985"/>
      <c r="O111" s="985"/>
      <c r="P111" s="985"/>
      <c r="Q111" s="1548"/>
      <c r="R111" s="972"/>
      <c r="S111" s="973"/>
      <c r="T111" s="1258"/>
      <c r="U111" s="1337"/>
      <c r="Y111" s="74">
        <v>1E-3</v>
      </c>
      <c r="Z111" s="77">
        <f>IF(H111="ja",Y111,0)</f>
        <v>0</v>
      </c>
      <c r="AA111" s="78"/>
      <c r="AB111" s="78">
        <f t="shared" si="1"/>
        <v>0</v>
      </c>
    </row>
    <row r="112" spans="1:28" ht="15" customHeight="1" thickBot="1" x14ac:dyDescent="0.3">
      <c r="A112" s="1516"/>
      <c r="B112" s="1490"/>
      <c r="C112" s="1491"/>
      <c r="D112" s="1491"/>
      <c r="E112" s="1491"/>
      <c r="F112" s="1491"/>
      <c r="G112" s="1492"/>
      <c r="H112" s="983"/>
      <c r="I112" s="1017"/>
      <c r="J112" s="1029"/>
      <c r="K112" s="1692"/>
      <c r="L112" s="984"/>
      <c r="M112" s="985"/>
      <c r="N112" s="985"/>
      <c r="O112" s="985"/>
      <c r="P112" s="985"/>
      <c r="Q112" s="1548"/>
      <c r="R112" s="972"/>
      <c r="S112" s="973"/>
      <c r="T112" s="1258"/>
      <c r="U112" s="1337"/>
      <c r="Y112" s="74"/>
      <c r="Z112" s="77"/>
      <c r="AA112" s="77"/>
      <c r="AB112" s="78">
        <f t="shared" si="1"/>
        <v>0</v>
      </c>
    </row>
    <row r="113" spans="1:28" ht="15" customHeight="1" thickBot="1" x14ac:dyDescent="0.3">
      <c r="A113" s="1516"/>
      <c r="B113" s="1487" t="s">
        <v>171</v>
      </c>
      <c r="C113" s="1488"/>
      <c r="D113" s="1488"/>
      <c r="E113" s="1488"/>
      <c r="F113" s="1488"/>
      <c r="G113" s="1489"/>
      <c r="H113" s="981" t="s">
        <v>100</v>
      </c>
      <c r="I113" s="1017"/>
      <c r="J113" s="1029"/>
      <c r="K113" s="1692"/>
      <c r="L113" s="1539"/>
      <c r="M113" s="1540"/>
      <c r="N113" s="1540"/>
      <c r="O113" s="1540"/>
      <c r="P113" s="1540"/>
      <c r="Q113" s="1548" t="s">
        <v>100</v>
      </c>
      <c r="R113" s="972"/>
      <c r="S113" s="973"/>
      <c r="T113" s="1258"/>
      <c r="U113" s="1337"/>
      <c r="V113" s="72">
        <f>IF(AND(Q113="ja",R113=""),1,0)</f>
        <v>0</v>
      </c>
      <c r="Y113" s="74">
        <v>1.5E-3</v>
      </c>
      <c r="Z113" s="77">
        <f>IF(H113="ja",Y113,0)</f>
        <v>0</v>
      </c>
      <c r="AA113" s="78"/>
      <c r="AB113" s="78">
        <f t="shared" si="1"/>
        <v>0</v>
      </c>
    </row>
    <row r="114" spans="1:28" ht="15" customHeight="1" thickBot="1" x14ac:dyDescent="0.3">
      <c r="A114" s="1516"/>
      <c r="B114" s="1490"/>
      <c r="C114" s="1491"/>
      <c r="D114" s="1491"/>
      <c r="E114" s="1491"/>
      <c r="F114" s="1491"/>
      <c r="G114" s="1492"/>
      <c r="H114" s="983"/>
      <c r="I114" s="1018"/>
      <c r="J114" s="1031"/>
      <c r="K114" s="1693"/>
      <c r="L114" s="1541"/>
      <c r="M114" s="1542"/>
      <c r="N114" s="1542"/>
      <c r="O114" s="1542"/>
      <c r="P114" s="1542"/>
      <c r="Q114" s="1548"/>
      <c r="R114" s="974"/>
      <c r="S114" s="975"/>
      <c r="T114" s="1259"/>
      <c r="U114" s="1337"/>
      <c r="Y114" s="74"/>
      <c r="Z114" s="77"/>
      <c r="AA114" s="78"/>
      <c r="AB114" s="78">
        <f t="shared" si="1"/>
        <v>0</v>
      </c>
    </row>
    <row r="115" spans="1:28"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552"/>
      <c r="S115" s="1553"/>
      <c r="T115" s="1567"/>
      <c r="U115" s="1567"/>
      <c r="Y115" s="74"/>
      <c r="Z115" s="152">
        <f>SUM(Z82:Z113)</f>
        <v>0</v>
      </c>
      <c r="AA115" s="78"/>
      <c r="AB115" s="78">
        <f t="shared" si="1"/>
        <v>0</v>
      </c>
    </row>
    <row r="116" spans="1:28" x14ac:dyDescent="0.25">
      <c r="A116" s="1516"/>
      <c r="B116" s="1038"/>
      <c r="C116" s="1039"/>
      <c r="D116" s="1039"/>
      <c r="E116" s="1039"/>
      <c r="F116" s="1039"/>
      <c r="G116" s="1039"/>
      <c r="H116" s="1162"/>
      <c r="I116" s="1038"/>
      <c r="J116" s="1039"/>
      <c r="K116" s="1040"/>
      <c r="L116" s="1563"/>
      <c r="M116" s="1564"/>
      <c r="N116" s="1564"/>
      <c r="O116" s="1564"/>
      <c r="P116" s="1581"/>
      <c r="Q116" s="1550"/>
      <c r="R116" s="1554"/>
      <c r="S116" s="1555"/>
      <c r="T116" s="1568"/>
      <c r="U116" s="1568"/>
      <c r="AA116" s="78"/>
      <c r="AB116" s="78">
        <f t="shared" si="1"/>
        <v>0</v>
      </c>
    </row>
    <row r="117" spans="1:28"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556"/>
      <c r="S117" s="1557"/>
      <c r="T117" s="1568"/>
      <c r="U117" s="1569"/>
      <c r="AA117" s="78"/>
      <c r="AB117" s="78">
        <f t="shared" si="1"/>
        <v>0</v>
      </c>
    </row>
    <row r="118" spans="1:28"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78">
        <f t="shared" si="1"/>
        <v>0</v>
      </c>
    </row>
    <row r="119" spans="1:28" ht="15" customHeight="1" thickBot="1" x14ac:dyDescent="0.3">
      <c r="A119" s="1516"/>
      <c r="B119" s="1497" t="s">
        <v>402</v>
      </c>
      <c r="C119" s="1498"/>
      <c r="D119" s="1498"/>
      <c r="E119" s="1498"/>
      <c r="F119" s="1498"/>
      <c r="G119" s="1499"/>
      <c r="H119" s="1194" t="s">
        <v>100</v>
      </c>
      <c r="I119" s="1016">
        <f>Z127</f>
        <v>0</v>
      </c>
      <c r="J119" s="1027">
        <f>I115*I119</f>
        <v>0</v>
      </c>
      <c r="K119" s="1691"/>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78">
        <f t="shared" si="1"/>
        <v>0</v>
      </c>
    </row>
    <row r="120" spans="1:28" ht="15" customHeight="1" thickBot="1" x14ac:dyDescent="0.3">
      <c r="A120" s="1516"/>
      <c r="B120" s="1493"/>
      <c r="C120" s="1317"/>
      <c r="D120" s="1317"/>
      <c r="E120" s="1317"/>
      <c r="F120" s="1317"/>
      <c r="G120" s="1494"/>
      <c r="H120" s="982"/>
      <c r="I120" s="1017"/>
      <c r="J120" s="1029"/>
      <c r="K120" s="1692"/>
      <c r="L120" s="984"/>
      <c r="M120" s="985"/>
      <c r="N120" s="985"/>
      <c r="O120" s="985"/>
      <c r="P120" s="985"/>
      <c r="Q120" s="1548"/>
      <c r="R120" s="972"/>
      <c r="S120" s="973"/>
      <c r="T120" s="1258"/>
      <c r="U120" s="1337"/>
      <c r="V120" s="339"/>
      <c r="Y120" s="74"/>
      <c r="Z120" s="77"/>
      <c r="AA120" s="78"/>
      <c r="AB120" s="78">
        <f t="shared" si="1"/>
        <v>0</v>
      </c>
    </row>
    <row r="121" spans="1:28" ht="15" customHeight="1" thickBot="1" x14ac:dyDescent="0.3">
      <c r="A121" s="1516"/>
      <c r="B121" s="1493"/>
      <c r="C121" s="1317"/>
      <c r="D121" s="1317"/>
      <c r="E121" s="1317"/>
      <c r="F121" s="1317"/>
      <c r="G121" s="1494"/>
      <c r="H121" s="982"/>
      <c r="I121" s="1017"/>
      <c r="J121" s="1029"/>
      <c r="K121" s="1692"/>
      <c r="L121" s="984"/>
      <c r="M121" s="985"/>
      <c r="N121" s="985"/>
      <c r="O121" s="985"/>
      <c r="P121" s="985"/>
      <c r="Q121" s="1548"/>
      <c r="R121" s="972"/>
      <c r="S121" s="973"/>
      <c r="T121" s="1258"/>
      <c r="U121" s="1337"/>
      <c r="V121" s="339"/>
      <c r="Y121" s="74"/>
      <c r="Z121" s="77"/>
      <c r="AA121" s="78"/>
      <c r="AB121" s="78">
        <f t="shared" si="1"/>
        <v>0</v>
      </c>
    </row>
    <row r="122" spans="1:28" ht="15" customHeight="1" thickBot="1" x14ac:dyDescent="0.3">
      <c r="A122" s="1516"/>
      <c r="B122" s="1493"/>
      <c r="C122" s="1317"/>
      <c r="D122" s="1317"/>
      <c r="E122" s="1317"/>
      <c r="F122" s="1317"/>
      <c r="G122" s="1494"/>
      <c r="H122" s="982"/>
      <c r="I122" s="1017"/>
      <c r="J122" s="1029"/>
      <c r="K122" s="1692"/>
      <c r="L122" s="984"/>
      <c r="M122" s="985"/>
      <c r="N122" s="985"/>
      <c r="O122" s="985"/>
      <c r="P122" s="985"/>
      <c r="Q122" s="1548" t="s">
        <v>100</v>
      </c>
      <c r="R122" s="972"/>
      <c r="S122" s="973"/>
      <c r="T122" s="1258"/>
      <c r="U122" s="1337"/>
      <c r="V122" s="72">
        <f>IF(AND(Q122="ja",R122=""),1,0)</f>
        <v>0</v>
      </c>
      <c r="Y122" s="74"/>
      <c r="Z122" s="77"/>
      <c r="AA122" s="78"/>
      <c r="AB122" s="78">
        <f t="shared" si="1"/>
        <v>0</v>
      </c>
    </row>
    <row r="123" spans="1:28" ht="15" customHeight="1" thickBot="1" x14ac:dyDescent="0.3">
      <c r="A123" s="1516"/>
      <c r="B123" s="1490"/>
      <c r="C123" s="1491"/>
      <c r="D123" s="1491"/>
      <c r="E123" s="1491"/>
      <c r="F123" s="1491"/>
      <c r="G123" s="1492"/>
      <c r="H123" s="983"/>
      <c r="I123" s="1017"/>
      <c r="J123" s="1029"/>
      <c r="K123" s="1692"/>
      <c r="L123" s="984"/>
      <c r="M123" s="985"/>
      <c r="N123" s="985"/>
      <c r="O123" s="985"/>
      <c r="P123" s="985"/>
      <c r="Q123" s="1548"/>
      <c r="R123" s="972"/>
      <c r="S123" s="973"/>
      <c r="T123" s="1258"/>
      <c r="U123" s="1337"/>
      <c r="Y123" s="74"/>
      <c r="Z123" s="77"/>
      <c r="AA123" s="78"/>
      <c r="AB123" s="78">
        <f t="shared" si="1"/>
        <v>0</v>
      </c>
    </row>
    <row r="124" spans="1:28" ht="15" customHeight="1" thickBot="1" x14ac:dyDescent="0.3">
      <c r="A124" s="1516"/>
      <c r="B124" s="1487" t="s">
        <v>403</v>
      </c>
      <c r="C124" s="1488"/>
      <c r="D124" s="1488"/>
      <c r="E124" s="1488"/>
      <c r="F124" s="1488"/>
      <c r="G124" s="1489"/>
      <c r="H124" s="981" t="s">
        <v>100</v>
      </c>
      <c r="I124" s="1017"/>
      <c r="J124" s="1029"/>
      <c r="K124" s="1692"/>
      <c r="L124" s="984"/>
      <c r="M124" s="985"/>
      <c r="N124" s="985"/>
      <c r="O124" s="985"/>
      <c r="P124" s="985"/>
      <c r="Q124" s="1548"/>
      <c r="R124" s="972"/>
      <c r="S124" s="973"/>
      <c r="T124" s="1258"/>
      <c r="U124" s="1337"/>
      <c r="Y124" s="74">
        <v>2.5000000000000001E-3</v>
      </c>
      <c r="Z124" s="77">
        <f>IF(H124="ja",Y124,0)</f>
        <v>0</v>
      </c>
      <c r="AA124" s="77"/>
      <c r="AB124" s="78">
        <f t="shared" si="1"/>
        <v>0</v>
      </c>
    </row>
    <row r="125" spans="1:28" ht="15" customHeight="1" thickBot="1" x14ac:dyDescent="0.3">
      <c r="A125" s="1516"/>
      <c r="B125" s="1493"/>
      <c r="C125" s="1317"/>
      <c r="D125" s="1317"/>
      <c r="E125" s="1317"/>
      <c r="F125" s="1317"/>
      <c r="G125" s="1494"/>
      <c r="H125" s="982"/>
      <c r="I125" s="1017"/>
      <c r="J125" s="1029"/>
      <c r="K125" s="1692"/>
      <c r="L125" s="1539"/>
      <c r="M125" s="1540"/>
      <c r="N125" s="1540"/>
      <c r="O125" s="1540"/>
      <c r="P125" s="1540"/>
      <c r="Q125" s="1548" t="s">
        <v>100</v>
      </c>
      <c r="R125" s="972"/>
      <c r="S125" s="973"/>
      <c r="T125" s="1258"/>
      <c r="U125" s="1337"/>
      <c r="V125" s="72">
        <f>IF(AND(Q125="ja",R125=""),1,0)</f>
        <v>0</v>
      </c>
      <c r="Y125" s="74"/>
      <c r="Z125" s="77"/>
      <c r="AA125" s="78"/>
      <c r="AB125" s="78">
        <f t="shared" si="1"/>
        <v>0</v>
      </c>
    </row>
    <row r="126" spans="1:28" ht="15" customHeight="1" thickBot="1" x14ac:dyDescent="0.3">
      <c r="A126" s="1516"/>
      <c r="B126" s="1490"/>
      <c r="C126" s="1491"/>
      <c r="D126" s="1491"/>
      <c r="E126" s="1491"/>
      <c r="F126" s="1491"/>
      <c r="G126" s="1492"/>
      <c r="H126" s="983"/>
      <c r="I126" s="1018"/>
      <c r="J126" s="1031"/>
      <c r="K126" s="1693"/>
      <c r="L126" s="1559"/>
      <c r="M126" s="1560"/>
      <c r="N126" s="1560"/>
      <c r="O126" s="1560"/>
      <c r="P126" s="1560"/>
      <c r="Q126" s="1548"/>
      <c r="R126" s="972"/>
      <c r="S126" s="973"/>
      <c r="T126" s="1611"/>
      <c r="U126" s="1337"/>
      <c r="V126" s="339"/>
      <c r="Y126" s="74"/>
      <c r="Z126" s="77"/>
      <c r="AA126" s="78"/>
      <c r="AB126" s="78">
        <f t="shared" si="1"/>
        <v>0</v>
      </c>
    </row>
    <row r="127" spans="1:28"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78">
        <f t="shared" si="1"/>
        <v>0</v>
      </c>
    </row>
    <row r="128" spans="1:28"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78">
        <f t="shared" si="1"/>
        <v>0</v>
      </c>
    </row>
    <row r="129" spans="1:28"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78">
        <f t="shared" si="1"/>
        <v>0</v>
      </c>
    </row>
    <row r="130" spans="1:28"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78">
        <f t="shared" si="1"/>
        <v>0</v>
      </c>
    </row>
    <row r="131" spans="1:28" ht="14.25" customHeight="1" x14ac:dyDescent="0.25">
      <c r="A131" s="1523"/>
      <c r="B131" s="1493"/>
      <c r="C131" s="1317"/>
      <c r="D131" s="1317"/>
      <c r="E131" s="1317"/>
      <c r="F131" s="1317"/>
      <c r="G131" s="1494"/>
      <c r="H131" s="982"/>
      <c r="I131" s="1663"/>
      <c r="J131" s="1528"/>
      <c r="K131" s="1529"/>
      <c r="L131" s="984" t="s">
        <v>406</v>
      </c>
      <c r="M131" s="985"/>
      <c r="N131" s="985"/>
      <c r="O131" s="985"/>
      <c r="P131" s="985"/>
      <c r="Q131" s="978" t="s">
        <v>100</v>
      </c>
      <c r="R131" s="972"/>
      <c r="S131" s="973"/>
      <c r="T131" s="1621"/>
      <c r="U131" s="1372"/>
      <c r="V131" s="72">
        <f>IF(AND(Q131="ja",R131=""),1,0)</f>
        <v>0</v>
      </c>
      <c r="Y131" s="74"/>
      <c r="Z131" s="77"/>
      <c r="AA131" s="78"/>
      <c r="AB131" s="78">
        <f t="shared" si="1"/>
        <v>0</v>
      </c>
    </row>
    <row r="132" spans="1:28" ht="14.25" customHeight="1" x14ac:dyDescent="0.25">
      <c r="A132" s="1523"/>
      <c r="B132" s="1490"/>
      <c r="C132" s="1491"/>
      <c r="D132" s="1491"/>
      <c r="E132" s="1491"/>
      <c r="F132" s="1491"/>
      <c r="G132" s="1492"/>
      <c r="H132" s="983"/>
      <c r="I132" s="1663"/>
      <c r="J132" s="1528"/>
      <c r="K132" s="1529"/>
      <c r="L132" s="984"/>
      <c r="M132" s="985"/>
      <c r="N132" s="985"/>
      <c r="O132" s="985"/>
      <c r="P132" s="985"/>
      <c r="Q132" s="978"/>
      <c r="R132" s="972"/>
      <c r="S132" s="973"/>
      <c r="T132" s="1621"/>
      <c r="U132" s="1372"/>
      <c r="Y132" s="74"/>
      <c r="Z132" s="77"/>
      <c r="AA132" s="78"/>
      <c r="AB132" s="78">
        <f t="shared" si="1"/>
        <v>0</v>
      </c>
    </row>
    <row r="133" spans="1:28"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78">
        <f t="shared" si="1"/>
        <v>0</v>
      </c>
    </row>
    <row r="134" spans="1:28"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78">
        <f t="shared" si="1"/>
        <v>0</v>
      </c>
    </row>
    <row r="135" spans="1:28"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78">
        <f t="shared" si="1"/>
        <v>0</v>
      </c>
    </row>
    <row r="136" spans="1:28"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972"/>
      <c r="S136" s="973"/>
      <c r="T136" s="1621"/>
      <c r="U136" s="1372"/>
      <c r="V136" s="72">
        <f>IF(AND(Q136="ja",R136=""),1,0)</f>
        <v>0</v>
      </c>
      <c r="AA136" s="78"/>
      <c r="AB136" s="78">
        <f t="shared" si="1"/>
        <v>0</v>
      </c>
    </row>
    <row r="137" spans="1:28"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78">
        <f t="shared" si="1"/>
        <v>0</v>
      </c>
    </row>
    <row r="138" spans="1:28"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78">
        <f t="shared" si="1"/>
        <v>0</v>
      </c>
    </row>
    <row r="139" spans="1:28"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78">
        <f t="shared" si="1"/>
        <v>0</v>
      </c>
    </row>
    <row r="140" spans="1:28"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78">
        <f t="shared" si="1"/>
        <v>0</v>
      </c>
    </row>
    <row r="141" spans="1:28"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78">
        <f t="shared" si="1"/>
        <v>0</v>
      </c>
    </row>
    <row r="142" spans="1:28"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78">
        <f t="shared" si="1"/>
        <v>0</v>
      </c>
    </row>
    <row r="143" spans="1:28" x14ac:dyDescent="0.25">
      <c r="A143" s="496" t="s">
        <v>210</v>
      </c>
      <c r="B143" s="1103" t="s">
        <v>409</v>
      </c>
      <c r="C143" s="1104"/>
      <c r="D143" s="1104"/>
      <c r="E143" s="1104"/>
      <c r="F143" s="1104"/>
      <c r="G143" s="1105"/>
      <c r="H143" s="314" t="s">
        <v>100</v>
      </c>
      <c r="I143" s="328">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78">
        <f t="shared" si="1"/>
        <v>0</v>
      </c>
    </row>
    <row r="144" spans="1:28" x14ac:dyDescent="0.25">
      <c r="A144" s="496" t="s">
        <v>212</v>
      </c>
      <c r="B144" s="1103" t="s">
        <v>410</v>
      </c>
      <c r="C144" s="1104"/>
      <c r="D144" s="1104"/>
      <c r="E144" s="1104"/>
      <c r="F144" s="1104"/>
      <c r="G144" s="1105"/>
      <c r="H144" s="314" t="s">
        <v>100</v>
      </c>
      <c r="I144" s="328">
        <f>Z144</f>
        <v>0</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0</v>
      </c>
      <c r="AA144" s="78"/>
      <c r="AB144" s="78">
        <f t="shared" si="1"/>
        <v>0</v>
      </c>
    </row>
    <row r="145" spans="1:28"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78">
        <f t="shared" si="1"/>
        <v>0</v>
      </c>
    </row>
    <row r="146" spans="1:28"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78">
        <f t="shared" si="1"/>
        <v>0</v>
      </c>
    </row>
    <row r="147" spans="1:28"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78">
        <f t="shared" si="1"/>
        <v>0</v>
      </c>
    </row>
    <row r="148" spans="1:28"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78">
        <f t="shared" si="1"/>
        <v>0</v>
      </c>
    </row>
    <row r="149" spans="1:28"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78">
        <f t="shared" si="1"/>
        <v>0</v>
      </c>
    </row>
    <row r="150" spans="1:28"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78">
        <f t="shared" si="1"/>
        <v>0</v>
      </c>
    </row>
    <row r="151" spans="1:28"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78">
        <f t="shared" si="1"/>
        <v>0</v>
      </c>
    </row>
    <row r="152" spans="1:28"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78">
        <f t="shared" si="1"/>
        <v>0</v>
      </c>
    </row>
    <row r="153" spans="1:28" ht="14.55" thickBot="1" x14ac:dyDescent="0.3">
      <c r="A153" s="1595" t="s">
        <v>492</v>
      </c>
      <c r="B153" s="1511" t="s">
        <v>493</v>
      </c>
      <c r="C153" s="1512"/>
      <c r="D153" s="1512"/>
      <c r="E153" s="1512"/>
      <c r="F153" s="1512"/>
      <c r="G153" s="1513"/>
      <c r="H153" s="342"/>
      <c r="I153" s="1361"/>
      <c r="J153" s="1362"/>
      <c r="K153" s="1362"/>
      <c r="L153" s="1534">
        <f>SUM(Q128:R152)</f>
        <v>0</v>
      </c>
      <c r="M153" s="1535"/>
      <c r="N153" s="1535"/>
      <c r="O153" s="1535"/>
      <c r="P153" s="1535"/>
      <c r="Q153" s="338"/>
      <c r="R153" s="1495"/>
      <c r="S153" s="1496"/>
      <c r="U153" s="334"/>
      <c r="Y153" s="74"/>
      <c r="Z153" s="152">
        <f>SUM(Z128:Z150)</f>
        <v>0</v>
      </c>
      <c r="AA153" s="78"/>
      <c r="AB153" s="78">
        <f t="shared" si="1"/>
        <v>0</v>
      </c>
    </row>
    <row r="154" spans="1:28" ht="15" customHeight="1" thickBot="1" x14ac:dyDescent="0.3">
      <c r="A154" s="1595"/>
      <c r="B154" s="1497" t="s">
        <v>415</v>
      </c>
      <c r="C154" s="1498"/>
      <c r="D154" s="1498"/>
      <c r="E154" s="1498"/>
      <c r="F154" s="1498"/>
      <c r="G154" s="1499"/>
      <c r="H154" s="1194" t="s">
        <v>100</v>
      </c>
      <c r="I154" s="1016">
        <f>Z177</f>
        <v>0</v>
      </c>
      <c r="J154" s="1027">
        <f>I115*I154</f>
        <v>0</v>
      </c>
      <c r="K154" s="1691"/>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78">
        <f t="shared" si="1"/>
        <v>0</v>
      </c>
    </row>
    <row r="155" spans="1:28" ht="15" customHeight="1" thickBot="1" x14ac:dyDescent="0.3">
      <c r="A155" s="1595"/>
      <c r="B155" s="1493"/>
      <c r="C155" s="1317"/>
      <c r="D155" s="1317"/>
      <c r="E155" s="1317"/>
      <c r="F155" s="1317"/>
      <c r="G155" s="1494"/>
      <c r="H155" s="982"/>
      <c r="I155" s="1017"/>
      <c r="J155" s="1029"/>
      <c r="K155" s="1692"/>
      <c r="L155" s="1288"/>
      <c r="M155" s="1289"/>
      <c r="N155" s="1289"/>
      <c r="O155" s="1289"/>
      <c r="P155" s="1290"/>
      <c r="Q155" s="1003"/>
      <c r="R155" s="1007"/>
      <c r="S155" s="1008"/>
      <c r="T155" s="1258"/>
      <c r="U155" s="1337"/>
      <c r="Y155" s="74"/>
      <c r="Z155" s="77"/>
      <c r="AA155" s="78"/>
      <c r="AB155" s="78">
        <f t="shared" si="1"/>
        <v>0</v>
      </c>
    </row>
    <row r="156" spans="1:28" ht="15" customHeight="1" thickBot="1" x14ac:dyDescent="0.3">
      <c r="A156" s="1595"/>
      <c r="B156" s="1490"/>
      <c r="C156" s="1491"/>
      <c r="D156" s="1491"/>
      <c r="E156" s="1491"/>
      <c r="F156" s="1491"/>
      <c r="G156" s="1492"/>
      <c r="H156" s="983"/>
      <c r="I156" s="1017"/>
      <c r="J156" s="1029"/>
      <c r="K156" s="1692"/>
      <c r="L156" s="1291"/>
      <c r="M156" s="1292"/>
      <c r="N156" s="1292"/>
      <c r="O156" s="1292"/>
      <c r="P156" s="1293"/>
      <c r="Q156" s="1295"/>
      <c r="R156" s="1269"/>
      <c r="S156" s="1270"/>
      <c r="T156" s="1258"/>
      <c r="U156" s="1337"/>
      <c r="Y156" s="74"/>
      <c r="Z156" s="77"/>
      <c r="AA156" s="78"/>
      <c r="AB156" s="78">
        <f t="shared" si="1"/>
        <v>0</v>
      </c>
    </row>
    <row r="157" spans="1:28" ht="15" customHeight="1" thickBot="1" x14ac:dyDescent="0.3">
      <c r="A157" s="1595"/>
      <c r="B157" s="1487" t="s">
        <v>417</v>
      </c>
      <c r="C157" s="1488"/>
      <c r="D157" s="1488"/>
      <c r="E157" s="1488"/>
      <c r="F157" s="1488"/>
      <c r="G157" s="1489"/>
      <c r="H157" s="981" t="s">
        <v>100</v>
      </c>
      <c r="I157" s="1017"/>
      <c r="J157" s="1029"/>
      <c r="K157" s="1692"/>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78">
        <f t="shared" si="1"/>
        <v>0</v>
      </c>
    </row>
    <row r="158" spans="1:28" ht="15" customHeight="1" thickBot="1" x14ac:dyDescent="0.3">
      <c r="A158" s="1595"/>
      <c r="B158" s="1493"/>
      <c r="C158" s="1317"/>
      <c r="D158" s="1317"/>
      <c r="E158" s="1317"/>
      <c r="F158" s="1317"/>
      <c r="G158" s="1494"/>
      <c r="H158" s="982"/>
      <c r="I158" s="1017"/>
      <c r="J158" s="1029"/>
      <c r="K158" s="1692"/>
      <c r="L158" s="1288"/>
      <c r="M158" s="1289"/>
      <c r="N158" s="1289"/>
      <c r="O158" s="1289"/>
      <c r="P158" s="1290"/>
      <c r="Q158" s="1003"/>
      <c r="R158" s="1007"/>
      <c r="S158" s="1008"/>
      <c r="T158" s="1258"/>
      <c r="U158" s="1337"/>
      <c r="Y158" s="74"/>
      <c r="Z158" s="77"/>
      <c r="AA158" s="78"/>
      <c r="AB158" s="78">
        <f t="shared" si="1"/>
        <v>0</v>
      </c>
    </row>
    <row r="159" spans="1:28" ht="15" customHeight="1" thickBot="1" x14ac:dyDescent="0.3">
      <c r="A159" s="1595"/>
      <c r="B159" s="1493"/>
      <c r="C159" s="1317"/>
      <c r="D159" s="1317"/>
      <c r="E159" s="1317"/>
      <c r="F159" s="1317"/>
      <c r="G159" s="1494"/>
      <c r="H159" s="982"/>
      <c r="I159" s="1017"/>
      <c r="J159" s="1029"/>
      <c r="K159" s="1692"/>
      <c r="L159" s="1288"/>
      <c r="M159" s="1289"/>
      <c r="N159" s="1289"/>
      <c r="O159" s="1289"/>
      <c r="P159" s="1290"/>
      <c r="Q159" s="1003"/>
      <c r="R159" s="1007"/>
      <c r="S159" s="1008"/>
      <c r="T159" s="1258"/>
      <c r="U159" s="1337"/>
      <c r="Y159" s="74"/>
      <c r="Z159" s="77"/>
      <c r="AA159" s="78"/>
      <c r="AB159" s="78">
        <f t="shared" si="1"/>
        <v>0</v>
      </c>
    </row>
    <row r="160" spans="1:28" ht="15" customHeight="1" thickBot="1" x14ac:dyDescent="0.3">
      <c r="A160" s="1595"/>
      <c r="B160" s="1493"/>
      <c r="C160" s="1317"/>
      <c r="D160" s="1317"/>
      <c r="E160" s="1317"/>
      <c r="F160" s="1317"/>
      <c r="G160" s="1494"/>
      <c r="H160" s="982"/>
      <c r="I160" s="1017"/>
      <c r="J160" s="1029"/>
      <c r="K160" s="1692"/>
      <c r="L160" s="1288"/>
      <c r="M160" s="1289"/>
      <c r="N160" s="1289"/>
      <c r="O160" s="1289"/>
      <c r="P160" s="1290"/>
      <c r="Q160" s="1003"/>
      <c r="R160" s="1007"/>
      <c r="S160" s="1008"/>
      <c r="T160" s="1258"/>
      <c r="U160" s="1337"/>
      <c r="Y160" s="74"/>
      <c r="Z160" s="77"/>
      <c r="AA160" s="78"/>
      <c r="AB160" s="78">
        <f t="shared" si="1"/>
        <v>0</v>
      </c>
    </row>
    <row r="161" spans="1:28" ht="15" customHeight="1" thickBot="1" x14ac:dyDescent="0.3">
      <c r="A161" s="1595"/>
      <c r="B161" s="1493"/>
      <c r="C161" s="1317"/>
      <c r="D161" s="1317"/>
      <c r="E161" s="1317"/>
      <c r="F161" s="1317"/>
      <c r="G161" s="1494"/>
      <c r="H161" s="982"/>
      <c r="I161" s="1017"/>
      <c r="J161" s="1029"/>
      <c r="K161" s="1692"/>
      <c r="L161" s="1288"/>
      <c r="M161" s="1289"/>
      <c r="N161" s="1289"/>
      <c r="O161" s="1289"/>
      <c r="P161" s="1290"/>
      <c r="Q161" s="1003"/>
      <c r="R161" s="1007"/>
      <c r="S161" s="1008"/>
      <c r="T161" s="1258"/>
      <c r="U161" s="1337"/>
      <c r="Y161" s="74"/>
      <c r="Z161" s="77"/>
      <c r="AA161" s="78"/>
      <c r="AB161" s="78">
        <f t="shared" si="1"/>
        <v>0</v>
      </c>
    </row>
    <row r="162" spans="1:28" ht="15" customHeight="1" thickBot="1" x14ac:dyDescent="0.3">
      <c r="A162" s="1595"/>
      <c r="B162" s="1493"/>
      <c r="C162" s="1317"/>
      <c r="D162" s="1317"/>
      <c r="E162" s="1317"/>
      <c r="F162" s="1317"/>
      <c r="G162" s="1494"/>
      <c r="H162" s="982"/>
      <c r="I162" s="1017"/>
      <c r="J162" s="1029"/>
      <c r="K162" s="1692"/>
      <c r="L162" s="1288"/>
      <c r="M162" s="1289"/>
      <c r="N162" s="1289"/>
      <c r="O162" s="1289"/>
      <c r="P162" s="1290"/>
      <c r="Q162" s="1003"/>
      <c r="R162" s="1007"/>
      <c r="S162" s="1008"/>
      <c r="T162" s="1258"/>
      <c r="U162" s="1337"/>
      <c r="Y162" s="74"/>
      <c r="Z162" s="77"/>
      <c r="AA162" s="78"/>
      <c r="AB162" s="78">
        <f t="shared" si="1"/>
        <v>0</v>
      </c>
    </row>
    <row r="163" spans="1:28" ht="15" customHeight="1" thickBot="1" x14ac:dyDescent="0.3">
      <c r="A163" s="1595"/>
      <c r="B163" s="1493"/>
      <c r="C163" s="1317"/>
      <c r="D163" s="1317"/>
      <c r="E163" s="1317"/>
      <c r="F163" s="1317"/>
      <c r="G163" s="1494"/>
      <c r="H163" s="982"/>
      <c r="I163" s="1017"/>
      <c r="J163" s="1029"/>
      <c r="K163" s="1692"/>
      <c r="L163" s="1288"/>
      <c r="M163" s="1289"/>
      <c r="N163" s="1289"/>
      <c r="O163" s="1289"/>
      <c r="P163" s="1290"/>
      <c r="Q163" s="1003"/>
      <c r="R163" s="1007"/>
      <c r="S163" s="1008"/>
      <c r="T163" s="1258"/>
      <c r="U163" s="1337"/>
      <c r="Y163" s="74"/>
      <c r="Z163" s="77"/>
      <c r="AA163" s="78"/>
      <c r="AB163" s="78">
        <f t="shared" si="1"/>
        <v>0</v>
      </c>
    </row>
    <row r="164" spans="1:28" ht="15" customHeight="1" thickBot="1" x14ac:dyDescent="0.3">
      <c r="A164" s="1595"/>
      <c r="B164" s="1493"/>
      <c r="C164" s="1317"/>
      <c r="D164" s="1317"/>
      <c r="E164" s="1317"/>
      <c r="F164" s="1317"/>
      <c r="G164" s="1494"/>
      <c r="H164" s="982"/>
      <c r="I164" s="1017"/>
      <c r="J164" s="1029"/>
      <c r="K164" s="1692"/>
      <c r="L164" s="1288"/>
      <c r="M164" s="1289"/>
      <c r="N164" s="1289"/>
      <c r="O164" s="1289"/>
      <c r="P164" s="1290"/>
      <c r="Q164" s="1003"/>
      <c r="R164" s="1007"/>
      <c r="S164" s="1008"/>
      <c r="T164" s="1258"/>
      <c r="U164" s="1337"/>
      <c r="Y164" s="74"/>
      <c r="Z164" s="77"/>
      <c r="AA164" s="78"/>
      <c r="AB164" s="78">
        <f t="shared" si="1"/>
        <v>0</v>
      </c>
    </row>
    <row r="165" spans="1:28" ht="15" customHeight="1" thickBot="1" x14ac:dyDescent="0.3">
      <c r="A165" s="1595"/>
      <c r="B165" s="1493"/>
      <c r="C165" s="1317"/>
      <c r="D165" s="1317"/>
      <c r="E165" s="1317"/>
      <c r="F165" s="1317"/>
      <c r="G165" s="1494"/>
      <c r="H165" s="982"/>
      <c r="I165" s="1017"/>
      <c r="J165" s="1029"/>
      <c r="K165" s="1692"/>
      <c r="L165" s="1291"/>
      <c r="M165" s="1292"/>
      <c r="N165" s="1292"/>
      <c r="O165" s="1292"/>
      <c r="P165" s="1293"/>
      <c r="Q165" s="1295"/>
      <c r="R165" s="1269"/>
      <c r="S165" s="1270"/>
      <c r="T165" s="1258"/>
      <c r="U165" s="1337"/>
      <c r="Y165" s="74"/>
      <c r="Z165" s="77"/>
      <c r="AA165" s="78"/>
      <c r="AB165" s="78">
        <f t="shared" si="1"/>
        <v>0</v>
      </c>
    </row>
    <row r="166" spans="1:28" ht="15" customHeight="1" thickBot="1" x14ac:dyDescent="0.3">
      <c r="A166" s="1595"/>
      <c r="B166" s="1490"/>
      <c r="C166" s="1491"/>
      <c r="D166" s="1491"/>
      <c r="E166" s="1491"/>
      <c r="F166" s="1491"/>
      <c r="G166" s="1492"/>
      <c r="H166" s="983"/>
      <c r="I166" s="1017"/>
      <c r="J166" s="1029"/>
      <c r="K166" s="1692"/>
      <c r="L166" s="1484" t="s">
        <v>419</v>
      </c>
      <c r="M166" s="1485"/>
      <c r="N166" s="1485"/>
      <c r="O166" s="1485"/>
      <c r="P166" s="1486"/>
      <c r="Q166" s="979" t="s">
        <v>100</v>
      </c>
      <c r="R166" s="1005"/>
      <c r="S166" s="1006"/>
      <c r="T166" s="1258"/>
      <c r="U166" s="1337"/>
      <c r="V166" s="72">
        <f>IF(AND(Q166="ja",R166=""),1,0)</f>
        <v>0</v>
      </c>
      <c r="Y166" s="74"/>
      <c r="Z166" s="77"/>
      <c r="AA166" s="78"/>
      <c r="AB166" s="78">
        <f t="shared" si="1"/>
        <v>0</v>
      </c>
    </row>
    <row r="167" spans="1:28" ht="15" customHeight="1" thickBot="1" x14ac:dyDescent="0.3">
      <c r="A167" s="1595"/>
      <c r="B167" s="1487" t="s">
        <v>420</v>
      </c>
      <c r="C167" s="1488"/>
      <c r="D167" s="1488"/>
      <c r="E167" s="1488"/>
      <c r="F167" s="1488"/>
      <c r="G167" s="1489"/>
      <c r="H167" s="981" t="s">
        <v>100</v>
      </c>
      <c r="I167" s="1017"/>
      <c r="J167" s="1029"/>
      <c r="K167" s="1692"/>
      <c r="L167" s="1288"/>
      <c r="M167" s="1289"/>
      <c r="N167" s="1289"/>
      <c r="O167" s="1289"/>
      <c r="P167" s="1290"/>
      <c r="Q167" s="1003"/>
      <c r="R167" s="1007"/>
      <c r="S167" s="1008"/>
      <c r="T167" s="1258"/>
      <c r="U167" s="1337"/>
      <c r="Y167" s="74">
        <v>1E-3</v>
      </c>
      <c r="Z167" s="77">
        <f>IF(H167="ja",Y167,0)</f>
        <v>0</v>
      </c>
      <c r="AA167" s="78"/>
      <c r="AB167" s="78">
        <f t="shared" si="1"/>
        <v>0</v>
      </c>
    </row>
    <row r="168" spans="1:28" ht="15" customHeight="1" thickBot="1" x14ac:dyDescent="0.3">
      <c r="A168" s="1595"/>
      <c r="B168" s="1493"/>
      <c r="C168" s="1317"/>
      <c r="D168" s="1317"/>
      <c r="E168" s="1317"/>
      <c r="F168" s="1317"/>
      <c r="G168" s="1494"/>
      <c r="H168" s="982"/>
      <c r="I168" s="1017"/>
      <c r="J168" s="1029"/>
      <c r="K168" s="1692"/>
      <c r="L168" s="1291"/>
      <c r="M168" s="1292"/>
      <c r="N168" s="1292"/>
      <c r="O168" s="1292"/>
      <c r="P168" s="1293"/>
      <c r="Q168" s="1295"/>
      <c r="R168" s="1269"/>
      <c r="S168" s="1270"/>
      <c r="T168" s="1258"/>
      <c r="U168" s="1337"/>
      <c r="Y168" s="74"/>
      <c r="Z168" s="77"/>
      <c r="AA168" s="78"/>
      <c r="AB168" s="78">
        <f t="shared" ref="AB168:AB231" si="2">IF(Q168="ja",1,0)</f>
        <v>0</v>
      </c>
    </row>
    <row r="169" spans="1:28" ht="15" customHeight="1" thickBot="1" x14ac:dyDescent="0.3">
      <c r="A169" s="1595"/>
      <c r="B169" s="1490"/>
      <c r="C169" s="1491"/>
      <c r="D169" s="1491"/>
      <c r="E169" s="1491"/>
      <c r="F169" s="1491"/>
      <c r="G169" s="1492"/>
      <c r="H169" s="983"/>
      <c r="I169" s="1017"/>
      <c r="J169" s="1029"/>
      <c r="K169" s="1692"/>
      <c r="L169" s="1484" t="s">
        <v>228</v>
      </c>
      <c r="M169" s="1485"/>
      <c r="N169" s="1485"/>
      <c r="O169" s="1485"/>
      <c r="P169" s="1486"/>
      <c r="Q169" s="979" t="s">
        <v>100</v>
      </c>
      <c r="R169" s="1005"/>
      <c r="S169" s="1006"/>
      <c r="T169" s="1258"/>
      <c r="U169" s="1337"/>
      <c r="V169" s="72">
        <f>IF(AND(Q169="ja",R169=""),1,0)</f>
        <v>0</v>
      </c>
      <c r="Y169" s="74"/>
      <c r="Z169" s="77"/>
      <c r="AA169" s="78"/>
      <c r="AB169" s="78">
        <f t="shared" si="2"/>
        <v>0</v>
      </c>
    </row>
    <row r="170" spans="1:28" ht="15" customHeight="1" thickBot="1" x14ac:dyDescent="0.3">
      <c r="A170" s="1595"/>
      <c r="B170" s="1487" t="s">
        <v>421</v>
      </c>
      <c r="C170" s="1488"/>
      <c r="D170" s="1488"/>
      <c r="E170" s="1488"/>
      <c r="F170" s="1488"/>
      <c r="G170" s="1489"/>
      <c r="H170" s="981" t="s">
        <v>100</v>
      </c>
      <c r="I170" s="1017"/>
      <c r="J170" s="1029"/>
      <c r="K170" s="1692"/>
      <c r="L170" s="1288"/>
      <c r="M170" s="1289"/>
      <c r="N170" s="1289"/>
      <c r="O170" s="1289"/>
      <c r="P170" s="1290"/>
      <c r="Q170" s="1003"/>
      <c r="R170" s="1007"/>
      <c r="S170" s="1008"/>
      <c r="T170" s="1258"/>
      <c r="U170" s="1337"/>
      <c r="Y170" s="74">
        <v>7.4999999999999997E-3</v>
      </c>
      <c r="Z170" s="77">
        <f>IF(H170="ja",Y170,0)</f>
        <v>0</v>
      </c>
      <c r="AA170" s="78"/>
      <c r="AB170" s="78">
        <f t="shared" si="2"/>
        <v>0</v>
      </c>
    </row>
    <row r="171" spans="1:28" ht="15" customHeight="1" thickBot="1" x14ac:dyDescent="0.3">
      <c r="A171" s="1595"/>
      <c r="B171" s="1493"/>
      <c r="C171" s="1317"/>
      <c r="D171" s="1317"/>
      <c r="E171" s="1317"/>
      <c r="F171" s="1317"/>
      <c r="G171" s="1494"/>
      <c r="H171" s="982"/>
      <c r="I171" s="1017"/>
      <c r="J171" s="1029"/>
      <c r="K171" s="1692"/>
      <c r="L171" s="1288"/>
      <c r="M171" s="1289"/>
      <c r="N171" s="1289"/>
      <c r="O171" s="1289"/>
      <c r="P171" s="1290"/>
      <c r="Q171" s="1003"/>
      <c r="R171" s="1007"/>
      <c r="S171" s="1008"/>
      <c r="T171" s="1258"/>
      <c r="U171" s="1337"/>
      <c r="Y171" s="74"/>
      <c r="Z171" s="77"/>
      <c r="AA171" s="78"/>
      <c r="AB171" s="78">
        <f t="shared" si="2"/>
        <v>0</v>
      </c>
    </row>
    <row r="172" spans="1:28" ht="15" customHeight="1" thickBot="1" x14ac:dyDescent="0.3">
      <c r="A172" s="1595"/>
      <c r="B172" s="1490"/>
      <c r="C172" s="1491"/>
      <c r="D172" s="1491"/>
      <c r="E172" s="1491"/>
      <c r="F172" s="1491"/>
      <c r="G172" s="1492"/>
      <c r="H172" s="983"/>
      <c r="I172" s="1017"/>
      <c r="J172" s="1029"/>
      <c r="K172" s="1692"/>
      <c r="L172" s="1291"/>
      <c r="M172" s="1292"/>
      <c r="N172" s="1292"/>
      <c r="O172" s="1292"/>
      <c r="P172" s="1293"/>
      <c r="Q172" s="1295"/>
      <c r="R172" s="1269"/>
      <c r="S172" s="1270"/>
      <c r="T172" s="1258"/>
      <c r="U172" s="1337"/>
      <c r="Y172" s="74"/>
      <c r="Z172" s="77"/>
      <c r="AA172" s="78"/>
      <c r="AB172" s="78">
        <f t="shared" si="2"/>
        <v>0</v>
      </c>
    </row>
    <row r="173" spans="1:28" ht="15" customHeight="1" thickBot="1" x14ac:dyDescent="0.3">
      <c r="A173" s="1595"/>
      <c r="B173" s="1487" t="s">
        <v>226</v>
      </c>
      <c r="C173" s="1488"/>
      <c r="D173" s="1488"/>
      <c r="E173" s="1488"/>
      <c r="F173" s="1488"/>
      <c r="G173" s="1489"/>
      <c r="H173" s="981" t="s">
        <v>100</v>
      </c>
      <c r="I173" s="1017"/>
      <c r="J173" s="1029"/>
      <c r="K173" s="1692"/>
      <c r="L173" s="1484"/>
      <c r="M173" s="1485"/>
      <c r="N173" s="1485"/>
      <c r="O173" s="1485"/>
      <c r="P173" s="1486"/>
      <c r="Q173" s="979" t="s">
        <v>100</v>
      </c>
      <c r="R173" s="1005"/>
      <c r="S173" s="1006"/>
      <c r="T173" s="1258"/>
      <c r="U173" s="1337"/>
      <c r="V173" s="72">
        <f>IF(AND(Q173="ja",R173=""),1,0)</f>
        <v>0</v>
      </c>
      <c r="Y173" s="74">
        <v>1E-3</v>
      </c>
      <c r="Z173" s="77">
        <f>IF(H173="ja",Y173,0)</f>
        <v>0</v>
      </c>
      <c r="AA173" s="78"/>
      <c r="AB173" s="78">
        <f t="shared" si="2"/>
        <v>0</v>
      </c>
    </row>
    <row r="174" spans="1:28" ht="15" customHeight="1" thickBot="1" x14ac:dyDescent="0.3">
      <c r="A174" s="1595"/>
      <c r="B174" s="1493"/>
      <c r="C174" s="1317"/>
      <c r="D174" s="1317"/>
      <c r="E174" s="1317"/>
      <c r="F174" s="1317"/>
      <c r="G174" s="1494"/>
      <c r="H174" s="982"/>
      <c r="I174" s="1017"/>
      <c r="J174" s="1029"/>
      <c r="K174" s="1692"/>
      <c r="L174" s="1288"/>
      <c r="M174" s="1289"/>
      <c r="N174" s="1289"/>
      <c r="O174" s="1289"/>
      <c r="P174" s="1290"/>
      <c r="Q174" s="1003"/>
      <c r="R174" s="1007"/>
      <c r="S174" s="1008"/>
      <c r="T174" s="1258"/>
      <c r="U174" s="1337"/>
      <c r="Y174" s="74"/>
      <c r="Z174" s="77"/>
      <c r="AA174" s="77"/>
      <c r="AB174" s="78">
        <f t="shared" si="2"/>
        <v>0</v>
      </c>
    </row>
    <row r="175" spans="1:28" ht="15" customHeight="1" thickBot="1" x14ac:dyDescent="0.3">
      <c r="A175" s="1595"/>
      <c r="B175" s="1490"/>
      <c r="C175" s="1491"/>
      <c r="D175" s="1491"/>
      <c r="E175" s="1491"/>
      <c r="F175" s="1491"/>
      <c r="G175" s="1492"/>
      <c r="H175" s="983"/>
      <c r="I175" s="1017"/>
      <c r="J175" s="1029"/>
      <c r="K175" s="1692"/>
      <c r="L175" s="1291"/>
      <c r="M175" s="1292"/>
      <c r="N175" s="1292"/>
      <c r="O175" s="1292"/>
      <c r="P175" s="1293"/>
      <c r="Q175" s="1295"/>
      <c r="R175" s="1269"/>
      <c r="S175" s="1270"/>
      <c r="T175" s="1258"/>
      <c r="U175" s="1337"/>
      <c r="Y175" s="74"/>
      <c r="Z175" s="77"/>
      <c r="AA175" s="78"/>
      <c r="AB175" s="78">
        <f t="shared" si="2"/>
        <v>0</v>
      </c>
    </row>
    <row r="176" spans="1:28" ht="15" customHeight="1" thickBot="1" x14ac:dyDescent="0.3">
      <c r="A176" s="1595"/>
      <c r="B176" s="1103" t="s">
        <v>422</v>
      </c>
      <c r="C176" s="1104"/>
      <c r="D176" s="1104"/>
      <c r="E176" s="1104"/>
      <c r="F176" s="1104"/>
      <c r="G176" s="1105"/>
      <c r="H176" s="314" t="s">
        <v>100</v>
      </c>
      <c r="I176" s="1018"/>
      <c r="J176" s="1031"/>
      <c r="K176" s="1693"/>
      <c r="L176" s="1577"/>
      <c r="M176" s="1578"/>
      <c r="N176" s="1578"/>
      <c r="O176" s="1578"/>
      <c r="P176" s="1579"/>
      <c r="Q176" s="329" t="s">
        <v>100</v>
      </c>
      <c r="R176" s="1623"/>
      <c r="S176" s="1624"/>
      <c r="T176" s="1259"/>
      <c r="U176" s="1337"/>
      <c r="V176" s="72">
        <f>IF(AND(Q176="ja",R176=""),1,0)</f>
        <v>0</v>
      </c>
      <c r="Y176" s="74">
        <v>1E-3</v>
      </c>
      <c r="Z176" s="77">
        <f>IF(H176="ja",Y176,0)</f>
        <v>0</v>
      </c>
      <c r="AA176" s="78"/>
      <c r="AB176" s="78">
        <f t="shared" si="2"/>
        <v>0</v>
      </c>
    </row>
    <row r="177" spans="1:28" ht="14.55" thickBot="1" x14ac:dyDescent="0.3">
      <c r="A177" s="1595"/>
      <c r="B177" s="1511" t="s">
        <v>229</v>
      </c>
      <c r="C177" s="1512"/>
      <c r="D177" s="1512"/>
      <c r="E177" s="1512"/>
      <c r="F177" s="1512"/>
      <c r="G177" s="1513"/>
      <c r="H177" s="342"/>
      <c r="I177" s="1361"/>
      <c r="J177" s="1362"/>
      <c r="K177" s="1576"/>
      <c r="L177" s="1534">
        <f>SUM(R154:S176)</f>
        <v>0</v>
      </c>
      <c r="M177" s="1535"/>
      <c r="N177" s="1535"/>
      <c r="O177" s="1535"/>
      <c r="P177" s="1535"/>
      <c r="Q177" s="338"/>
      <c r="R177" s="1495"/>
      <c r="S177" s="1496"/>
      <c r="U177" s="334"/>
      <c r="Y177" s="74"/>
      <c r="Z177" s="152">
        <f>SUM(Z154:Z176)</f>
        <v>0</v>
      </c>
      <c r="AA177" s="78"/>
      <c r="AB177" s="78">
        <f t="shared" si="2"/>
        <v>0</v>
      </c>
    </row>
    <row r="178" spans="1:28" ht="15" customHeight="1" thickBot="1" x14ac:dyDescent="0.3">
      <c r="A178" s="1595"/>
      <c r="B178" s="1103" t="s">
        <v>233</v>
      </c>
      <c r="C178" s="1104"/>
      <c r="D178" s="1104"/>
      <c r="E178" s="1104"/>
      <c r="F178" s="1104"/>
      <c r="G178" s="1105"/>
      <c r="H178" s="314" t="s">
        <v>100</v>
      </c>
      <c r="I178" s="1016">
        <f>Z192</f>
        <v>0</v>
      </c>
      <c r="J178" s="1027">
        <f>I115*I178</f>
        <v>0</v>
      </c>
      <c r="K178" s="1691"/>
      <c r="L178" s="984" t="s">
        <v>423</v>
      </c>
      <c r="M178" s="985"/>
      <c r="N178" s="985"/>
      <c r="O178" s="985"/>
      <c r="P178" s="985"/>
      <c r="Q178" s="978" t="s">
        <v>100</v>
      </c>
      <c r="R178" s="972"/>
      <c r="S178" s="973"/>
      <c r="T178" s="1257" t="str">
        <f>IFERROR(IF((VLOOKUP(U178,Überblick!$M$125:$N$133,2))="ja","ja","nein"),"")</f>
        <v/>
      </c>
      <c r="U178" s="1337"/>
      <c r="V178" s="72">
        <f>IF(AND(Q178="ja",R178=""),1,0)</f>
        <v>0</v>
      </c>
      <c r="Y178" s="74">
        <v>1E-3</v>
      </c>
      <c r="Z178" s="77">
        <f>IF(H178="ja",Y178,0)</f>
        <v>0</v>
      </c>
      <c r="AA178" s="78"/>
      <c r="AB178" s="78">
        <f t="shared" si="2"/>
        <v>0</v>
      </c>
    </row>
    <row r="179" spans="1:28" ht="15.8" customHeight="1" thickBot="1" x14ac:dyDescent="0.3">
      <c r="A179" s="1595"/>
      <c r="B179" s="1487" t="s">
        <v>424</v>
      </c>
      <c r="C179" s="1488"/>
      <c r="D179" s="1488"/>
      <c r="E179" s="1488"/>
      <c r="F179" s="1488"/>
      <c r="G179" s="1489"/>
      <c r="H179" s="981" t="s">
        <v>100</v>
      </c>
      <c r="I179" s="1017"/>
      <c r="J179" s="1029"/>
      <c r="K179" s="1692"/>
      <c r="L179" s="984"/>
      <c r="M179" s="985"/>
      <c r="N179" s="985"/>
      <c r="O179" s="985"/>
      <c r="P179" s="985"/>
      <c r="Q179" s="978"/>
      <c r="R179" s="972"/>
      <c r="S179" s="973"/>
      <c r="T179" s="1258"/>
      <c r="U179" s="1337"/>
      <c r="Y179" s="74">
        <v>3.5000000000000003E-2</v>
      </c>
      <c r="Z179" s="77">
        <f>IF(H179="ja",Y179,0)</f>
        <v>0</v>
      </c>
      <c r="AA179" s="78"/>
      <c r="AB179" s="78">
        <f t="shared" si="2"/>
        <v>0</v>
      </c>
    </row>
    <row r="180" spans="1:28" ht="15.8" customHeight="1" thickBot="1" x14ac:dyDescent="0.3">
      <c r="A180" s="1595"/>
      <c r="B180" s="1493"/>
      <c r="C180" s="1317"/>
      <c r="D180" s="1317"/>
      <c r="E180" s="1317"/>
      <c r="F180" s="1317"/>
      <c r="G180" s="1494"/>
      <c r="H180" s="982"/>
      <c r="I180" s="1017"/>
      <c r="J180" s="1029"/>
      <c r="K180" s="1692"/>
      <c r="L180" s="984"/>
      <c r="M180" s="985"/>
      <c r="N180" s="985"/>
      <c r="O180" s="985"/>
      <c r="P180" s="985"/>
      <c r="Q180" s="978"/>
      <c r="R180" s="972"/>
      <c r="S180" s="973"/>
      <c r="T180" s="1258"/>
      <c r="U180" s="1337"/>
      <c r="Y180" s="74"/>
      <c r="Z180" s="77"/>
      <c r="AA180" s="78"/>
      <c r="AB180" s="78">
        <f t="shared" si="2"/>
        <v>0</v>
      </c>
    </row>
    <row r="181" spans="1:28" ht="15.8" customHeight="1" thickBot="1" x14ac:dyDescent="0.3">
      <c r="A181" s="1595"/>
      <c r="B181" s="1493"/>
      <c r="C181" s="1317"/>
      <c r="D181" s="1317"/>
      <c r="E181" s="1317"/>
      <c r="F181" s="1317"/>
      <c r="G181" s="1494"/>
      <c r="H181" s="982"/>
      <c r="I181" s="1017"/>
      <c r="J181" s="1029"/>
      <c r="K181" s="1692"/>
      <c r="L181" s="984"/>
      <c r="M181" s="985"/>
      <c r="N181" s="985"/>
      <c r="O181" s="985"/>
      <c r="P181" s="985"/>
      <c r="Q181" s="978" t="s">
        <v>100</v>
      </c>
      <c r="R181" s="972"/>
      <c r="S181" s="973"/>
      <c r="T181" s="1258"/>
      <c r="U181" s="1337"/>
      <c r="V181" s="72">
        <f>IF(AND(Q181="ja",R181=""),1,0)</f>
        <v>0</v>
      </c>
      <c r="Y181" s="74"/>
      <c r="Z181" s="77"/>
      <c r="AA181" s="78"/>
      <c r="AB181" s="78">
        <f t="shared" si="2"/>
        <v>0</v>
      </c>
    </row>
    <row r="182" spans="1:28" ht="15.8" customHeight="1" thickBot="1" x14ac:dyDescent="0.3">
      <c r="A182" s="1595"/>
      <c r="B182" s="1493"/>
      <c r="C182" s="1317"/>
      <c r="D182" s="1317"/>
      <c r="E182" s="1317"/>
      <c r="F182" s="1317"/>
      <c r="G182" s="1494"/>
      <c r="H182" s="982"/>
      <c r="I182" s="1017"/>
      <c r="J182" s="1029"/>
      <c r="K182" s="1692"/>
      <c r="L182" s="984"/>
      <c r="M182" s="985"/>
      <c r="N182" s="985"/>
      <c r="O182" s="985"/>
      <c r="P182" s="985"/>
      <c r="Q182" s="978"/>
      <c r="R182" s="972"/>
      <c r="S182" s="973"/>
      <c r="T182" s="1258"/>
      <c r="U182" s="1337"/>
      <c r="Y182" s="74"/>
      <c r="Z182" s="77"/>
      <c r="AA182" s="78"/>
      <c r="AB182" s="78">
        <f t="shared" si="2"/>
        <v>0</v>
      </c>
    </row>
    <row r="183" spans="1:28" ht="15.8" customHeight="1" thickBot="1" x14ac:dyDescent="0.3">
      <c r="A183" s="1595"/>
      <c r="B183" s="1490"/>
      <c r="C183" s="1491"/>
      <c r="D183" s="1491"/>
      <c r="E183" s="1491"/>
      <c r="F183" s="1491"/>
      <c r="G183" s="1492"/>
      <c r="H183" s="983"/>
      <c r="I183" s="1017"/>
      <c r="J183" s="1029"/>
      <c r="K183" s="1692"/>
      <c r="L183" s="984"/>
      <c r="M183" s="985"/>
      <c r="N183" s="985"/>
      <c r="O183" s="985"/>
      <c r="P183" s="985"/>
      <c r="Q183" s="978"/>
      <c r="R183" s="972"/>
      <c r="S183" s="973"/>
      <c r="T183" s="1258"/>
      <c r="U183" s="1337"/>
      <c r="Y183" s="74"/>
      <c r="Z183" s="77"/>
      <c r="AA183" s="78"/>
      <c r="AB183" s="78">
        <f t="shared" si="2"/>
        <v>0</v>
      </c>
    </row>
    <row r="184" spans="1:28" ht="15.8" customHeight="1" thickBot="1" x14ac:dyDescent="0.3">
      <c r="A184" s="1595"/>
      <c r="B184" s="1103" t="s">
        <v>237</v>
      </c>
      <c r="C184" s="1104"/>
      <c r="D184" s="1104"/>
      <c r="E184" s="1104"/>
      <c r="F184" s="1104"/>
      <c r="G184" s="1105"/>
      <c r="H184" s="314" t="s">
        <v>100</v>
      </c>
      <c r="I184" s="1017"/>
      <c r="J184" s="1029"/>
      <c r="K184" s="1692"/>
      <c r="L184" s="984" t="s">
        <v>236</v>
      </c>
      <c r="M184" s="985"/>
      <c r="N184" s="985"/>
      <c r="O184" s="985"/>
      <c r="P184" s="985"/>
      <c r="Q184" s="978" t="s">
        <v>100</v>
      </c>
      <c r="R184" s="972"/>
      <c r="S184" s="973"/>
      <c r="T184" s="1258"/>
      <c r="U184" s="1337"/>
      <c r="V184" s="72">
        <f>IF(AND(Q184="ja",R184=""),1,0)</f>
        <v>0</v>
      </c>
      <c r="Y184" s="74">
        <v>5.0000000000000001E-3</v>
      </c>
      <c r="Z184" s="77">
        <f>IF(H184="ja",Y184,0)</f>
        <v>0</v>
      </c>
      <c r="AA184" s="78"/>
      <c r="AB184" s="78">
        <f t="shared" si="2"/>
        <v>0</v>
      </c>
    </row>
    <row r="185" spans="1:28" ht="15.8" customHeight="1" thickBot="1" x14ac:dyDescent="0.3">
      <c r="A185" s="1595"/>
      <c r="B185" s="1487" t="s">
        <v>425</v>
      </c>
      <c r="C185" s="1488"/>
      <c r="D185" s="1488"/>
      <c r="E185" s="1488"/>
      <c r="F185" s="1488"/>
      <c r="G185" s="1489"/>
      <c r="H185" s="981" t="s">
        <v>100</v>
      </c>
      <c r="I185" s="1017"/>
      <c r="J185" s="1029"/>
      <c r="K185" s="1692"/>
      <c r="L185" s="984"/>
      <c r="M185" s="985"/>
      <c r="N185" s="985"/>
      <c r="O185" s="985"/>
      <c r="P185" s="985"/>
      <c r="Q185" s="978"/>
      <c r="R185" s="972"/>
      <c r="S185" s="973"/>
      <c r="T185" s="1258"/>
      <c r="U185" s="1337"/>
      <c r="Y185" s="74">
        <v>2.5000000000000001E-3</v>
      </c>
      <c r="Z185" s="77">
        <f>IF(H185="ja",Y185,0)</f>
        <v>0</v>
      </c>
      <c r="AA185" s="78"/>
      <c r="AB185" s="78">
        <f t="shared" si="2"/>
        <v>0</v>
      </c>
    </row>
    <row r="186" spans="1:28" ht="15.8" customHeight="1" thickBot="1" x14ac:dyDescent="0.3">
      <c r="A186" s="1595"/>
      <c r="B186" s="1493"/>
      <c r="C186" s="1317"/>
      <c r="D186" s="1317"/>
      <c r="E186" s="1317"/>
      <c r="F186" s="1317"/>
      <c r="G186" s="1494"/>
      <c r="H186" s="982"/>
      <c r="I186" s="1017"/>
      <c r="J186" s="1029"/>
      <c r="K186" s="1692"/>
      <c r="L186" s="984"/>
      <c r="M186" s="985"/>
      <c r="N186" s="985"/>
      <c r="O186" s="985"/>
      <c r="P186" s="985"/>
      <c r="Q186" s="978"/>
      <c r="R186" s="972"/>
      <c r="S186" s="973"/>
      <c r="T186" s="1258"/>
      <c r="U186" s="1337"/>
      <c r="Y186" s="74"/>
      <c r="Z186" s="77"/>
      <c r="AA186" s="78"/>
      <c r="AB186" s="78">
        <f t="shared" si="2"/>
        <v>0</v>
      </c>
    </row>
    <row r="187" spans="1:28" ht="15.8" customHeight="1" thickBot="1" x14ac:dyDescent="0.3">
      <c r="A187" s="1595"/>
      <c r="B187" s="1490"/>
      <c r="C187" s="1491"/>
      <c r="D187" s="1491"/>
      <c r="E187" s="1491"/>
      <c r="F187" s="1491"/>
      <c r="G187" s="1492"/>
      <c r="H187" s="983"/>
      <c r="I187" s="1017"/>
      <c r="J187" s="1029"/>
      <c r="K187" s="1692"/>
      <c r="L187" s="984"/>
      <c r="M187" s="985"/>
      <c r="N187" s="985"/>
      <c r="O187" s="985"/>
      <c r="P187" s="985"/>
      <c r="Q187" s="978" t="s">
        <v>100</v>
      </c>
      <c r="R187" s="972"/>
      <c r="S187" s="973"/>
      <c r="T187" s="1258"/>
      <c r="U187" s="1337"/>
      <c r="V187" s="72">
        <f>IF(AND(Q187="ja",R187=""),1,0)</f>
        <v>0</v>
      </c>
      <c r="Y187" s="74"/>
      <c r="Z187" s="77"/>
      <c r="AA187" s="78"/>
      <c r="AB187" s="78">
        <f t="shared" si="2"/>
        <v>0</v>
      </c>
    </row>
    <row r="188" spans="1:28" ht="15.8" customHeight="1" thickBot="1" x14ac:dyDescent="0.3">
      <c r="A188" s="1595"/>
      <c r="B188" s="1487" t="s">
        <v>426</v>
      </c>
      <c r="C188" s="1488"/>
      <c r="D188" s="1488"/>
      <c r="E188" s="1488"/>
      <c r="F188" s="1488"/>
      <c r="G188" s="1489"/>
      <c r="H188" s="981" t="s">
        <v>100</v>
      </c>
      <c r="I188" s="1017"/>
      <c r="J188" s="1029"/>
      <c r="K188" s="1692"/>
      <c r="L188" s="984"/>
      <c r="M188" s="985"/>
      <c r="N188" s="985"/>
      <c r="O188" s="985"/>
      <c r="P188" s="985"/>
      <c r="Q188" s="978"/>
      <c r="R188" s="972"/>
      <c r="S188" s="973"/>
      <c r="T188" s="1258"/>
      <c r="U188" s="1337"/>
      <c r="Y188" s="74">
        <v>5.0000000000000001E-3</v>
      </c>
      <c r="Z188" s="77">
        <f>IF(H188="ja",Y188,0)</f>
        <v>0</v>
      </c>
      <c r="AA188" s="78"/>
      <c r="AB188" s="78">
        <f t="shared" si="2"/>
        <v>0</v>
      </c>
    </row>
    <row r="189" spans="1:28" ht="15.8" customHeight="1" thickBot="1" x14ac:dyDescent="0.3">
      <c r="A189" s="1595"/>
      <c r="B189" s="1490"/>
      <c r="C189" s="1491"/>
      <c r="D189" s="1491"/>
      <c r="E189" s="1491"/>
      <c r="F189" s="1491"/>
      <c r="G189" s="1492"/>
      <c r="H189" s="983"/>
      <c r="I189" s="1017"/>
      <c r="J189" s="1029"/>
      <c r="K189" s="1692"/>
      <c r="L189" s="984"/>
      <c r="M189" s="985"/>
      <c r="N189" s="985"/>
      <c r="O189" s="985"/>
      <c r="P189" s="985"/>
      <c r="Q189" s="978"/>
      <c r="R189" s="972"/>
      <c r="S189" s="973"/>
      <c r="T189" s="1258"/>
      <c r="U189" s="1337"/>
      <c r="Y189" s="74"/>
      <c r="Z189" s="77"/>
      <c r="AA189" s="77"/>
      <c r="AB189" s="78">
        <f t="shared" si="2"/>
        <v>0</v>
      </c>
    </row>
    <row r="190" spans="1:28" ht="15.8" customHeight="1" thickBot="1" x14ac:dyDescent="0.3">
      <c r="A190" s="1595"/>
      <c r="B190" s="1487" t="s">
        <v>427</v>
      </c>
      <c r="C190" s="1488"/>
      <c r="D190" s="1488"/>
      <c r="E190" s="1488"/>
      <c r="F190" s="1488"/>
      <c r="G190" s="1489"/>
      <c r="H190" s="981" t="s">
        <v>100</v>
      </c>
      <c r="I190" s="1017"/>
      <c r="J190" s="1029"/>
      <c r="K190" s="1692"/>
      <c r="L190" s="1539"/>
      <c r="M190" s="1540"/>
      <c r="N190" s="1540"/>
      <c r="O190" s="1540"/>
      <c r="P190" s="1540"/>
      <c r="Q190" s="978" t="s">
        <v>100</v>
      </c>
      <c r="R190" s="972"/>
      <c r="S190" s="973"/>
      <c r="T190" s="1258"/>
      <c r="U190" s="1337"/>
      <c r="V190" s="72">
        <f>IF(AND(Q190="ja",R190=""),1,0)</f>
        <v>0</v>
      </c>
      <c r="Y190" s="74">
        <v>1.5E-3</v>
      </c>
      <c r="Z190" s="77">
        <f>IF(H190="ja",Y190,0)</f>
        <v>0</v>
      </c>
      <c r="AA190" s="78"/>
      <c r="AB190" s="78">
        <f t="shared" si="2"/>
        <v>0</v>
      </c>
    </row>
    <row r="191" spans="1:28" ht="15.8" customHeight="1" thickBot="1" x14ac:dyDescent="0.3">
      <c r="A191" s="1595"/>
      <c r="B191" s="1490"/>
      <c r="C191" s="1491"/>
      <c r="D191" s="1491"/>
      <c r="E191" s="1491"/>
      <c r="F191" s="1491"/>
      <c r="G191" s="1492"/>
      <c r="H191" s="983"/>
      <c r="I191" s="1018"/>
      <c r="J191" s="1031"/>
      <c r="K191" s="1693"/>
      <c r="L191" s="1541"/>
      <c r="M191" s="1542"/>
      <c r="N191" s="1542"/>
      <c r="O191" s="1542"/>
      <c r="P191" s="1542"/>
      <c r="Q191" s="979"/>
      <c r="R191" s="974"/>
      <c r="S191" s="975"/>
      <c r="T191" s="1259"/>
      <c r="U191" s="1337"/>
      <c r="Y191" s="74"/>
      <c r="Z191" s="77"/>
      <c r="AA191" s="78"/>
      <c r="AB191" s="78">
        <f t="shared" si="2"/>
        <v>0</v>
      </c>
    </row>
    <row r="192" spans="1:28" ht="14.55" thickBot="1" x14ac:dyDescent="0.3">
      <c r="A192" s="1595"/>
      <c r="B192" s="1511" t="s">
        <v>428</v>
      </c>
      <c r="C192" s="1512"/>
      <c r="D192" s="1512"/>
      <c r="E192" s="1512"/>
      <c r="F192" s="1512"/>
      <c r="G192" s="1513"/>
      <c r="H192" s="342"/>
      <c r="I192" s="1361"/>
      <c r="J192" s="1362"/>
      <c r="K192" s="1576"/>
      <c r="L192" s="1534">
        <f>SUM(R178:S191)</f>
        <v>0</v>
      </c>
      <c r="M192" s="1535"/>
      <c r="N192" s="1535"/>
      <c r="O192" s="1535"/>
      <c r="P192" s="1535"/>
      <c r="Q192" s="338"/>
      <c r="R192" s="1495"/>
      <c r="S192" s="1496"/>
      <c r="U192" s="334"/>
      <c r="Y192" s="74"/>
      <c r="Z192" s="152">
        <f>SUM(Z178:Z190)</f>
        <v>0</v>
      </c>
      <c r="AA192" s="78"/>
      <c r="AB192" s="78">
        <f t="shared" si="2"/>
        <v>0</v>
      </c>
    </row>
    <row r="193" spans="1:28" ht="15" customHeight="1" thickBot="1" x14ac:dyDescent="0.3">
      <c r="A193" s="1595"/>
      <c r="B193" s="1497" t="s">
        <v>429</v>
      </c>
      <c r="C193" s="1498"/>
      <c r="D193" s="1498"/>
      <c r="E193" s="1498"/>
      <c r="F193" s="1498"/>
      <c r="G193" s="1499"/>
      <c r="H193" s="1194" t="s">
        <v>100</v>
      </c>
      <c r="I193" s="1016">
        <f>Z234</f>
        <v>0</v>
      </c>
      <c r="J193" s="1027">
        <f>I115*I193</f>
        <v>0</v>
      </c>
      <c r="K193" s="1691"/>
      <c r="L193" s="1285" t="s">
        <v>430</v>
      </c>
      <c r="M193" s="1286"/>
      <c r="N193" s="1286"/>
      <c r="O193" s="1286"/>
      <c r="P193" s="1287"/>
      <c r="Q193" s="1677" t="s">
        <v>100</v>
      </c>
      <c r="R193" s="1296"/>
      <c r="S193" s="1297"/>
      <c r="T193" s="1257" t="str">
        <f>IFERROR(IF((VLOOKUP(U193,Überblick!$M$125:$N$133,2))="ja","ja","nein"),"")</f>
        <v/>
      </c>
      <c r="U193" s="1337"/>
      <c r="V193" s="72">
        <f>IF(AND(Q193="ja",R193=""),1,0)</f>
        <v>0</v>
      </c>
      <c r="Y193" s="74">
        <v>0.17499999999999999</v>
      </c>
      <c r="Z193" s="77">
        <f>IF(H193="ja",Y193,0)</f>
        <v>0</v>
      </c>
      <c r="AA193" s="78"/>
      <c r="AB193" s="78">
        <f t="shared" si="2"/>
        <v>0</v>
      </c>
    </row>
    <row r="194" spans="1:28" ht="15" customHeight="1" thickBot="1" x14ac:dyDescent="0.3">
      <c r="A194" s="1595"/>
      <c r="B194" s="1493"/>
      <c r="C194" s="1317"/>
      <c r="D194" s="1317"/>
      <c r="E194" s="1317"/>
      <c r="F194" s="1317"/>
      <c r="G194" s="1494"/>
      <c r="H194" s="982"/>
      <c r="I194" s="1017"/>
      <c r="J194" s="1029"/>
      <c r="K194" s="1692"/>
      <c r="L194" s="1288"/>
      <c r="M194" s="1289"/>
      <c r="N194" s="1289"/>
      <c r="O194" s="1289"/>
      <c r="P194" s="1290"/>
      <c r="Q194" s="1678"/>
      <c r="R194" s="1007"/>
      <c r="S194" s="1008"/>
      <c r="T194" s="1258"/>
      <c r="U194" s="1337"/>
      <c r="Y194" s="74"/>
      <c r="Z194" s="77"/>
      <c r="AA194" s="78"/>
      <c r="AB194" s="78">
        <f t="shared" si="2"/>
        <v>0</v>
      </c>
    </row>
    <row r="195" spans="1:28" ht="15" customHeight="1" thickBot="1" x14ac:dyDescent="0.3">
      <c r="A195" s="1595"/>
      <c r="B195" s="1493"/>
      <c r="C195" s="1317"/>
      <c r="D195" s="1317"/>
      <c r="E195" s="1317"/>
      <c r="F195" s="1317"/>
      <c r="G195" s="1494"/>
      <c r="H195" s="982"/>
      <c r="I195" s="1017"/>
      <c r="J195" s="1029"/>
      <c r="K195" s="1692"/>
      <c r="L195" s="1288"/>
      <c r="M195" s="1289"/>
      <c r="N195" s="1289"/>
      <c r="O195" s="1289"/>
      <c r="P195" s="1290"/>
      <c r="Q195" s="1678"/>
      <c r="R195" s="1007"/>
      <c r="S195" s="1008"/>
      <c r="T195" s="1258"/>
      <c r="U195" s="1337"/>
      <c r="Y195" s="74"/>
      <c r="Z195" s="77"/>
      <c r="AA195" s="78"/>
      <c r="AB195" s="78">
        <f t="shared" si="2"/>
        <v>0</v>
      </c>
    </row>
    <row r="196" spans="1:28" ht="15" customHeight="1" thickBot="1" x14ac:dyDescent="0.3">
      <c r="A196" s="1595"/>
      <c r="B196" s="1493"/>
      <c r="C196" s="1317"/>
      <c r="D196" s="1317"/>
      <c r="E196" s="1317"/>
      <c r="F196" s="1317"/>
      <c r="G196" s="1494"/>
      <c r="H196" s="982"/>
      <c r="I196" s="1017"/>
      <c r="J196" s="1029"/>
      <c r="K196" s="1692"/>
      <c r="L196" s="1288"/>
      <c r="M196" s="1289"/>
      <c r="N196" s="1289"/>
      <c r="O196" s="1289"/>
      <c r="P196" s="1290"/>
      <c r="Q196" s="1678"/>
      <c r="R196" s="1007"/>
      <c r="S196" s="1008"/>
      <c r="T196" s="1258"/>
      <c r="U196" s="1337"/>
      <c r="V196" s="72">
        <f>IF(AND(Q196="ja",R196=""),1,0)</f>
        <v>0</v>
      </c>
      <c r="Y196" s="74"/>
      <c r="Z196" s="77"/>
      <c r="AA196" s="78"/>
      <c r="AB196" s="78">
        <f t="shared" si="2"/>
        <v>0</v>
      </c>
    </row>
    <row r="197" spans="1:28" ht="15" customHeight="1" thickBot="1" x14ac:dyDescent="0.3">
      <c r="A197" s="1595"/>
      <c r="B197" s="1493"/>
      <c r="C197" s="1317"/>
      <c r="D197" s="1317"/>
      <c r="E197" s="1317"/>
      <c r="F197" s="1317"/>
      <c r="G197" s="1494"/>
      <c r="H197" s="982"/>
      <c r="I197" s="1017"/>
      <c r="J197" s="1029"/>
      <c r="K197" s="1692"/>
      <c r="L197" s="1288"/>
      <c r="M197" s="1289"/>
      <c r="N197" s="1289"/>
      <c r="O197" s="1289"/>
      <c r="P197" s="1290"/>
      <c r="Q197" s="1678"/>
      <c r="R197" s="1007"/>
      <c r="S197" s="1008"/>
      <c r="T197" s="1258"/>
      <c r="U197" s="1337"/>
      <c r="Y197" s="74"/>
      <c r="Z197" s="77"/>
      <c r="AA197" s="78"/>
      <c r="AB197" s="78">
        <f t="shared" si="2"/>
        <v>0</v>
      </c>
    </row>
    <row r="198" spans="1:28" ht="15" customHeight="1" thickBot="1" x14ac:dyDescent="0.3">
      <c r="A198" s="1595"/>
      <c r="B198" s="1493"/>
      <c r="C198" s="1317"/>
      <c r="D198" s="1317"/>
      <c r="E198" s="1317"/>
      <c r="F198" s="1317"/>
      <c r="G198" s="1494"/>
      <c r="H198" s="982"/>
      <c r="I198" s="1017"/>
      <c r="J198" s="1029"/>
      <c r="K198" s="1692"/>
      <c r="L198" s="1288"/>
      <c r="M198" s="1289"/>
      <c r="N198" s="1289"/>
      <c r="O198" s="1289"/>
      <c r="P198" s="1290"/>
      <c r="Q198" s="1678"/>
      <c r="R198" s="1007"/>
      <c r="S198" s="1008"/>
      <c r="T198" s="1258"/>
      <c r="U198" s="1337"/>
      <c r="Y198" s="74"/>
      <c r="Z198" s="77"/>
      <c r="AA198" s="78"/>
      <c r="AB198" s="78">
        <f t="shared" si="2"/>
        <v>0</v>
      </c>
    </row>
    <row r="199" spans="1:28" ht="15" customHeight="1" thickBot="1" x14ac:dyDescent="0.3">
      <c r="A199" s="1595"/>
      <c r="B199" s="1490"/>
      <c r="C199" s="1491"/>
      <c r="D199" s="1491"/>
      <c r="E199" s="1491"/>
      <c r="F199" s="1491"/>
      <c r="G199" s="1492"/>
      <c r="H199" s="983"/>
      <c r="I199" s="1017"/>
      <c r="J199" s="1029"/>
      <c r="K199" s="1692"/>
      <c r="L199" s="1288"/>
      <c r="M199" s="1289"/>
      <c r="N199" s="1289"/>
      <c r="O199" s="1289"/>
      <c r="P199" s="1290"/>
      <c r="Q199" s="1678"/>
      <c r="R199" s="1007"/>
      <c r="S199" s="1008"/>
      <c r="T199" s="1258"/>
      <c r="U199" s="1337"/>
      <c r="V199" s="72">
        <f>IF(AND(Q199="ja",R199=""),1,0)</f>
        <v>0</v>
      </c>
      <c r="Y199" s="74"/>
      <c r="Z199" s="77"/>
      <c r="AA199" s="78"/>
      <c r="AB199" s="78">
        <f t="shared" si="2"/>
        <v>0</v>
      </c>
    </row>
    <row r="200" spans="1:28" ht="15" customHeight="1" thickBot="1" x14ac:dyDescent="0.3">
      <c r="A200" s="1595"/>
      <c r="B200" s="1103" t="s">
        <v>431</v>
      </c>
      <c r="C200" s="1104"/>
      <c r="D200" s="1104"/>
      <c r="E200" s="1104"/>
      <c r="F200" s="1104"/>
      <c r="G200" s="1105"/>
      <c r="H200" s="314" t="s">
        <v>100</v>
      </c>
      <c r="I200" s="1017"/>
      <c r="J200" s="1029"/>
      <c r="K200" s="1692"/>
      <c r="L200" s="1288"/>
      <c r="M200" s="1289"/>
      <c r="N200" s="1289"/>
      <c r="O200" s="1289"/>
      <c r="P200" s="1290"/>
      <c r="Q200" s="1678"/>
      <c r="R200" s="1007"/>
      <c r="S200" s="1008"/>
      <c r="T200" s="1258"/>
      <c r="U200" s="1337"/>
      <c r="Y200" s="74">
        <v>3.0000000000000001E-3</v>
      </c>
      <c r="Z200" s="77">
        <f>IF(H200="ja",Y200,0)</f>
        <v>0</v>
      </c>
      <c r="AA200" s="78"/>
      <c r="AB200" s="78">
        <f t="shared" si="2"/>
        <v>0</v>
      </c>
    </row>
    <row r="201" spans="1:28" ht="15" customHeight="1" thickBot="1" x14ac:dyDescent="0.3">
      <c r="A201" s="1595"/>
      <c r="B201" s="1487" t="s">
        <v>432</v>
      </c>
      <c r="C201" s="1488"/>
      <c r="D201" s="1488"/>
      <c r="E201" s="1488"/>
      <c r="F201" s="1488"/>
      <c r="G201" s="1489"/>
      <c r="H201" s="981" t="s">
        <v>100</v>
      </c>
      <c r="I201" s="1017"/>
      <c r="J201" s="1029"/>
      <c r="K201" s="1692"/>
      <c r="L201" s="1288"/>
      <c r="M201" s="1289"/>
      <c r="N201" s="1289"/>
      <c r="O201" s="1289"/>
      <c r="P201" s="1290"/>
      <c r="Q201" s="1678"/>
      <c r="R201" s="1007"/>
      <c r="S201" s="1008"/>
      <c r="T201" s="1258"/>
      <c r="U201" s="1337"/>
      <c r="Y201" s="74">
        <v>6.4999999999999997E-3</v>
      </c>
      <c r="Z201" s="77">
        <f>IF(H201="ja",Y201,0)</f>
        <v>0</v>
      </c>
      <c r="AA201" s="78"/>
      <c r="AB201" s="78">
        <f t="shared" si="2"/>
        <v>0</v>
      </c>
    </row>
    <row r="202" spans="1:28" ht="15" customHeight="1" thickBot="1" x14ac:dyDescent="0.3">
      <c r="A202" s="1595"/>
      <c r="B202" s="1490"/>
      <c r="C202" s="1491"/>
      <c r="D202" s="1491"/>
      <c r="E202" s="1491"/>
      <c r="F202" s="1491"/>
      <c r="G202" s="1492"/>
      <c r="H202" s="983"/>
      <c r="I202" s="1017"/>
      <c r="J202" s="1029"/>
      <c r="K202" s="1692"/>
      <c r="L202" s="1288"/>
      <c r="M202" s="1289"/>
      <c r="N202" s="1289"/>
      <c r="O202" s="1289"/>
      <c r="P202" s="1290"/>
      <c r="Q202" s="1679"/>
      <c r="R202" s="1269"/>
      <c r="S202" s="1270"/>
      <c r="T202" s="1258"/>
      <c r="U202" s="1337"/>
      <c r="V202" s="72">
        <f>IF(AND(Q203="ja",R203=""),1,0)</f>
        <v>0</v>
      </c>
      <c r="Y202" s="74"/>
      <c r="Z202" s="77"/>
      <c r="AA202" s="78"/>
      <c r="AB202" s="78">
        <f>IF(Q203="ja",1,0)</f>
        <v>0</v>
      </c>
    </row>
    <row r="203" spans="1:28" ht="15" customHeight="1" thickBot="1" x14ac:dyDescent="0.3">
      <c r="A203" s="1595"/>
      <c r="B203" s="1103" t="s">
        <v>433</v>
      </c>
      <c r="C203" s="1104"/>
      <c r="D203" s="1104"/>
      <c r="E203" s="1104"/>
      <c r="F203" s="1104"/>
      <c r="G203" s="1105"/>
      <c r="H203" s="314" t="s">
        <v>100</v>
      </c>
      <c r="I203" s="1017"/>
      <c r="J203" s="1029"/>
      <c r="K203" s="1692"/>
      <c r="L203" s="1484" t="s">
        <v>247</v>
      </c>
      <c r="M203" s="1485"/>
      <c r="N203" s="1485"/>
      <c r="O203" s="1485"/>
      <c r="P203" s="1486"/>
      <c r="Q203" s="979" t="s">
        <v>100</v>
      </c>
      <c r="R203" s="1005"/>
      <c r="S203" s="1006"/>
      <c r="T203" s="1258"/>
      <c r="U203" s="1337"/>
      <c r="Y203" s="74">
        <v>5.0000000000000001E-3</v>
      </c>
      <c r="Z203" s="77">
        <f>IF(H203="ja",Y203,0)</f>
        <v>0</v>
      </c>
      <c r="AA203" s="78"/>
      <c r="AB203" s="78">
        <f>IF(Q204="ja",1,0)</f>
        <v>0</v>
      </c>
    </row>
    <row r="204" spans="1:28" ht="15" customHeight="1" thickBot="1" x14ac:dyDescent="0.3">
      <c r="A204" s="1595"/>
      <c r="B204" s="1487" t="s">
        <v>434</v>
      </c>
      <c r="C204" s="1488"/>
      <c r="D204" s="1488"/>
      <c r="E204" s="1488"/>
      <c r="F204" s="1488"/>
      <c r="G204" s="1489"/>
      <c r="H204" s="981" t="s">
        <v>100</v>
      </c>
      <c r="I204" s="1017"/>
      <c r="J204" s="1029"/>
      <c r="K204" s="1692"/>
      <c r="L204" s="1291"/>
      <c r="M204" s="1292"/>
      <c r="N204" s="1292"/>
      <c r="O204" s="1292"/>
      <c r="P204" s="1293"/>
      <c r="Q204" s="1295"/>
      <c r="R204" s="1269"/>
      <c r="S204" s="1270"/>
      <c r="T204" s="1258"/>
      <c r="U204" s="1337"/>
      <c r="Y204" s="74">
        <v>1E-3</v>
      </c>
      <c r="Z204" s="77">
        <f>IF(H204="ja",Y204,0)</f>
        <v>0</v>
      </c>
      <c r="AA204" s="78"/>
      <c r="AB204" s="78">
        <f t="shared" si="2"/>
        <v>0</v>
      </c>
    </row>
    <row r="205" spans="1:28" ht="15" customHeight="1" thickBot="1" x14ac:dyDescent="0.3">
      <c r="A205" s="1595"/>
      <c r="B205" s="1493"/>
      <c r="C205" s="1317"/>
      <c r="D205" s="1317"/>
      <c r="E205" s="1317"/>
      <c r="F205" s="1317"/>
      <c r="G205" s="1494"/>
      <c r="H205" s="982"/>
      <c r="I205" s="1017"/>
      <c r="J205" s="1029"/>
      <c r="K205" s="1692"/>
      <c r="L205" s="984"/>
      <c r="M205" s="985"/>
      <c r="N205" s="985"/>
      <c r="O205" s="985"/>
      <c r="P205" s="985"/>
      <c r="Q205" s="979" t="s">
        <v>100</v>
      </c>
      <c r="R205" s="1005"/>
      <c r="S205" s="1006"/>
      <c r="T205" s="1258"/>
      <c r="U205" s="1337"/>
      <c r="V205" s="72">
        <f>IF(AND(Q205="ja",R205=""),1,0)</f>
        <v>0</v>
      </c>
      <c r="Y205" s="74"/>
      <c r="Z205" s="77"/>
      <c r="AA205" s="78"/>
      <c r="AB205" s="78">
        <f t="shared" si="2"/>
        <v>0</v>
      </c>
    </row>
    <row r="206" spans="1:28" ht="15" customHeight="1" thickBot="1" x14ac:dyDescent="0.3">
      <c r="A206" s="1595"/>
      <c r="B206" s="1490"/>
      <c r="C206" s="1491"/>
      <c r="D206" s="1491"/>
      <c r="E206" s="1491"/>
      <c r="F206" s="1491"/>
      <c r="G206" s="1492"/>
      <c r="H206" s="983"/>
      <c r="I206" s="1017"/>
      <c r="J206" s="1029"/>
      <c r="K206" s="1692"/>
      <c r="L206" s="984"/>
      <c r="M206" s="985"/>
      <c r="N206" s="985"/>
      <c r="O206" s="985"/>
      <c r="P206" s="985"/>
      <c r="Q206" s="1003"/>
      <c r="R206" s="1007"/>
      <c r="S206" s="1008"/>
      <c r="T206" s="1258"/>
      <c r="U206" s="1337"/>
      <c r="Y206" s="74"/>
      <c r="Z206" s="77"/>
      <c r="AA206" s="78"/>
      <c r="AB206" s="78">
        <f t="shared" si="2"/>
        <v>0</v>
      </c>
    </row>
    <row r="207" spans="1:28" ht="15" customHeight="1" thickBot="1" x14ac:dyDescent="0.3">
      <c r="A207" s="1595"/>
      <c r="B207" s="1103" t="s">
        <v>435</v>
      </c>
      <c r="C207" s="1104"/>
      <c r="D207" s="1104"/>
      <c r="E207" s="1104"/>
      <c r="F207" s="1104"/>
      <c r="G207" s="1105"/>
      <c r="H207" s="314" t="s">
        <v>100</v>
      </c>
      <c r="I207" s="1017"/>
      <c r="J207" s="1029"/>
      <c r="K207" s="1692"/>
      <c r="L207" s="984"/>
      <c r="M207" s="985"/>
      <c r="N207" s="985"/>
      <c r="O207" s="985"/>
      <c r="P207" s="985"/>
      <c r="Q207" s="1295"/>
      <c r="R207" s="1269"/>
      <c r="S207" s="1270"/>
      <c r="T207" s="1258"/>
      <c r="U207" s="1337"/>
      <c r="Y207" s="74">
        <v>2.2499999999999999E-2</v>
      </c>
      <c r="Z207" s="77">
        <f>IF(H207="ja",Y207,0)</f>
        <v>0</v>
      </c>
      <c r="AA207" s="78"/>
      <c r="AB207" s="78">
        <f t="shared" si="2"/>
        <v>0</v>
      </c>
    </row>
    <row r="208" spans="1:28" ht="15" customHeight="1" thickBot="1" x14ac:dyDescent="0.3">
      <c r="A208" s="1595"/>
      <c r="B208" s="1487" t="s">
        <v>436</v>
      </c>
      <c r="C208" s="1488"/>
      <c r="D208" s="1488"/>
      <c r="E208" s="1488"/>
      <c r="F208" s="1488"/>
      <c r="G208" s="1489"/>
      <c r="H208" s="981" t="s">
        <v>100</v>
      </c>
      <c r="I208" s="1017"/>
      <c r="J208" s="1029"/>
      <c r="K208" s="1692"/>
      <c r="L208" s="984" t="s">
        <v>437</v>
      </c>
      <c r="M208" s="985"/>
      <c r="N208" s="985"/>
      <c r="O208" s="985"/>
      <c r="P208" s="985"/>
      <c r="Q208" s="978" t="s">
        <v>100</v>
      </c>
      <c r="R208" s="972"/>
      <c r="S208" s="973"/>
      <c r="T208" s="1258"/>
      <c r="U208" s="1337"/>
      <c r="V208" s="72">
        <f>IF(AND(Q208="ja",R208=""),1,0)</f>
        <v>0</v>
      </c>
      <c r="Y208" s="74">
        <v>6.5000000000000002E-2</v>
      </c>
      <c r="Z208" s="77">
        <f>IF(H208="ja",Y208,0)</f>
        <v>0</v>
      </c>
      <c r="AA208" s="78"/>
      <c r="AB208" s="78">
        <f t="shared" si="2"/>
        <v>0</v>
      </c>
    </row>
    <row r="209" spans="1:28" ht="15" customHeight="1" thickBot="1" x14ac:dyDescent="0.3">
      <c r="A209" s="1595"/>
      <c r="B209" s="1493"/>
      <c r="C209" s="1317"/>
      <c r="D209" s="1317"/>
      <c r="E209" s="1317"/>
      <c r="F209" s="1317"/>
      <c r="G209" s="1494"/>
      <c r="H209" s="982"/>
      <c r="I209" s="1017"/>
      <c r="J209" s="1029"/>
      <c r="K209" s="1692"/>
      <c r="L209" s="984"/>
      <c r="M209" s="985"/>
      <c r="N209" s="985"/>
      <c r="O209" s="985"/>
      <c r="P209" s="985"/>
      <c r="Q209" s="978"/>
      <c r="R209" s="972"/>
      <c r="S209" s="973"/>
      <c r="T209" s="1258"/>
      <c r="U209" s="1337"/>
      <c r="Y209" s="74"/>
      <c r="Z209" s="77"/>
      <c r="AA209" s="78"/>
      <c r="AB209" s="78">
        <f t="shared" si="2"/>
        <v>0</v>
      </c>
    </row>
    <row r="210" spans="1:28" ht="15" customHeight="1" thickBot="1" x14ac:dyDescent="0.3">
      <c r="A210" s="1595"/>
      <c r="B210" s="1493"/>
      <c r="C210" s="1317"/>
      <c r="D210" s="1317"/>
      <c r="E210" s="1317"/>
      <c r="F210" s="1317"/>
      <c r="G210" s="1494"/>
      <c r="H210" s="982"/>
      <c r="I210" s="1017"/>
      <c r="J210" s="1029"/>
      <c r="K210" s="1692"/>
      <c r="L210" s="984"/>
      <c r="M210" s="985"/>
      <c r="N210" s="985"/>
      <c r="O210" s="985"/>
      <c r="P210" s="985"/>
      <c r="Q210" s="978"/>
      <c r="R210" s="972"/>
      <c r="S210" s="973"/>
      <c r="T210" s="1258"/>
      <c r="U210" s="1337"/>
      <c r="Y210" s="74"/>
      <c r="Z210" s="77"/>
      <c r="AA210" s="78"/>
      <c r="AB210" s="78">
        <f t="shared" si="2"/>
        <v>0</v>
      </c>
    </row>
    <row r="211" spans="1:28" ht="15" customHeight="1" thickBot="1" x14ac:dyDescent="0.3">
      <c r="A211" s="1595"/>
      <c r="B211" s="1490"/>
      <c r="C211" s="1491"/>
      <c r="D211" s="1491"/>
      <c r="E211" s="1491"/>
      <c r="F211" s="1491"/>
      <c r="G211" s="1492"/>
      <c r="H211" s="983"/>
      <c r="I211" s="1017"/>
      <c r="J211" s="1029"/>
      <c r="K211" s="1692"/>
      <c r="L211" s="1484" t="s">
        <v>438</v>
      </c>
      <c r="M211" s="1485"/>
      <c r="N211" s="1485"/>
      <c r="O211" s="1485"/>
      <c r="P211" s="1486"/>
      <c r="Q211" s="979" t="s">
        <v>100</v>
      </c>
      <c r="R211" s="1005"/>
      <c r="S211" s="1006"/>
      <c r="T211" s="1258"/>
      <c r="U211" s="1337"/>
      <c r="V211" s="72">
        <f>IF(AND(Q211="ja",R211=""),1,0)</f>
        <v>0</v>
      </c>
      <c r="Y211" s="74"/>
      <c r="Z211" s="77"/>
      <c r="AA211" s="78"/>
      <c r="AB211" s="78">
        <f t="shared" si="2"/>
        <v>0</v>
      </c>
    </row>
    <row r="212" spans="1:28" ht="15" customHeight="1" thickBot="1" x14ac:dyDescent="0.3">
      <c r="A212" s="1595"/>
      <c r="B212" s="1487" t="s">
        <v>439</v>
      </c>
      <c r="C212" s="1488"/>
      <c r="D212" s="1488"/>
      <c r="E212" s="1488"/>
      <c r="F212" s="1488"/>
      <c r="G212" s="1489"/>
      <c r="H212" s="981" t="s">
        <v>100</v>
      </c>
      <c r="I212" s="1017"/>
      <c r="J212" s="1029"/>
      <c r="K212" s="1692"/>
      <c r="L212" s="1288"/>
      <c r="M212" s="1289"/>
      <c r="N212" s="1289"/>
      <c r="O212" s="1289"/>
      <c r="P212" s="1290"/>
      <c r="Q212" s="1003"/>
      <c r="R212" s="1007"/>
      <c r="S212" s="1008"/>
      <c r="T212" s="1258"/>
      <c r="U212" s="1337"/>
      <c r="Y212" s="74">
        <v>8.5000000000000006E-3</v>
      </c>
      <c r="Z212" s="77">
        <f>IF(H212="ja",Y212,0)</f>
        <v>0</v>
      </c>
      <c r="AA212" s="78"/>
      <c r="AB212" s="78">
        <f t="shared" si="2"/>
        <v>0</v>
      </c>
    </row>
    <row r="213" spans="1:28" ht="15" customHeight="1" thickBot="1" x14ac:dyDescent="0.3">
      <c r="A213" s="1595"/>
      <c r="B213" s="1493"/>
      <c r="C213" s="1317"/>
      <c r="D213" s="1317"/>
      <c r="E213" s="1317"/>
      <c r="F213" s="1317"/>
      <c r="G213" s="1494"/>
      <c r="H213" s="982"/>
      <c r="I213" s="1017"/>
      <c r="J213" s="1029"/>
      <c r="K213" s="1692"/>
      <c r="L213" s="1288"/>
      <c r="M213" s="1289"/>
      <c r="N213" s="1289"/>
      <c r="O213" s="1289"/>
      <c r="P213" s="1290"/>
      <c r="Q213" s="1003"/>
      <c r="R213" s="1007"/>
      <c r="S213" s="1008"/>
      <c r="T213" s="1258"/>
      <c r="U213" s="1337"/>
      <c r="Y213" s="74"/>
      <c r="Z213" s="77"/>
      <c r="AA213" s="78"/>
      <c r="AB213" s="78">
        <f t="shared" si="2"/>
        <v>0</v>
      </c>
    </row>
    <row r="214" spans="1:28" ht="15" customHeight="1" thickBot="1" x14ac:dyDescent="0.3">
      <c r="A214" s="1595"/>
      <c r="B214" s="1493"/>
      <c r="C214" s="1317"/>
      <c r="D214" s="1317"/>
      <c r="E214" s="1317"/>
      <c r="F214" s="1317"/>
      <c r="G214" s="1494"/>
      <c r="H214" s="982"/>
      <c r="I214" s="1017"/>
      <c r="J214" s="1029"/>
      <c r="K214" s="1692"/>
      <c r="L214" s="1288"/>
      <c r="M214" s="1289"/>
      <c r="N214" s="1289"/>
      <c r="O214" s="1289"/>
      <c r="P214" s="1290"/>
      <c r="Q214" s="1003"/>
      <c r="R214" s="1007"/>
      <c r="S214" s="1008"/>
      <c r="T214" s="1258"/>
      <c r="U214" s="1337"/>
      <c r="V214" s="72">
        <f>IF(AND(Q214="ja",R214=""),1,0)</f>
        <v>0</v>
      </c>
      <c r="Y214" s="74"/>
      <c r="Z214" s="77"/>
      <c r="AA214" s="78"/>
      <c r="AB214" s="78">
        <f t="shared" si="2"/>
        <v>0</v>
      </c>
    </row>
    <row r="215" spans="1:28" ht="15" customHeight="1" thickBot="1" x14ac:dyDescent="0.3">
      <c r="A215" s="1595"/>
      <c r="B215" s="1490"/>
      <c r="C215" s="1491"/>
      <c r="D215" s="1491"/>
      <c r="E215" s="1491"/>
      <c r="F215" s="1491"/>
      <c r="G215" s="1492"/>
      <c r="H215" s="983"/>
      <c r="I215" s="1017"/>
      <c r="J215" s="1029"/>
      <c r="K215" s="1692"/>
      <c r="L215" s="1288"/>
      <c r="M215" s="1289"/>
      <c r="N215" s="1289"/>
      <c r="O215" s="1289"/>
      <c r="P215" s="1290"/>
      <c r="Q215" s="1003"/>
      <c r="R215" s="1007"/>
      <c r="S215" s="1008"/>
      <c r="T215" s="1258"/>
      <c r="U215" s="1337"/>
      <c r="Y215" s="74"/>
      <c r="Z215" s="77"/>
      <c r="AA215" s="78"/>
      <c r="AB215" s="78">
        <f t="shared" si="2"/>
        <v>0</v>
      </c>
    </row>
    <row r="216" spans="1:28" ht="15" customHeight="1" thickBot="1" x14ac:dyDescent="0.3">
      <c r="A216" s="1595"/>
      <c r="B216" s="1103" t="s">
        <v>440</v>
      </c>
      <c r="C216" s="1104"/>
      <c r="D216" s="1104"/>
      <c r="E216" s="1104"/>
      <c r="F216" s="1104"/>
      <c r="G216" s="1105"/>
      <c r="H216" s="314" t="s">
        <v>100</v>
      </c>
      <c r="I216" s="1017"/>
      <c r="J216" s="1029"/>
      <c r="K216" s="1692"/>
      <c r="L216" s="1291"/>
      <c r="M216" s="1292"/>
      <c r="N216" s="1292"/>
      <c r="O216" s="1292"/>
      <c r="P216" s="1293"/>
      <c r="Q216" s="1295"/>
      <c r="R216" s="1269"/>
      <c r="S216" s="1270"/>
      <c r="T216" s="1258"/>
      <c r="U216" s="1337"/>
      <c r="Y216" s="74">
        <v>8.0000000000000002E-3</v>
      </c>
      <c r="Z216" s="77">
        <f>IF(H216="ja",Y216,0)</f>
        <v>0</v>
      </c>
      <c r="AA216" s="78"/>
      <c r="AB216" s="78">
        <f t="shared" si="2"/>
        <v>0</v>
      </c>
    </row>
    <row r="217" spans="1:28" ht="15" customHeight="1" thickBot="1" x14ac:dyDescent="0.3">
      <c r="A217" s="1595"/>
      <c r="B217" s="1103" t="s">
        <v>441</v>
      </c>
      <c r="C217" s="1104"/>
      <c r="D217" s="1104"/>
      <c r="E217" s="1104"/>
      <c r="F217" s="1104"/>
      <c r="G217" s="1105"/>
      <c r="H217" s="314" t="s">
        <v>100</v>
      </c>
      <c r="I217" s="1017"/>
      <c r="J217" s="1029"/>
      <c r="K217" s="1692"/>
      <c r="L217" s="1484" t="s">
        <v>442</v>
      </c>
      <c r="M217" s="1485"/>
      <c r="N217" s="1485"/>
      <c r="O217" s="1485"/>
      <c r="P217" s="1486"/>
      <c r="Q217" s="979" t="s">
        <v>100</v>
      </c>
      <c r="R217" s="1005"/>
      <c r="S217" s="1006"/>
      <c r="T217" s="1258"/>
      <c r="U217" s="1337"/>
      <c r="V217" s="72">
        <f>IF(AND(Q217="ja",R217=""),1,0)</f>
        <v>0</v>
      </c>
      <c r="Y217" s="74">
        <v>5.0000000000000001E-3</v>
      </c>
      <c r="Z217" s="77">
        <f>IF(H217="ja",Y217,0)</f>
        <v>0</v>
      </c>
      <c r="AA217" s="78"/>
      <c r="AB217" s="78">
        <f t="shared" si="2"/>
        <v>0</v>
      </c>
    </row>
    <row r="218" spans="1:28" ht="15" customHeight="1" thickBot="1" x14ac:dyDescent="0.3">
      <c r="A218" s="1595"/>
      <c r="B218" s="1487" t="s">
        <v>443</v>
      </c>
      <c r="C218" s="1488"/>
      <c r="D218" s="1488"/>
      <c r="E218" s="1488"/>
      <c r="F218" s="1488"/>
      <c r="G218" s="1489"/>
      <c r="H218" s="981" t="s">
        <v>100</v>
      </c>
      <c r="I218" s="1017"/>
      <c r="J218" s="1029"/>
      <c r="K218" s="1692"/>
      <c r="L218" s="1288"/>
      <c r="M218" s="1289"/>
      <c r="N218" s="1289"/>
      <c r="O218" s="1289"/>
      <c r="P218" s="1290"/>
      <c r="Q218" s="1003"/>
      <c r="R218" s="1007"/>
      <c r="S218" s="1008"/>
      <c r="T218" s="1258"/>
      <c r="U218" s="1337"/>
      <c r="Y218" s="74">
        <v>2.5000000000000001E-2</v>
      </c>
      <c r="Z218" s="77">
        <f>IF(H218="ja",Y218,0)</f>
        <v>0</v>
      </c>
      <c r="AA218" s="78"/>
      <c r="AB218" s="78">
        <f t="shared" si="2"/>
        <v>0</v>
      </c>
    </row>
    <row r="219" spans="1:28" ht="15" customHeight="1" thickBot="1" x14ac:dyDescent="0.3">
      <c r="A219" s="1595"/>
      <c r="B219" s="1493"/>
      <c r="C219" s="1317"/>
      <c r="D219" s="1317"/>
      <c r="E219" s="1317"/>
      <c r="F219" s="1317"/>
      <c r="G219" s="1494"/>
      <c r="H219" s="982"/>
      <c r="I219" s="1017"/>
      <c r="J219" s="1029"/>
      <c r="K219" s="1692"/>
      <c r="L219" s="1288"/>
      <c r="M219" s="1289"/>
      <c r="N219" s="1289"/>
      <c r="O219" s="1289"/>
      <c r="P219" s="1290"/>
      <c r="Q219" s="1003"/>
      <c r="R219" s="1007"/>
      <c r="S219" s="1008"/>
      <c r="T219" s="1258"/>
      <c r="U219" s="1337"/>
      <c r="Y219" s="74"/>
      <c r="Z219" s="77"/>
      <c r="AA219" s="78"/>
      <c r="AB219" s="78">
        <f t="shared" si="2"/>
        <v>0</v>
      </c>
    </row>
    <row r="220" spans="1:28" ht="15" customHeight="1" thickBot="1" x14ac:dyDescent="0.3">
      <c r="A220" s="1595"/>
      <c r="B220" s="1493"/>
      <c r="C220" s="1317"/>
      <c r="D220" s="1317"/>
      <c r="E220" s="1317"/>
      <c r="F220" s="1317"/>
      <c r="G220" s="1494"/>
      <c r="H220" s="982"/>
      <c r="I220" s="1017"/>
      <c r="J220" s="1029"/>
      <c r="K220" s="1692"/>
      <c r="L220" s="1288"/>
      <c r="M220" s="1289"/>
      <c r="N220" s="1289"/>
      <c r="O220" s="1289"/>
      <c r="P220" s="1290"/>
      <c r="Q220" s="1003"/>
      <c r="R220" s="1007"/>
      <c r="S220" s="1008"/>
      <c r="T220" s="1258"/>
      <c r="U220" s="1337"/>
      <c r="V220" s="72">
        <f>IF(AND(Q220="ja",R220=""),1,0)</f>
        <v>0</v>
      </c>
      <c r="Y220" s="74"/>
      <c r="Z220" s="77"/>
      <c r="AA220" s="78"/>
      <c r="AB220" s="78">
        <f t="shared" si="2"/>
        <v>0</v>
      </c>
    </row>
    <row r="221" spans="1:28" ht="15" customHeight="1" thickBot="1" x14ac:dyDescent="0.3">
      <c r="A221" s="1595"/>
      <c r="B221" s="1490"/>
      <c r="C221" s="1491"/>
      <c r="D221" s="1491"/>
      <c r="E221" s="1491"/>
      <c r="F221" s="1491"/>
      <c r="G221" s="1492"/>
      <c r="H221" s="983"/>
      <c r="I221" s="1017"/>
      <c r="J221" s="1029"/>
      <c r="K221" s="1692"/>
      <c r="L221" s="1288"/>
      <c r="M221" s="1289"/>
      <c r="N221" s="1289"/>
      <c r="O221" s="1289"/>
      <c r="P221" s="1290"/>
      <c r="Q221" s="1003"/>
      <c r="R221" s="1007"/>
      <c r="S221" s="1008"/>
      <c r="T221" s="1258"/>
      <c r="U221" s="1337"/>
      <c r="Y221" s="74"/>
      <c r="Z221" s="77"/>
      <c r="AA221" s="78"/>
      <c r="AB221" s="78">
        <f t="shared" si="2"/>
        <v>0</v>
      </c>
    </row>
    <row r="222" spans="1:28" ht="15" customHeight="1" thickBot="1" x14ac:dyDescent="0.3">
      <c r="A222" s="1595"/>
      <c r="B222" s="1103" t="s">
        <v>444</v>
      </c>
      <c r="C222" s="1104"/>
      <c r="D222" s="1104"/>
      <c r="E222" s="1104"/>
      <c r="F222" s="1104"/>
      <c r="G222" s="1105"/>
      <c r="H222" s="314" t="s">
        <v>100</v>
      </c>
      <c r="I222" s="1017"/>
      <c r="J222" s="1029"/>
      <c r="K222" s="1692"/>
      <c r="L222" s="1288"/>
      <c r="M222" s="1289"/>
      <c r="N222" s="1289"/>
      <c r="O222" s="1289"/>
      <c r="P222" s="1290"/>
      <c r="Q222" s="1003"/>
      <c r="R222" s="1007"/>
      <c r="S222" s="1008"/>
      <c r="T222" s="1258"/>
      <c r="U222" s="1337"/>
      <c r="Y222" s="74">
        <v>1E-3</v>
      </c>
      <c r="Z222" s="77">
        <f>IF(H222="ja",Y222,0)</f>
        <v>0</v>
      </c>
      <c r="AA222" s="78"/>
      <c r="AB222" s="78">
        <f t="shared" si="2"/>
        <v>0</v>
      </c>
    </row>
    <row r="223" spans="1:28" ht="15" customHeight="1" thickBot="1" x14ac:dyDescent="0.3">
      <c r="A223" s="1595"/>
      <c r="B223" s="1487" t="s">
        <v>445</v>
      </c>
      <c r="C223" s="1488"/>
      <c r="D223" s="1488"/>
      <c r="E223" s="1488"/>
      <c r="F223" s="1488"/>
      <c r="G223" s="1489"/>
      <c r="H223" s="981" t="s">
        <v>100</v>
      </c>
      <c r="I223" s="1017"/>
      <c r="J223" s="1029"/>
      <c r="K223" s="1692"/>
      <c r="L223" s="1288"/>
      <c r="M223" s="1289"/>
      <c r="N223" s="1289"/>
      <c r="O223" s="1289"/>
      <c r="P223" s="1290"/>
      <c r="Q223" s="1003"/>
      <c r="R223" s="1007"/>
      <c r="S223" s="1008"/>
      <c r="T223" s="1258"/>
      <c r="U223" s="1337"/>
      <c r="V223" s="72">
        <f>IF(AND(Q223="ja",R223=""),1,0)</f>
        <v>0</v>
      </c>
      <c r="Y223" s="74">
        <v>7.4999999999999997E-3</v>
      </c>
      <c r="Z223" s="77">
        <f>IF(H223="ja",Y223,0)</f>
        <v>0</v>
      </c>
      <c r="AA223" s="78"/>
      <c r="AB223" s="78">
        <f t="shared" si="2"/>
        <v>0</v>
      </c>
    </row>
    <row r="224" spans="1:28" ht="15" customHeight="1" thickBot="1" x14ac:dyDescent="0.3">
      <c r="A224" s="1595"/>
      <c r="B224" s="1493"/>
      <c r="C224" s="1317"/>
      <c r="D224" s="1317"/>
      <c r="E224" s="1317"/>
      <c r="F224" s="1317"/>
      <c r="G224" s="1494"/>
      <c r="H224" s="982"/>
      <c r="I224" s="1017"/>
      <c r="J224" s="1029"/>
      <c r="K224" s="1692"/>
      <c r="L224" s="1288"/>
      <c r="M224" s="1289"/>
      <c r="N224" s="1289"/>
      <c r="O224" s="1289"/>
      <c r="P224" s="1290"/>
      <c r="Q224" s="1003"/>
      <c r="R224" s="1007"/>
      <c r="S224" s="1008"/>
      <c r="T224" s="1258"/>
      <c r="U224" s="1337"/>
      <c r="Y224" s="74"/>
      <c r="Z224" s="77"/>
      <c r="AA224" s="78"/>
      <c r="AB224" s="78">
        <f t="shared" si="2"/>
        <v>0</v>
      </c>
    </row>
    <row r="225" spans="1:28" ht="15" customHeight="1" thickBot="1" x14ac:dyDescent="0.3">
      <c r="A225" s="1595"/>
      <c r="B225" s="1493"/>
      <c r="C225" s="1317"/>
      <c r="D225" s="1317"/>
      <c r="E225" s="1317"/>
      <c r="F225" s="1317"/>
      <c r="G225" s="1494"/>
      <c r="H225" s="982"/>
      <c r="I225" s="1017"/>
      <c r="J225" s="1029"/>
      <c r="K225" s="1692"/>
      <c r="L225" s="1291"/>
      <c r="M225" s="1292"/>
      <c r="N225" s="1292"/>
      <c r="O225" s="1292"/>
      <c r="P225" s="1293"/>
      <c r="Q225" s="1295"/>
      <c r="R225" s="1269"/>
      <c r="S225" s="1270"/>
      <c r="T225" s="1258"/>
      <c r="U225" s="1337"/>
      <c r="Y225" s="74"/>
      <c r="Z225" s="77"/>
      <c r="AA225" s="78"/>
      <c r="AB225" s="78">
        <f t="shared" si="2"/>
        <v>0</v>
      </c>
    </row>
    <row r="226" spans="1:28" ht="15" customHeight="1" thickBot="1" x14ac:dyDescent="0.3">
      <c r="A226" s="1595"/>
      <c r="B226" s="1490"/>
      <c r="C226" s="1491"/>
      <c r="D226" s="1491"/>
      <c r="E226" s="1491"/>
      <c r="F226" s="1491"/>
      <c r="G226" s="1492"/>
      <c r="H226" s="983"/>
      <c r="I226" s="1017"/>
      <c r="J226" s="1029"/>
      <c r="K226" s="1692"/>
      <c r="L226" s="984" t="s">
        <v>254</v>
      </c>
      <c r="M226" s="985"/>
      <c r="N226" s="985"/>
      <c r="O226" s="985"/>
      <c r="P226" s="985"/>
      <c r="Q226" s="978" t="s">
        <v>100</v>
      </c>
      <c r="R226" s="972"/>
      <c r="S226" s="973"/>
      <c r="T226" s="1258"/>
      <c r="U226" s="1337"/>
      <c r="V226" s="72">
        <f>IF(AND(Q226="ja",R226=""),1,0)</f>
        <v>0</v>
      </c>
      <c r="Y226" s="74"/>
      <c r="Z226" s="77"/>
      <c r="AA226" s="78"/>
      <c r="AB226" s="78">
        <f t="shared" si="2"/>
        <v>0</v>
      </c>
    </row>
    <row r="227" spans="1:28" ht="15" customHeight="1" thickBot="1" x14ac:dyDescent="0.3">
      <c r="A227" s="1595"/>
      <c r="B227" s="1487" t="s">
        <v>446</v>
      </c>
      <c r="C227" s="1488"/>
      <c r="D227" s="1488"/>
      <c r="E227" s="1488"/>
      <c r="F227" s="1488"/>
      <c r="G227" s="1489"/>
      <c r="H227" s="981" t="s">
        <v>100</v>
      </c>
      <c r="I227" s="1017"/>
      <c r="J227" s="1029"/>
      <c r="K227" s="1692"/>
      <c r="L227" s="984"/>
      <c r="M227" s="985"/>
      <c r="N227" s="985"/>
      <c r="O227" s="985"/>
      <c r="P227" s="985"/>
      <c r="Q227" s="978"/>
      <c r="R227" s="972"/>
      <c r="S227" s="973"/>
      <c r="T227" s="1258"/>
      <c r="U227" s="1337"/>
      <c r="Y227" s="74">
        <v>1E-3</v>
      </c>
      <c r="Z227" s="77">
        <f>IF(H227="ja",Y227,0)</f>
        <v>0</v>
      </c>
      <c r="AA227" s="78"/>
      <c r="AB227" s="78">
        <f t="shared" si="2"/>
        <v>0</v>
      </c>
    </row>
    <row r="228" spans="1:28" ht="15" customHeight="1" thickBot="1" x14ac:dyDescent="0.3">
      <c r="A228" s="1595"/>
      <c r="B228" s="1490"/>
      <c r="C228" s="1491"/>
      <c r="D228" s="1491"/>
      <c r="E228" s="1491"/>
      <c r="F228" s="1491"/>
      <c r="G228" s="1492"/>
      <c r="H228" s="983"/>
      <c r="I228" s="1017"/>
      <c r="J228" s="1029"/>
      <c r="K228" s="1692"/>
      <c r="L228" s="984"/>
      <c r="M228" s="985"/>
      <c r="N228" s="985"/>
      <c r="O228" s="985"/>
      <c r="P228" s="985"/>
      <c r="Q228" s="978"/>
      <c r="R228" s="972"/>
      <c r="S228" s="973"/>
      <c r="T228" s="1258"/>
      <c r="U228" s="1337"/>
      <c r="Y228" s="74"/>
      <c r="Z228" s="77"/>
      <c r="AA228" s="78"/>
      <c r="AB228" s="78">
        <f t="shared" si="2"/>
        <v>0</v>
      </c>
    </row>
    <row r="229" spans="1:28" ht="15" customHeight="1" thickBot="1" x14ac:dyDescent="0.3">
      <c r="A229" s="1595"/>
      <c r="B229" s="1487" t="s">
        <v>270</v>
      </c>
      <c r="C229" s="1488"/>
      <c r="D229" s="1488"/>
      <c r="E229" s="1488"/>
      <c r="F229" s="1488"/>
      <c r="G229" s="1489"/>
      <c r="H229" s="981" t="s">
        <v>100</v>
      </c>
      <c r="I229" s="1017"/>
      <c r="J229" s="1029"/>
      <c r="K229" s="1692"/>
      <c r="L229" s="1484" t="s">
        <v>263</v>
      </c>
      <c r="M229" s="1485"/>
      <c r="N229" s="1485"/>
      <c r="O229" s="1485"/>
      <c r="P229" s="1486"/>
      <c r="Q229" s="979" t="s">
        <v>100</v>
      </c>
      <c r="R229" s="1005"/>
      <c r="S229" s="1006"/>
      <c r="T229" s="1258"/>
      <c r="U229" s="1337"/>
      <c r="V229" s="72">
        <f>IF(AND(Q229="ja",R229=""),1,0)</f>
        <v>0</v>
      </c>
      <c r="Y229" s="74">
        <v>1.4999999999999999E-2</v>
      </c>
      <c r="Z229" s="77">
        <f>IF(H229="ja",Y229,0)</f>
        <v>0</v>
      </c>
      <c r="AA229" s="78"/>
      <c r="AB229" s="78">
        <f t="shared" si="2"/>
        <v>0</v>
      </c>
    </row>
    <row r="230" spans="1:28" ht="15" customHeight="1" thickBot="1" x14ac:dyDescent="0.3">
      <c r="A230" s="1595"/>
      <c r="B230" s="1490"/>
      <c r="C230" s="1491"/>
      <c r="D230" s="1491"/>
      <c r="E230" s="1491"/>
      <c r="F230" s="1491"/>
      <c r="G230" s="1492"/>
      <c r="H230" s="983"/>
      <c r="I230" s="1017"/>
      <c r="J230" s="1029"/>
      <c r="K230" s="1692"/>
      <c r="L230" s="1288"/>
      <c r="M230" s="1289"/>
      <c r="N230" s="1289"/>
      <c r="O230" s="1289"/>
      <c r="P230" s="1290"/>
      <c r="Q230" s="1003"/>
      <c r="R230" s="1007"/>
      <c r="S230" s="1008"/>
      <c r="T230" s="1258"/>
      <c r="U230" s="1337"/>
      <c r="Y230" s="74"/>
      <c r="Z230" s="77"/>
      <c r="AA230" s="78"/>
      <c r="AB230" s="78">
        <f t="shared" si="2"/>
        <v>0</v>
      </c>
    </row>
    <row r="231" spans="1:28" ht="15" customHeight="1" thickBot="1" x14ac:dyDescent="0.3">
      <c r="A231" s="1595"/>
      <c r="B231" s="1487" t="s">
        <v>447</v>
      </c>
      <c r="C231" s="1488"/>
      <c r="D231" s="1488"/>
      <c r="E231" s="1488"/>
      <c r="F231" s="1488"/>
      <c r="G231" s="1489"/>
      <c r="H231" s="981" t="s">
        <v>100</v>
      </c>
      <c r="I231" s="1017"/>
      <c r="J231" s="1029"/>
      <c r="K231" s="1692"/>
      <c r="L231" s="1288"/>
      <c r="M231" s="1289"/>
      <c r="N231" s="1289"/>
      <c r="O231" s="1289"/>
      <c r="P231" s="1290"/>
      <c r="Q231" s="1003"/>
      <c r="R231" s="1007"/>
      <c r="S231" s="1008"/>
      <c r="T231" s="1258"/>
      <c r="U231" s="1337"/>
      <c r="Y231" s="74">
        <v>1E-3</v>
      </c>
      <c r="Z231" s="77">
        <f>IF(H231="ja",Y231,0)</f>
        <v>0</v>
      </c>
      <c r="AA231" s="77"/>
      <c r="AB231" s="78">
        <f t="shared" si="2"/>
        <v>0</v>
      </c>
    </row>
    <row r="232" spans="1:28" ht="15" customHeight="1" thickBot="1" x14ac:dyDescent="0.3">
      <c r="A232" s="1595"/>
      <c r="B232" s="1493"/>
      <c r="C232" s="1317"/>
      <c r="D232" s="1317"/>
      <c r="E232" s="1317"/>
      <c r="F232" s="1317"/>
      <c r="G232" s="1494"/>
      <c r="H232" s="982"/>
      <c r="I232" s="1017"/>
      <c r="J232" s="1029"/>
      <c r="K232" s="1692"/>
      <c r="L232" s="1288"/>
      <c r="M232" s="1289"/>
      <c r="N232" s="1289"/>
      <c r="O232" s="1289"/>
      <c r="P232" s="1290"/>
      <c r="Q232" s="1003"/>
      <c r="R232" s="1007"/>
      <c r="S232" s="1008"/>
      <c r="T232" s="1258"/>
      <c r="U232" s="1337"/>
      <c r="V232" s="72">
        <f>IF(AND(Q232="ja",R232=""),1,0)</f>
        <v>0</v>
      </c>
      <c r="Y232" s="74"/>
      <c r="Z232" s="77"/>
      <c r="AA232" s="78"/>
      <c r="AB232" s="78">
        <f t="shared" ref="AB232:AB243" si="3">IF(Q232="ja",1,0)</f>
        <v>0</v>
      </c>
    </row>
    <row r="233" spans="1:28" ht="15" customHeight="1" thickBot="1" x14ac:dyDescent="0.3">
      <c r="A233" s="1595"/>
      <c r="B233" s="1490"/>
      <c r="C233" s="1491"/>
      <c r="D233" s="1491"/>
      <c r="E233" s="1491"/>
      <c r="F233" s="1491"/>
      <c r="G233" s="1492"/>
      <c r="H233" s="983"/>
      <c r="I233" s="1018"/>
      <c r="J233" s="1031"/>
      <c r="K233" s="1693"/>
      <c r="L233" s="1508"/>
      <c r="M233" s="1509"/>
      <c r="N233" s="1509"/>
      <c r="O233" s="1509"/>
      <c r="P233" s="1510"/>
      <c r="Q233" s="1004"/>
      <c r="R233" s="1009"/>
      <c r="S233" s="1010"/>
      <c r="T233" s="1259"/>
      <c r="U233" s="1337"/>
      <c r="Y233" s="74"/>
      <c r="Z233" s="77"/>
      <c r="AA233" s="78"/>
      <c r="AB233" s="78">
        <f t="shared" si="3"/>
        <v>0</v>
      </c>
    </row>
    <row r="234" spans="1:28" ht="14.55" thickBot="1" x14ac:dyDescent="0.3">
      <c r="A234" s="1595"/>
      <c r="B234" s="1511" t="s">
        <v>272</v>
      </c>
      <c r="C234" s="1512"/>
      <c r="D234" s="1512"/>
      <c r="E234" s="1512"/>
      <c r="F234" s="1512"/>
      <c r="G234" s="1513"/>
      <c r="H234" s="342"/>
      <c r="I234" s="1361"/>
      <c r="J234" s="1362"/>
      <c r="K234" s="1362"/>
      <c r="L234" s="1534">
        <f>SUM(R193:S233)</f>
        <v>0</v>
      </c>
      <c r="M234" s="1535"/>
      <c r="N234" s="1535"/>
      <c r="O234" s="1535"/>
      <c r="P234" s="1535"/>
      <c r="Q234" s="338"/>
      <c r="R234" s="1495"/>
      <c r="S234" s="1496"/>
      <c r="U234" s="334"/>
      <c r="Y234" s="74"/>
      <c r="Z234" s="152">
        <f>SUM(Z193:Z231)</f>
        <v>0</v>
      </c>
      <c r="AA234" s="78"/>
      <c r="AB234" s="78">
        <f t="shared" si="3"/>
        <v>0</v>
      </c>
    </row>
    <row r="235" spans="1:28" ht="15" customHeight="1" thickBot="1" x14ac:dyDescent="0.3">
      <c r="A235" s="1595"/>
      <c r="B235" s="1497" t="s">
        <v>274</v>
      </c>
      <c r="C235" s="1498"/>
      <c r="D235" s="1498"/>
      <c r="E235" s="1498"/>
      <c r="F235" s="1498"/>
      <c r="G235" s="1499"/>
      <c r="H235" s="1194" t="s">
        <v>100</v>
      </c>
      <c r="I235" s="1016">
        <f>Z244</f>
        <v>0</v>
      </c>
      <c r="J235" s="1027">
        <f>I235*I115</f>
        <v>0</v>
      </c>
      <c r="K235" s="1691"/>
      <c r="L235" s="984"/>
      <c r="M235" s="985"/>
      <c r="N235" s="985"/>
      <c r="O235" s="985"/>
      <c r="P235" s="985"/>
      <c r="Q235" s="978" t="s">
        <v>100</v>
      </c>
      <c r="R235" s="972"/>
      <c r="S235" s="973"/>
      <c r="T235" s="1257" t="str">
        <f>IFERROR(IF((VLOOKUP(U235,Überblick!$M$125:$N$133,2))="ja","ja","nein"),"")</f>
        <v/>
      </c>
      <c r="U235" s="1337"/>
      <c r="V235" s="72">
        <f>IF(AND(Q235="ja",R235=""),1,0)</f>
        <v>0</v>
      </c>
      <c r="Y235" s="74">
        <v>5.0000000000000001E-3</v>
      </c>
      <c r="Z235" s="77">
        <f>IF(H235="ja",Y235,0)</f>
        <v>0</v>
      </c>
      <c r="AA235" s="78"/>
      <c r="AB235" s="78">
        <f t="shared" si="3"/>
        <v>0</v>
      </c>
    </row>
    <row r="236" spans="1:28" ht="15" customHeight="1" thickBot="1" x14ac:dyDescent="0.3">
      <c r="A236" s="1595"/>
      <c r="B236" s="1493"/>
      <c r="C236" s="1317"/>
      <c r="D236" s="1317"/>
      <c r="E236" s="1317"/>
      <c r="F236" s="1317"/>
      <c r="G236" s="1494"/>
      <c r="H236" s="982"/>
      <c r="I236" s="1017"/>
      <c r="J236" s="1029"/>
      <c r="K236" s="1692"/>
      <c r="L236" s="984"/>
      <c r="M236" s="985"/>
      <c r="N236" s="985"/>
      <c r="O236" s="985"/>
      <c r="P236" s="985"/>
      <c r="Q236" s="978"/>
      <c r="R236" s="972"/>
      <c r="S236" s="973"/>
      <c r="T236" s="1258"/>
      <c r="U236" s="1337"/>
      <c r="Y236" s="74"/>
      <c r="Z236" s="77"/>
      <c r="AA236" s="78"/>
      <c r="AB236" s="78">
        <f t="shared" si="3"/>
        <v>0</v>
      </c>
    </row>
    <row r="237" spans="1:28" ht="15" customHeight="1" thickBot="1" x14ac:dyDescent="0.3">
      <c r="A237" s="1595"/>
      <c r="B237" s="1493"/>
      <c r="C237" s="1317"/>
      <c r="D237" s="1317"/>
      <c r="E237" s="1317"/>
      <c r="F237" s="1317"/>
      <c r="G237" s="1494"/>
      <c r="H237" s="982"/>
      <c r="I237" s="1017"/>
      <c r="J237" s="1029"/>
      <c r="K237" s="1692"/>
      <c r="L237" s="984"/>
      <c r="M237" s="985"/>
      <c r="N237" s="985"/>
      <c r="O237" s="985"/>
      <c r="P237" s="985"/>
      <c r="Q237" s="978"/>
      <c r="R237" s="972"/>
      <c r="S237" s="973"/>
      <c r="T237" s="1258"/>
      <c r="U237" s="1337"/>
      <c r="Y237" s="74"/>
      <c r="Z237" s="77"/>
      <c r="AA237" s="78"/>
      <c r="AB237" s="78">
        <f t="shared" si="3"/>
        <v>0</v>
      </c>
    </row>
    <row r="238" spans="1:28" ht="15" customHeight="1" thickBot="1" x14ac:dyDescent="0.3">
      <c r="A238" s="1595"/>
      <c r="B238" s="1493"/>
      <c r="C238" s="1317"/>
      <c r="D238" s="1317"/>
      <c r="E238" s="1317"/>
      <c r="F238" s="1317"/>
      <c r="G238" s="1494"/>
      <c r="H238" s="982"/>
      <c r="I238" s="1017"/>
      <c r="J238" s="1029"/>
      <c r="K238" s="1692"/>
      <c r="L238" s="984"/>
      <c r="M238" s="985"/>
      <c r="N238" s="985"/>
      <c r="O238" s="985"/>
      <c r="P238" s="985"/>
      <c r="Q238" s="978" t="s">
        <v>100</v>
      </c>
      <c r="R238" s="972"/>
      <c r="S238" s="973"/>
      <c r="T238" s="1258"/>
      <c r="U238" s="1337"/>
      <c r="V238" s="72">
        <f>IF(AND(Q238="ja",R238=""),1,0)</f>
        <v>0</v>
      </c>
      <c r="Y238" s="74"/>
      <c r="Z238" s="77"/>
      <c r="AA238" s="78"/>
      <c r="AB238" s="78">
        <f t="shared" si="3"/>
        <v>0</v>
      </c>
    </row>
    <row r="239" spans="1:28" ht="15" customHeight="1" thickBot="1" x14ac:dyDescent="0.3">
      <c r="A239" s="1595"/>
      <c r="B239" s="1490"/>
      <c r="C239" s="1491"/>
      <c r="D239" s="1491"/>
      <c r="E239" s="1491"/>
      <c r="F239" s="1491"/>
      <c r="G239" s="1492"/>
      <c r="H239" s="983"/>
      <c r="I239" s="1017"/>
      <c r="J239" s="1029"/>
      <c r="K239" s="1692"/>
      <c r="L239" s="984"/>
      <c r="M239" s="985"/>
      <c r="N239" s="985"/>
      <c r="O239" s="985"/>
      <c r="P239" s="985"/>
      <c r="Q239" s="978"/>
      <c r="R239" s="972"/>
      <c r="S239" s="973"/>
      <c r="T239" s="1258"/>
      <c r="U239" s="1337"/>
      <c r="Y239" s="74"/>
      <c r="Z239" s="77"/>
      <c r="AA239" s="78"/>
      <c r="AB239" s="78">
        <f t="shared" si="3"/>
        <v>0</v>
      </c>
    </row>
    <row r="240" spans="1:28" ht="15" customHeight="1" thickBot="1" x14ac:dyDescent="0.3">
      <c r="A240" s="1595"/>
      <c r="B240" s="1487" t="s">
        <v>275</v>
      </c>
      <c r="C240" s="1488"/>
      <c r="D240" s="1488"/>
      <c r="E240" s="1488"/>
      <c r="F240" s="1488"/>
      <c r="G240" s="1489"/>
      <c r="H240" s="981" t="s">
        <v>100</v>
      </c>
      <c r="I240" s="1017"/>
      <c r="J240" s="1029"/>
      <c r="K240" s="1692"/>
      <c r="L240" s="984"/>
      <c r="M240" s="985"/>
      <c r="N240" s="985"/>
      <c r="O240" s="985"/>
      <c r="P240" s="985"/>
      <c r="Q240" s="978"/>
      <c r="R240" s="972"/>
      <c r="S240" s="973"/>
      <c r="T240" s="1258"/>
      <c r="U240" s="1337"/>
      <c r="Y240" s="74">
        <v>4.0000000000000001E-3</v>
      </c>
      <c r="Z240" s="77">
        <f>IF(H240="ja",Y240,0)</f>
        <v>0</v>
      </c>
      <c r="AA240" s="78"/>
      <c r="AB240" s="78">
        <f t="shared" si="3"/>
        <v>0</v>
      </c>
    </row>
    <row r="241" spans="1:28" ht="15" customHeight="1" thickBot="1" x14ac:dyDescent="0.3">
      <c r="A241" s="1595"/>
      <c r="B241" s="1493"/>
      <c r="C241" s="1317"/>
      <c r="D241" s="1317"/>
      <c r="E241" s="1317"/>
      <c r="F241" s="1317"/>
      <c r="G241" s="1494"/>
      <c r="H241" s="982"/>
      <c r="I241" s="1017"/>
      <c r="J241" s="1029"/>
      <c r="K241" s="1692"/>
      <c r="L241" s="984"/>
      <c r="M241" s="985"/>
      <c r="N241" s="985"/>
      <c r="O241" s="985"/>
      <c r="P241" s="985"/>
      <c r="Q241" s="978" t="s">
        <v>100</v>
      </c>
      <c r="R241" s="972"/>
      <c r="S241" s="973"/>
      <c r="T241" s="1258"/>
      <c r="U241" s="1337"/>
      <c r="V241" s="72">
        <f>IF(AND(Q241="ja",R241=""),1,0)</f>
        <v>0</v>
      </c>
      <c r="Y241" s="74"/>
      <c r="Z241" s="77"/>
      <c r="AB241" s="78">
        <f t="shared" si="3"/>
        <v>0</v>
      </c>
    </row>
    <row r="242" spans="1:28" ht="15" customHeight="1" thickBot="1" x14ac:dyDescent="0.3">
      <c r="A242" s="1595"/>
      <c r="B242" s="1490"/>
      <c r="C242" s="1491"/>
      <c r="D242" s="1491"/>
      <c r="E242" s="1491"/>
      <c r="F242" s="1491"/>
      <c r="G242" s="1492"/>
      <c r="H242" s="983"/>
      <c r="I242" s="1017"/>
      <c r="J242" s="1029"/>
      <c r="K242" s="1692"/>
      <c r="L242" s="984"/>
      <c r="M242" s="985"/>
      <c r="N242" s="985"/>
      <c r="O242" s="985"/>
      <c r="P242" s="985"/>
      <c r="Q242" s="978"/>
      <c r="R242" s="972"/>
      <c r="S242" s="973"/>
      <c r="T242" s="1258"/>
      <c r="U242" s="1337"/>
      <c r="Y242" s="74"/>
      <c r="Z242" s="77"/>
      <c r="AB242" s="78">
        <f t="shared" si="3"/>
        <v>0</v>
      </c>
    </row>
    <row r="243" spans="1:28" ht="15" customHeight="1" thickBot="1" x14ac:dyDescent="0.3">
      <c r="A243" s="1595"/>
      <c r="B243" s="1184" t="s">
        <v>276</v>
      </c>
      <c r="C243" s="1185"/>
      <c r="D243" s="1185"/>
      <c r="E243" s="1185"/>
      <c r="F243" s="1185"/>
      <c r="G243" s="1186"/>
      <c r="H243" s="315" t="s">
        <v>100</v>
      </c>
      <c r="I243" s="1018"/>
      <c r="J243" s="1031"/>
      <c r="K243" s="1693"/>
      <c r="L243" s="1369"/>
      <c r="M243" s="1370"/>
      <c r="N243" s="1370"/>
      <c r="O243" s="1370"/>
      <c r="P243" s="1370"/>
      <c r="Q243" s="979"/>
      <c r="R243" s="972"/>
      <c r="S243" s="973"/>
      <c r="T243" s="1259"/>
      <c r="U243" s="1337"/>
      <c r="Y243" s="74">
        <v>1E-3</v>
      </c>
      <c r="Z243" s="77">
        <f>IF(H243="ja",Y243,0)</f>
        <v>0</v>
      </c>
      <c r="AB243" s="78">
        <f t="shared" si="3"/>
        <v>0</v>
      </c>
    </row>
    <row r="244" spans="1:28" ht="14.55" thickBot="1" x14ac:dyDescent="0.3">
      <c r="B244" s="1502" t="s">
        <v>277</v>
      </c>
      <c r="C244" s="1503"/>
      <c r="D244" s="1503"/>
      <c r="E244" s="1503"/>
      <c r="F244" s="1503"/>
      <c r="G244" s="1503"/>
      <c r="H244" s="1503"/>
      <c r="I244" s="1500">
        <f>I235+I193+I178+I154+I128+I119+I82+I55+I39+I133+I143+I144+I145+I150</f>
        <v>0</v>
      </c>
      <c r="J244" s="1506">
        <f>J235+J193+J178+J154+J128+J119+J82+J55+J39+J133+J143+J144+J145+J150</f>
        <v>0</v>
      </c>
      <c r="K244" s="1161"/>
      <c r="L244" s="1355">
        <f>SUM(R235:S243)</f>
        <v>0</v>
      </c>
      <c r="M244" s="1356"/>
      <c r="N244" s="1356"/>
      <c r="O244" s="1356"/>
      <c r="P244" s="1666"/>
      <c r="Q244" s="1329"/>
      <c r="R244" s="1036">
        <f>SUM(R235:S243)+SUM(R193:S233)+SUM(R178:S191)+SUM(R154:S176)+SUM(R128:S152)+SUM(R119:S126)+SUM(R82:S114)+SUM(R55:S77)+SUM(R39:S53)</f>
        <v>0</v>
      </c>
      <c r="S244" s="1037"/>
      <c r="T244" s="1567"/>
      <c r="U244" s="1610"/>
      <c r="Z244" s="152">
        <f>SUM(Z235:Z243)</f>
        <v>0</v>
      </c>
    </row>
    <row r="245" spans="1:28" ht="15" customHeight="1" thickBot="1" x14ac:dyDescent="0.3">
      <c r="B245" s="1504"/>
      <c r="C245" s="1505"/>
      <c r="D245" s="1505"/>
      <c r="E245" s="1505"/>
      <c r="F245" s="1505"/>
      <c r="G245" s="1505"/>
      <c r="H245" s="1505"/>
      <c r="I245" s="1501"/>
      <c r="J245" s="1507"/>
      <c r="K245" s="1163"/>
      <c r="L245" s="1359"/>
      <c r="M245" s="1360"/>
      <c r="N245" s="1360"/>
      <c r="O245" s="1360"/>
      <c r="P245" s="1667"/>
      <c r="Q245" s="1330"/>
      <c r="R245" s="1042"/>
      <c r="S245" s="1043"/>
      <c r="T245" s="1569"/>
      <c r="U245" s="1610"/>
      <c r="V245" s="72">
        <f>SUM(V39:V243)+R23</f>
        <v>0</v>
      </c>
      <c r="AB245" s="72">
        <f>SUM(AB39:AB243)</f>
        <v>0</v>
      </c>
    </row>
    <row r="246" spans="1:28" x14ac:dyDescent="0.25">
      <c r="K246" s="46"/>
    </row>
    <row r="247" spans="1:28" x14ac:dyDescent="0.25">
      <c r="A247" s="491" t="s">
        <v>279</v>
      </c>
      <c r="B247" s="40" t="str">
        <f>IF(B1=Q1,"Honorarangebot für die zunächst beauftragten und für die optionalen Leistungen","Honorarvereinbarung für die zunächst beauftragten und für die optionalen Leistungen ")</f>
        <v>Honorarangebot für die zunächst beauftragten und für die optionalen Leistungen</v>
      </c>
      <c r="Q247" s="40"/>
      <c r="AA247" s="151"/>
    </row>
    <row r="248" spans="1:28" ht="14.55" thickBot="1" x14ac:dyDescent="0.3">
      <c r="A248" s="491"/>
    </row>
    <row r="249" spans="1:28" x14ac:dyDescent="0.25">
      <c r="A249" s="491"/>
      <c r="B249" s="941" t="s">
        <v>55</v>
      </c>
      <c r="C249" s="942"/>
      <c r="D249" s="942"/>
      <c r="E249" s="942"/>
      <c r="F249" s="943"/>
      <c r="G249" s="99"/>
      <c r="H249" s="944">
        <f>J244</f>
        <v>0</v>
      </c>
      <c r="I249" s="944"/>
      <c r="J249" s="945"/>
    </row>
    <row r="250" spans="1:28" x14ac:dyDescent="0.25">
      <c r="A250" s="491"/>
      <c r="B250" s="301"/>
      <c r="C250" s="41"/>
      <c r="D250" s="41"/>
      <c r="E250" s="41"/>
      <c r="F250" s="302"/>
      <c r="G250" s="101"/>
      <c r="H250" s="303"/>
      <c r="I250" s="303"/>
      <c r="J250" s="304"/>
    </row>
    <row r="251" spans="1:28" ht="15.95" customHeight="1" thickBot="1" x14ac:dyDescent="0.3">
      <c r="A251" s="491"/>
      <c r="B251" s="1298" t="s">
        <v>280</v>
      </c>
      <c r="C251" s="1299"/>
      <c r="D251" s="1299"/>
      <c r="E251" s="1299"/>
      <c r="F251" s="1300"/>
      <c r="G251" s="102">
        <f>F23</f>
        <v>0</v>
      </c>
      <c r="H251" s="956">
        <f>H249*G251</f>
        <v>0</v>
      </c>
      <c r="I251" s="956"/>
      <c r="J251" s="957"/>
      <c r="K251" s="96">
        <f>H249+H251</f>
        <v>0</v>
      </c>
    </row>
    <row r="252" spans="1:28" x14ac:dyDescent="0.25">
      <c r="A252" s="491"/>
      <c r="B252" s="90"/>
      <c r="C252" s="91"/>
      <c r="D252" s="91"/>
      <c r="E252" s="91"/>
      <c r="F252" s="92"/>
      <c r="G252" s="88"/>
      <c r="J252" s="89"/>
    </row>
    <row r="253" spans="1:28" x14ac:dyDescent="0.25">
      <c r="A253" s="491"/>
      <c r="B253" s="926" t="s">
        <v>57</v>
      </c>
      <c r="C253" s="927"/>
      <c r="D253" s="927"/>
      <c r="E253" s="927"/>
      <c r="F253" s="928"/>
      <c r="G253" s="101"/>
      <c r="H253" s="954">
        <f>R244</f>
        <v>0</v>
      </c>
      <c r="I253" s="954"/>
      <c r="J253" s="955"/>
    </row>
    <row r="254" spans="1:28" ht="14.55" thickBot="1" x14ac:dyDescent="0.3">
      <c r="A254" s="491"/>
      <c r="B254" s="296"/>
      <c r="C254" s="297"/>
      <c r="D254" s="297"/>
      <c r="E254" s="297"/>
      <c r="F254" s="298"/>
      <c r="G254" s="1333"/>
      <c r="H254" s="1334"/>
      <c r="I254" s="1334"/>
      <c r="J254" s="1335"/>
    </row>
    <row r="255" spans="1:28" ht="15.95" customHeight="1" thickBot="1" x14ac:dyDescent="0.3">
      <c r="A255" s="491"/>
      <c r="B255" s="929" t="s">
        <v>59</v>
      </c>
      <c r="C255" s="930"/>
      <c r="D255" s="930"/>
      <c r="E255" s="930"/>
      <c r="F255" s="931"/>
      <c r="G255" s="107"/>
      <c r="H255" s="935">
        <f>SUM(H249:J253)</f>
        <v>0</v>
      </c>
      <c r="I255" s="935"/>
      <c r="J255" s="936"/>
    </row>
    <row r="256" spans="1:28" x14ac:dyDescent="0.25">
      <c r="A256" s="491"/>
      <c r="B256" s="320"/>
      <c r="C256" s="321"/>
      <c r="D256" s="321"/>
      <c r="E256" s="321"/>
      <c r="F256" s="322"/>
      <c r="G256" s="45"/>
      <c r="H256" s="93"/>
      <c r="I256" s="93"/>
      <c r="J256" s="94"/>
    </row>
    <row r="257" spans="1:26" ht="15" customHeight="1" x14ac:dyDescent="0.25">
      <c r="A257" s="491"/>
      <c r="B257" s="917" t="s">
        <v>60</v>
      </c>
      <c r="C257" s="918"/>
      <c r="D257" s="918"/>
      <c r="E257" s="918"/>
      <c r="F257" s="919"/>
      <c r="G257" s="100">
        <f>Überblick!$G$98</f>
        <v>0.19</v>
      </c>
      <c r="H257" s="954">
        <f>H255*G257</f>
        <v>0</v>
      </c>
      <c r="I257" s="954"/>
      <c r="J257" s="955"/>
    </row>
    <row r="258" spans="1:26" ht="14.55" thickBot="1" x14ac:dyDescent="0.3">
      <c r="A258" s="491"/>
      <c r="B258" s="305"/>
      <c r="C258" s="306"/>
      <c r="D258" s="306"/>
      <c r="E258" s="306"/>
      <c r="F258" s="307"/>
      <c r="G258" s="102"/>
      <c r="H258" s="299"/>
      <c r="I258" s="299"/>
      <c r="J258" s="300"/>
    </row>
    <row r="259" spans="1:26" ht="15" customHeight="1" x14ac:dyDescent="0.25">
      <c r="A259" s="491"/>
      <c r="B259" s="920" t="s">
        <v>281</v>
      </c>
      <c r="C259" s="921"/>
      <c r="D259" s="921"/>
      <c r="E259" s="921"/>
      <c r="F259" s="922"/>
      <c r="G259" s="97"/>
      <c r="H259" s="937">
        <f>H255+H257</f>
        <v>0</v>
      </c>
      <c r="I259" s="937"/>
      <c r="J259" s="938"/>
    </row>
    <row r="260" spans="1:26" ht="14.55" thickBot="1" x14ac:dyDescent="0.3">
      <c r="A260" s="491"/>
      <c r="B260" s="923"/>
      <c r="C260" s="924"/>
      <c r="D260" s="924"/>
      <c r="E260" s="924"/>
      <c r="F260" s="925"/>
      <c r="G260" s="98"/>
      <c r="H260" s="939"/>
      <c r="I260" s="939"/>
      <c r="J260" s="940"/>
    </row>
    <row r="261" spans="1:26" x14ac:dyDescent="0.25">
      <c r="A261" s="491"/>
    </row>
    <row r="262" spans="1:26" x14ac:dyDescent="0.25">
      <c r="A262" s="491" t="s">
        <v>282</v>
      </c>
      <c r="B262" s="60" t="str">
        <f>IF(B1=Q1,"Honorangebot für die zunächst beauftragenden Leistungen","Honorarvereinbarung für die zunächst beauftragenden Leistungen")</f>
        <v>Honorangebot für die zunächst beauftragenden Leistungen</v>
      </c>
      <c r="C262" s="60"/>
      <c r="D262" s="60"/>
      <c r="E262" s="60"/>
      <c r="F262" s="65"/>
      <c r="G262" s="65"/>
      <c r="H262" s="65"/>
      <c r="I262" s="66"/>
      <c r="J262" s="66"/>
      <c r="K262" s="66"/>
      <c r="L262" s="66"/>
      <c r="M262" s="66"/>
      <c r="N262" s="66"/>
      <c r="O262" s="66"/>
      <c r="P262" s="67"/>
      <c r="Q262" s="60"/>
      <c r="R262" s="67"/>
      <c r="S262" s="67"/>
      <c r="T262" s="67"/>
      <c r="U262" s="67"/>
      <c r="Z262" s="461"/>
    </row>
    <row r="263" spans="1:26" ht="14.55" thickBot="1" x14ac:dyDescent="0.3">
      <c r="A263" s="491"/>
      <c r="B263" s="60"/>
      <c r="C263" s="60"/>
      <c r="D263" s="60"/>
      <c r="E263" s="60"/>
      <c r="F263" s="65"/>
      <c r="G263" s="65"/>
      <c r="H263" s="65"/>
      <c r="I263" s="66"/>
      <c r="J263" s="66"/>
      <c r="K263" s="66"/>
      <c r="L263" s="66"/>
      <c r="M263" s="66"/>
      <c r="N263" s="66"/>
      <c r="O263" s="66"/>
      <c r="P263" s="67"/>
      <c r="Q263" s="67"/>
      <c r="R263" s="67"/>
      <c r="S263" s="67"/>
      <c r="T263" s="67"/>
      <c r="U263" s="67"/>
    </row>
    <row r="264" spans="1:26" x14ac:dyDescent="0.25">
      <c r="A264" s="491"/>
      <c r="B264" s="941" t="s">
        <v>55</v>
      </c>
      <c r="C264" s="942"/>
      <c r="D264" s="942"/>
      <c r="E264" s="942"/>
      <c r="F264" s="943"/>
      <c r="G264" s="99"/>
      <c r="H264" s="944">
        <f>'Berechnung - Förderanlagen'!C123</f>
        <v>0</v>
      </c>
      <c r="I264" s="944"/>
      <c r="J264" s="945"/>
      <c r="K264" s="66"/>
      <c r="L264" s="66"/>
      <c r="M264" s="66"/>
      <c r="N264" s="66"/>
      <c r="O264" s="66"/>
      <c r="P264" s="67"/>
      <c r="Q264" s="67"/>
      <c r="R264" s="67"/>
      <c r="S264" s="67"/>
      <c r="T264" s="67"/>
      <c r="U264" s="67"/>
    </row>
    <row r="265" spans="1:26" x14ac:dyDescent="0.25">
      <c r="A265" s="491"/>
      <c r="B265" s="301"/>
      <c r="C265" s="41"/>
      <c r="D265" s="41"/>
      <c r="E265" s="41"/>
      <c r="F265" s="302"/>
      <c r="G265" s="101"/>
      <c r="H265" s="303"/>
      <c r="I265" s="303"/>
      <c r="J265" s="304"/>
      <c r="K265" s="66"/>
      <c r="L265" s="66"/>
      <c r="M265" s="66"/>
      <c r="N265" s="66"/>
      <c r="O265" s="66"/>
      <c r="P265" s="67"/>
      <c r="Q265" s="67"/>
      <c r="R265" s="67"/>
      <c r="S265" s="67"/>
      <c r="T265" s="67"/>
      <c r="U265" s="67"/>
    </row>
    <row r="266" spans="1:26" ht="15" customHeight="1" thickBot="1" x14ac:dyDescent="0.3">
      <c r="A266" s="491"/>
      <c r="B266" s="1298" t="s">
        <v>280</v>
      </c>
      <c r="C266" s="1299"/>
      <c r="D266" s="1299"/>
      <c r="E266" s="1299"/>
      <c r="F266" s="1300"/>
      <c r="G266" s="102">
        <f>F23</f>
        <v>0</v>
      </c>
      <c r="H266" s="956">
        <f>H264*G266</f>
        <v>0</v>
      </c>
      <c r="I266" s="956"/>
      <c r="J266" s="957"/>
      <c r="K266" s="66"/>
      <c r="L266" s="66"/>
      <c r="M266" s="66"/>
      <c r="N266" s="66"/>
      <c r="O266" s="66"/>
      <c r="P266" s="67"/>
      <c r="Q266" s="67"/>
      <c r="R266" s="67"/>
      <c r="S266" s="67"/>
      <c r="T266" s="67"/>
      <c r="U266" s="67"/>
    </row>
    <row r="267" spans="1:26" x14ac:dyDescent="0.25">
      <c r="A267" s="491"/>
      <c r="B267" s="90"/>
      <c r="C267" s="91"/>
      <c r="D267" s="91"/>
      <c r="E267" s="91"/>
      <c r="F267" s="92"/>
      <c r="G267" s="45"/>
      <c r="H267" s="46"/>
      <c r="I267" s="46"/>
      <c r="J267" s="105"/>
      <c r="K267" s="66"/>
      <c r="L267" s="66"/>
      <c r="M267" s="66"/>
      <c r="N267" s="66"/>
      <c r="O267" s="66"/>
      <c r="P267" s="67"/>
      <c r="Q267" s="67"/>
      <c r="R267" s="67"/>
      <c r="S267" s="67"/>
      <c r="T267" s="67"/>
      <c r="U267" s="67"/>
    </row>
    <row r="268" spans="1:26" x14ac:dyDescent="0.25">
      <c r="A268" s="491"/>
      <c r="B268" s="926" t="s">
        <v>57</v>
      </c>
      <c r="C268" s="927"/>
      <c r="D268" s="927"/>
      <c r="E268" s="927"/>
      <c r="F268" s="928"/>
      <c r="G268" s="101"/>
      <c r="H268" s="954">
        <f>'Berechnung - Förderanlagen'!E123</f>
        <v>0</v>
      </c>
      <c r="I268" s="954"/>
      <c r="J268" s="955"/>
      <c r="K268" s="66"/>
      <c r="L268" s="66"/>
      <c r="M268" s="66"/>
      <c r="N268" s="66"/>
      <c r="O268" s="66"/>
      <c r="P268" s="67"/>
      <c r="Q268" s="67"/>
      <c r="R268" s="67"/>
      <c r="S268" s="67"/>
      <c r="T268" s="67"/>
      <c r="U268" s="67"/>
    </row>
    <row r="269" spans="1:26" ht="14.55" thickBot="1" x14ac:dyDescent="0.3">
      <c r="A269" s="491"/>
      <c r="B269" s="90"/>
      <c r="C269" s="91"/>
      <c r="D269" s="91"/>
      <c r="E269" s="91"/>
      <c r="F269" s="92"/>
      <c r="G269" s="1333"/>
      <c r="H269" s="1334"/>
      <c r="I269" s="1334"/>
      <c r="J269" s="1335"/>
      <c r="K269" s="66"/>
      <c r="L269" s="66"/>
      <c r="M269" s="66"/>
      <c r="N269" s="66"/>
      <c r="O269" s="66"/>
      <c r="P269" s="67"/>
      <c r="Q269" s="67"/>
      <c r="R269" s="67"/>
      <c r="S269" s="67"/>
      <c r="T269" s="67"/>
      <c r="U269" s="67"/>
    </row>
    <row r="270" spans="1:26" ht="15.95" customHeight="1" thickBot="1" x14ac:dyDescent="0.3">
      <c r="A270" s="491"/>
      <c r="B270" s="929" t="s">
        <v>59</v>
      </c>
      <c r="C270" s="930"/>
      <c r="D270" s="930"/>
      <c r="E270" s="930"/>
      <c r="F270" s="931"/>
      <c r="G270" s="107"/>
      <c r="H270" s="1689">
        <f>SUM(H264:J268)</f>
        <v>0</v>
      </c>
      <c r="I270" s="1689"/>
      <c r="J270" s="1690"/>
      <c r="K270" s="66"/>
      <c r="L270" s="66"/>
      <c r="M270" s="66"/>
      <c r="N270" s="66"/>
      <c r="O270" s="66"/>
      <c r="P270" s="67"/>
      <c r="Q270" s="67"/>
      <c r="R270" s="67"/>
      <c r="S270" s="67"/>
      <c r="T270" s="67"/>
      <c r="U270" s="67"/>
    </row>
    <row r="271" spans="1:26" x14ac:dyDescent="0.25">
      <c r="A271" s="491"/>
      <c r="B271" s="320"/>
      <c r="C271" s="321"/>
      <c r="D271" s="321"/>
      <c r="E271" s="321"/>
      <c r="F271" s="322"/>
      <c r="G271" s="45"/>
      <c r="H271" s="93"/>
      <c r="I271" s="93"/>
      <c r="J271" s="94"/>
      <c r="K271" s="66"/>
      <c r="L271" s="66"/>
      <c r="M271" s="66"/>
      <c r="N271" s="66"/>
      <c r="O271" s="66"/>
      <c r="P271" s="67"/>
      <c r="Q271" s="67"/>
      <c r="R271" s="67"/>
      <c r="S271" s="67"/>
      <c r="T271" s="67"/>
      <c r="U271" s="67"/>
    </row>
    <row r="272" spans="1:26" ht="15" customHeight="1" x14ac:dyDescent="0.25">
      <c r="A272" s="491"/>
      <c r="B272" s="917" t="s">
        <v>94</v>
      </c>
      <c r="C272" s="918"/>
      <c r="D272" s="918"/>
      <c r="E272" s="918"/>
      <c r="F272" s="919"/>
      <c r="G272" s="100">
        <f>Überblick!$G$98</f>
        <v>0.19</v>
      </c>
      <c r="H272" s="954">
        <f>H270*G272</f>
        <v>0</v>
      </c>
      <c r="I272" s="954"/>
      <c r="J272" s="955"/>
      <c r="K272" s="66"/>
      <c r="L272" s="66"/>
      <c r="M272" s="66"/>
      <c r="N272" s="66"/>
      <c r="O272" s="66"/>
      <c r="P272" s="67"/>
      <c r="Q272" s="67"/>
      <c r="R272" s="67"/>
      <c r="S272" s="67"/>
      <c r="T272" s="67"/>
      <c r="U272" s="67"/>
    </row>
    <row r="273" spans="1:21" ht="14.55" thickBot="1" x14ac:dyDescent="0.3">
      <c r="A273" s="491"/>
      <c r="B273" s="305"/>
      <c r="C273" s="306"/>
      <c r="D273" s="306"/>
      <c r="E273" s="306"/>
      <c r="F273" s="307"/>
      <c r="G273" s="102"/>
      <c r="H273" s="299"/>
      <c r="I273" s="299"/>
      <c r="J273" s="300"/>
      <c r="K273" s="66"/>
      <c r="L273" s="66"/>
      <c r="M273" s="66"/>
      <c r="N273" s="66"/>
      <c r="O273" s="66"/>
      <c r="P273" s="67"/>
      <c r="Q273" s="67"/>
      <c r="R273" s="67"/>
      <c r="S273" s="67"/>
      <c r="T273" s="67"/>
      <c r="U273" s="67"/>
    </row>
    <row r="274" spans="1:21" ht="15" customHeight="1" x14ac:dyDescent="0.25">
      <c r="A274" s="491"/>
      <c r="B274" s="920" t="s">
        <v>98</v>
      </c>
      <c r="C274" s="921"/>
      <c r="D274" s="921"/>
      <c r="E274" s="921"/>
      <c r="F274" s="922"/>
      <c r="G274" s="172"/>
      <c r="H274" s="937">
        <f>H270+H272</f>
        <v>0</v>
      </c>
      <c r="I274" s="937"/>
      <c r="J274" s="938"/>
      <c r="K274" s="66"/>
      <c r="L274" s="66"/>
      <c r="M274" s="66"/>
      <c r="N274" s="66"/>
      <c r="O274" s="66"/>
      <c r="P274" s="67"/>
      <c r="Q274" s="67"/>
      <c r="R274" s="67"/>
      <c r="S274" s="67"/>
      <c r="T274" s="67"/>
      <c r="U274" s="67"/>
    </row>
    <row r="275" spans="1:21" ht="14.55" thickBot="1" x14ac:dyDescent="0.3">
      <c r="A275" s="491"/>
      <c r="B275" s="923"/>
      <c r="C275" s="924"/>
      <c r="D275" s="924"/>
      <c r="E275" s="924"/>
      <c r="F275" s="925"/>
      <c r="G275" s="98"/>
      <c r="H275" s="939"/>
      <c r="I275" s="939"/>
      <c r="J275" s="940"/>
      <c r="K275" s="66"/>
      <c r="L275" s="66"/>
      <c r="M275" s="66"/>
      <c r="N275" s="66"/>
      <c r="O275" s="66"/>
      <c r="P275" s="67"/>
      <c r="Q275" s="67"/>
      <c r="R275" s="67"/>
      <c r="S275" s="67"/>
      <c r="T275" s="67"/>
      <c r="U275" s="67"/>
    </row>
    <row r="276" spans="1:21" x14ac:dyDescent="0.25">
      <c r="A276" s="491"/>
      <c r="B276" s="60"/>
      <c r="C276" s="60"/>
      <c r="D276" s="60"/>
      <c r="E276" s="60"/>
      <c r="F276" s="65"/>
      <c r="G276" s="65"/>
      <c r="H276" s="65"/>
      <c r="I276" s="66"/>
      <c r="J276" s="66"/>
      <c r="K276" s="66"/>
      <c r="L276" s="66"/>
      <c r="M276" s="66"/>
      <c r="N276" s="66"/>
      <c r="O276" s="66"/>
      <c r="P276" s="67"/>
      <c r="Q276" s="67"/>
      <c r="R276" s="67"/>
      <c r="S276" s="67"/>
      <c r="T276" s="67"/>
      <c r="U276" s="67"/>
    </row>
    <row r="277" spans="1:21" x14ac:dyDescent="0.25">
      <c r="A277" s="491" t="s">
        <v>284</v>
      </c>
      <c r="B277" s="40" t="str">
        <f>IF(B1=Q1,"Gemäß des Honorarangebotes werden die Stufen wie folgt vergütet (netto):","Gemäß der Honorarvereinbarung werden die Stufen wie folgt vergütet (netto): ")</f>
        <v>Gemäß des Honorarangebotes werden die Stufen wie folgt vergütet (netto):</v>
      </c>
      <c r="C277" s="40"/>
      <c r="D277" s="40"/>
      <c r="E277" s="40"/>
      <c r="F277" s="40"/>
      <c r="G277" s="40"/>
      <c r="H277" s="40"/>
      <c r="I277" s="40"/>
      <c r="J277" s="40"/>
      <c r="K277" s="40"/>
      <c r="L277" s="60"/>
      <c r="M277" s="66"/>
      <c r="N277" s="66"/>
      <c r="O277" s="40"/>
      <c r="P277" s="67"/>
      <c r="Q277" s="67"/>
      <c r="R277" s="67"/>
      <c r="S277" s="67"/>
      <c r="T277" s="67"/>
      <c r="U277" s="67"/>
    </row>
    <row r="278" spans="1:21" ht="14.55" thickBot="1" x14ac:dyDescent="0.3">
      <c r="A278" s="491"/>
      <c r="B278" s="60"/>
      <c r="C278" s="60"/>
      <c r="D278" s="60"/>
      <c r="E278" s="60"/>
      <c r="F278" s="65"/>
      <c r="G278" s="65"/>
      <c r="H278" s="65"/>
      <c r="I278" s="66"/>
      <c r="J278" s="66"/>
      <c r="K278" s="66"/>
      <c r="L278" s="66"/>
      <c r="M278" s="66"/>
      <c r="N278" s="66"/>
      <c r="O278" s="40"/>
      <c r="P278" s="67"/>
      <c r="Q278" s="67"/>
      <c r="R278" s="67"/>
      <c r="S278" s="67"/>
      <c r="T278" s="67"/>
      <c r="U278" s="67"/>
    </row>
    <row r="279" spans="1:21" ht="15.2" thickTop="1" thickBot="1" x14ac:dyDescent="0.3">
      <c r="A279" s="491"/>
      <c r="B279" s="357" t="s">
        <v>105</v>
      </c>
      <c r="C279" s="358" t="s">
        <v>285</v>
      </c>
      <c r="D279" s="359" t="s">
        <v>286</v>
      </c>
      <c r="E279" s="360" t="s">
        <v>287</v>
      </c>
      <c r="F279" s="360" t="s">
        <v>288</v>
      </c>
      <c r="G279" s="361" t="s">
        <v>289</v>
      </c>
      <c r="H279" s="361" t="s">
        <v>290</v>
      </c>
      <c r="I279" s="362" t="s">
        <v>291</v>
      </c>
      <c r="J279" s="362" t="s">
        <v>292</v>
      </c>
      <c r="K279" s="362" t="s">
        <v>293</v>
      </c>
      <c r="L279" s="362" t="s">
        <v>294</v>
      </c>
      <c r="M279" s="362" t="s">
        <v>295</v>
      </c>
      <c r="N279" s="362" t="s">
        <v>296</v>
      </c>
      <c r="O279" s="362" t="s">
        <v>297</v>
      </c>
      <c r="P279" s="363" t="s">
        <v>298</v>
      </c>
      <c r="Q279" s="67"/>
      <c r="R279" s="67"/>
      <c r="S279" s="67"/>
      <c r="T279" s="67"/>
      <c r="U279" s="67"/>
    </row>
    <row r="280" spans="1:21" x14ac:dyDescent="0.25">
      <c r="A280" s="492"/>
      <c r="B280" s="153" t="str">
        <f>IF(Überblick!$H$53&gt;=1,"1:",0)</f>
        <v>1:</v>
      </c>
      <c r="C280" s="481">
        <f>'Berechnung - Förderanlagen'!C135</f>
        <v>0</v>
      </c>
      <c r="D280" s="481">
        <f>'Berechnung - Förderanlagen'!D135</f>
        <v>0</v>
      </c>
      <c r="E280" s="481">
        <f>'Berechnung - Förderanlagen'!E135</f>
        <v>0</v>
      </c>
      <c r="F280" s="481">
        <f>'Berechnung - Förderanlagen'!F135</f>
        <v>0</v>
      </c>
      <c r="G280" s="481">
        <f>'Berechnung - Förderanlagen'!G135</f>
        <v>0</v>
      </c>
      <c r="H280" s="481">
        <f>'Berechnung - Förderanlagen'!H135</f>
        <v>0</v>
      </c>
      <c r="I280" s="481">
        <f>'Berechnung - Förderanlagen'!I135</f>
        <v>0</v>
      </c>
      <c r="J280" s="481">
        <f>'Berechnung - Förderanlagen'!J135</f>
        <v>0</v>
      </c>
      <c r="K280" s="481">
        <f>'Berechnung - Förderanlagen'!K135</f>
        <v>0</v>
      </c>
      <c r="L280" s="481">
        <f>'Berechnung - Förderanlagen'!L135</f>
        <v>0</v>
      </c>
      <c r="M280" s="481">
        <f>'Berechnung - Förderanlagen'!M135</f>
        <v>0</v>
      </c>
      <c r="N280" s="481">
        <f>'Berechnung - Förderanlagen'!N135</f>
        <v>0</v>
      </c>
      <c r="O280" s="481">
        <f>'Berechnung - Förderanlagen'!O135</f>
        <v>0</v>
      </c>
      <c r="P280" s="481">
        <f>'Berechnung - Förderanlagen'!P135</f>
        <v>0</v>
      </c>
      <c r="Q280" s="96">
        <f>SUM(C280:P280)</f>
        <v>0</v>
      </c>
      <c r="S280" s="63"/>
      <c r="T280" s="63"/>
      <c r="U280" s="63"/>
    </row>
    <row r="281" spans="1:21" ht="15.95" customHeight="1" x14ac:dyDescent="0.25">
      <c r="A281" s="492"/>
      <c r="B281" s="153" t="str">
        <f>IF(Überblick!$H$53&gt;=2,"2:",0)</f>
        <v>2:</v>
      </c>
      <c r="C281" s="481">
        <f>'Berechnung - Förderanlagen'!C136</f>
        <v>0</v>
      </c>
      <c r="D281" s="481">
        <f>'Berechnung - Förderanlagen'!D136</f>
        <v>0</v>
      </c>
      <c r="E281" s="481">
        <f>'Berechnung - Förderanlagen'!E136</f>
        <v>0</v>
      </c>
      <c r="F281" s="481">
        <f>'Berechnung - Förderanlagen'!F136</f>
        <v>0</v>
      </c>
      <c r="G281" s="481">
        <f>'Berechnung - Förderanlagen'!G136</f>
        <v>0</v>
      </c>
      <c r="H281" s="481">
        <f>'Berechnung - Förderanlagen'!H136</f>
        <v>0</v>
      </c>
      <c r="I281" s="481">
        <f>'Berechnung - Förderanlagen'!I136</f>
        <v>0</v>
      </c>
      <c r="J281" s="481">
        <f>'Berechnung - Förderanlagen'!J136</f>
        <v>0</v>
      </c>
      <c r="K281" s="481">
        <f>'Berechnung - Förderanlagen'!K136</f>
        <v>0</v>
      </c>
      <c r="L281" s="481">
        <f>'Berechnung - Förderanlagen'!L136</f>
        <v>0</v>
      </c>
      <c r="M281" s="481">
        <f>'Berechnung - Förderanlagen'!M136</f>
        <v>0</v>
      </c>
      <c r="N281" s="481">
        <f>'Berechnung - Förderanlagen'!N136</f>
        <v>0</v>
      </c>
      <c r="O281" s="481">
        <f>'Berechnung - Förderanlagen'!O136</f>
        <v>0</v>
      </c>
      <c r="P281" s="481">
        <f>'Berechnung - Förderanlagen'!P136</f>
        <v>0</v>
      </c>
      <c r="Q281" s="96">
        <f t="shared" ref="Q281:Q287" si="4">SUM(C281:P281)</f>
        <v>0</v>
      </c>
    </row>
    <row r="282" spans="1:21" x14ac:dyDescent="0.25">
      <c r="A282" s="59"/>
      <c r="B282" s="153" t="str">
        <f>IF(Überblick!$H$53&gt;=3,"3:",0)</f>
        <v>3:</v>
      </c>
      <c r="C282" s="481">
        <f>'Berechnung - Förderanlagen'!C137</f>
        <v>0</v>
      </c>
      <c r="D282" s="481">
        <f>'Berechnung - Förderanlagen'!D137</f>
        <v>0</v>
      </c>
      <c r="E282" s="481">
        <f>'Berechnung - Förderanlagen'!E137</f>
        <v>0</v>
      </c>
      <c r="F282" s="481">
        <f>'Berechnung - Förderanlagen'!F137</f>
        <v>0</v>
      </c>
      <c r="G282" s="481">
        <f>'Berechnung - Förderanlagen'!G137</f>
        <v>0</v>
      </c>
      <c r="H282" s="481">
        <f>'Berechnung - Förderanlagen'!H137</f>
        <v>0</v>
      </c>
      <c r="I282" s="481">
        <f>'Berechnung - Förderanlagen'!I137</f>
        <v>0</v>
      </c>
      <c r="J282" s="481">
        <f>'Berechnung - Förderanlagen'!J137</f>
        <v>0</v>
      </c>
      <c r="K282" s="481">
        <f>'Berechnung - Förderanlagen'!K137</f>
        <v>0</v>
      </c>
      <c r="L282" s="481">
        <f>'Berechnung - Förderanlagen'!L137</f>
        <v>0</v>
      </c>
      <c r="M282" s="481">
        <f>'Berechnung - Förderanlagen'!M137</f>
        <v>0</v>
      </c>
      <c r="N282" s="481">
        <f>'Berechnung - Förderanlagen'!N137</f>
        <v>0</v>
      </c>
      <c r="O282" s="481">
        <f>'Berechnung - Förderanlagen'!O137</f>
        <v>0</v>
      </c>
      <c r="P282" s="481">
        <f>'Berechnung - Förderanlagen'!P137</f>
        <v>0</v>
      </c>
      <c r="Q282" s="96">
        <f t="shared" si="4"/>
        <v>0</v>
      </c>
    </row>
    <row r="283" spans="1:21" x14ac:dyDescent="0.25">
      <c r="A283" s="491"/>
      <c r="B283" s="153" t="str">
        <f>IF(Überblick!$H$53&gt;=4,"4:",0)</f>
        <v>4:</v>
      </c>
      <c r="C283" s="481">
        <f>'Berechnung - Förderanlagen'!C138</f>
        <v>0</v>
      </c>
      <c r="D283" s="481">
        <f>'Berechnung - Förderanlagen'!D138</f>
        <v>0</v>
      </c>
      <c r="E283" s="481">
        <f>'Berechnung - Förderanlagen'!E138</f>
        <v>0</v>
      </c>
      <c r="F283" s="481">
        <f>'Berechnung - Förderanlagen'!F138</f>
        <v>0</v>
      </c>
      <c r="G283" s="481">
        <f>'Berechnung - Förderanlagen'!G138</f>
        <v>0</v>
      </c>
      <c r="H283" s="481">
        <f>'Berechnung - Förderanlagen'!H138</f>
        <v>0</v>
      </c>
      <c r="I283" s="481">
        <f>'Berechnung - Förderanlagen'!I138</f>
        <v>0</v>
      </c>
      <c r="J283" s="481">
        <f>'Berechnung - Förderanlagen'!J138</f>
        <v>0</v>
      </c>
      <c r="K283" s="481">
        <f>'Berechnung - Förderanlagen'!K138</f>
        <v>0</v>
      </c>
      <c r="L283" s="481">
        <f>'Berechnung - Förderanlagen'!L138</f>
        <v>0</v>
      </c>
      <c r="M283" s="481">
        <f>'Berechnung - Förderanlagen'!M138</f>
        <v>0</v>
      </c>
      <c r="N283" s="481">
        <f>'Berechnung - Förderanlagen'!N138</f>
        <v>0</v>
      </c>
      <c r="O283" s="481">
        <f>'Berechnung - Förderanlagen'!O138</f>
        <v>0</v>
      </c>
      <c r="P283" s="481">
        <f>'Berechnung - Förderanlagen'!P138</f>
        <v>0</v>
      </c>
      <c r="Q283" s="96">
        <f t="shared" si="4"/>
        <v>0</v>
      </c>
    </row>
    <row r="284" spans="1:21" x14ac:dyDescent="0.25">
      <c r="A284" s="491"/>
      <c r="B284" s="153" t="str">
        <f>IF(Überblick!$H$53&gt;=5,"5:",0)</f>
        <v>5:</v>
      </c>
      <c r="C284" s="481">
        <f>'Berechnung - Förderanlagen'!C139</f>
        <v>0</v>
      </c>
      <c r="D284" s="481">
        <f>'Berechnung - Förderanlagen'!D139</f>
        <v>0</v>
      </c>
      <c r="E284" s="481">
        <f>'Berechnung - Förderanlagen'!E139</f>
        <v>0</v>
      </c>
      <c r="F284" s="481">
        <f>'Berechnung - Förderanlagen'!F139</f>
        <v>0</v>
      </c>
      <c r="G284" s="481">
        <f>'Berechnung - Förderanlagen'!G139</f>
        <v>0</v>
      </c>
      <c r="H284" s="481">
        <f>'Berechnung - Förderanlagen'!H139</f>
        <v>0</v>
      </c>
      <c r="I284" s="481">
        <f>'Berechnung - Förderanlagen'!I139</f>
        <v>0</v>
      </c>
      <c r="J284" s="481">
        <f>'Berechnung - Förderanlagen'!J139</f>
        <v>0</v>
      </c>
      <c r="K284" s="481">
        <f>'Berechnung - Förderanlagen'!K139</f>
        <v>0</v>
      </c>
      <c r="L284" s="481">
        <f>'Berechnung - Förderanlagen'!L139</f>
        <v>0</v>
      </c>
      <c r="M284" s="481">
        <f>'Berechnung - Förderanlagen'!M139</f>
        <v>0</v>
      </c>
      <c r="N284" s="481">
        <f>'Berechnung - Förderanlagen'!N139</f>
        <v>0</v>
      </c>
      <c r="O284" s="481">
        <f>'Berechnung - Förderanlagen'!O139</f>
        <v>0</v>
      </c>
      <c r="P284" s="481">
        <f>'Berechnung - Förderanlagen'!P139</f>
        <v>0</v>
      </c>
      <c r="Q284" s="96">
        <f t="shared" si="4"/>
        <v>0</v>
      </c>
    </row>
    <row r="285" spans="1:21" ht="15.95" customHeight="1" x14ac:dyDescent="0.25">
      <c r="A285" s="491"/>
      <c r="B285" s="153" t="str">
        <f>IF(Überblick!$H$53&gt;=6,"6:",0)</f>
        <v>6:</v>
      </c>
      <c r="C285" s="481">
        <f>'Berechnung - Förderanlagen'!C140</f>
        <v>0</v>
      </c>
      <c r="D285" s="481">
        <f>'Berechnung - Förderanlagen'!D140</f>
        <v>0</v>
      </c>
      <c r="E285" s="481">
        <f>'Berechnung - Förderanlagen'!E140</f>
        <v>0</v>
      </c>
      <c r="F285" s="481">
        <f>'Berechnung - Förderanlagen'!F140</f>
        <v>0</v>
      </c>
      <c r="G285" s="481">
        <f>'Berechnung - Förderanlagen'!G140</f>
        <v>0</v>
      </c>
      <c r="H285" s="481">
        <f>'Berechnung - Förderanlagen'!H140</f>
        <v>0</v>
      </c>
      <c r="I285" s="481">
        <f>'Berechnung - Förderanlagen'!I140</f>
        <v>0</v>
      </c>
      <c r="J285" s="481">
        <f>'Berechnung - Förderanlagen'!J140</f>
        <v>0</v>
      </c>
      <c r="K285" s="481">
        <f>'Berechnung - Förderanlagen'!K140</f>
        <v>0</v>
      </c>
      <c r="L285" s="481">
        <f>'Berechnung - Förderanlagen'!L140</f>
        <v>0</v>
      </c>
      <c r="M285" s="481">
        <f>'Berechnung - Förderanlagen'!M140</f>
        <v>0</v>
      </c>
      <c r="N285" s="481">
        <f>'Berechnung - Förderanlagen'!N140</f>
        <v>0</v>
      </c>
      <c r="O285" s="481">
        <f>'Berechnung - Förderanlagen'!O140</f>
        <v>0</v>
      </c>
      <c r="P285" s="481">
        <f>'Berechnung - Förderanlagen'!P140</f>
        <v>0</v>
      </c>
      <c r="Q285" s="96">
        <f t="shared" si="4"/>
        <v>0</v>
      </c>
    </row>
    <row r="286" spans="1:21" x14ac:dyDescent="0.25">
      <c r="A286" s="491"/>
      <c r="B286" s="153">
        <f>IF(Überblick!$H$53&gt;=7,"7:",0)</f>
        <v>0</v>
      </c>
      <c r="C286" s="481">
        <f>'Berechnung - Förderanlagen'!C141</f>
        <v>0</v>
      </c>
      <c r="D286" s="481">
        <f>'Berechnung - Förderanlagen'!D141</f>
        <v>0</v>
      </c>
      <c r="E286" s="481">
        <f>'Berechnung - Förderanlagen'!E141</f>
        <v>0</v>
      </c>
      <c r="F286" s="481">
        <f>'Berechnung - Förderanlagen'!F141</f>
        <v>0</v>
      </c>
      <c r="G286" s="481">
        <f>'Berechnung - Förderanlagen'!G141</f>
        <v>0</v>
      </c>
      <c r="H286" s="481">
        <f>'Berechnung - Förderanlagen'!H141</f>
        <v>0</v>
      </c>
      <c r="I286" s="481">
        <f>'Berechnung - Förderanlagen'!I141</f>
        <v>0</v>
      </c>
      <c r="J286" s="481">
        <f>'Berechnung - Förderanlagen'!J141</f>
        <v>0</v>
      </c>
      <c r="K286" s="481">
        <f>'Berechnung - Förderanlagen'!K141</f>
        <v>0</v>
      </c>
      <c r="L286" s="481">
        <f>'Berechnung - Förderanlagen'!L141</f>
        <v>0</v>
      </c>
      <c r="M286" s="481">
        <f>'Berechnung - Förderanlagen'!M141</f>
        <v>0</v>
      </c>
      <c r="N286" s="481">
        <f>'Berechnung - Förderanlagen'!N141</f>
        <v>0</v>
      </c>
      <c r="O286" s="481">
        <f>'Berechnung - Förderanlagen'!O141</f>
        <v>0</v>
      </c>
      <c r="P286" s="481">
        <f>'Berechnung - Förderanlagen'!P141</f>
        <v>0</v>
      </c>
      <c r="Q286" s="96">
        <f t="shared" si="4"/>
        <v>0</v>
      </c>
    </row>
    <row r="287" spans="1:21" ht="15" customHeight="1" x14ac:dyDescent="0.25">
      <c r="A287" s="491"/>
      <c r="B287" s="153">
        <f>IF(Überblick!$H$53&gt;=8,"8:",0)</f>
        <v>0</v>
      </c>
      <c r="C287" s="481">
        <f>'Berechnung - Förderanlagen'!C142</f>
        <v>0</v>
      </c>
      <c r="D287" s="481">
        <f>'Berechnung - Förderanlagen'!D142</f>
        <v>0</v>
      </c>
      <c r="E287" s="481">
        <f>'Berechnung - Förderanlagen'!E142</f>
        <v>0</v>
      </c>
      <c r="F287" s="481">
        <f>'Berechnung - Förderanlagen'!F142</f>
        <v>0</v>
      </c>
      <c r="G287" s="481">
        <f>'Berechnung - Förderanlagen'!G142</f>
        <v>0</v>
      </c>
      <c r="H287" s="481">
        <f>'Berechnung - Förderanlagen'!H142</f>
        <v>0</v>
      </c>
      <c r="I287" s="481">
        <f>'Berechnung - Förderanlagen'!I142</f>
        <v>0</v>
      </c>
      <c r="J287" s="481">
        <f>'Berechnung - Förderanlagen'!J142</f>
        <v>0</v>
      </c>
      <c r="K287" s="481">
        <f>'Berechnung - Förderanlagen'!K142</f>
        <v>0</v>
      </c>
      <c r="L287" s="481">
        <f>'Berechnung - Förderanlagen'!L142</f>
        <v>0</v>
      </c>
      <c r="M287" s="481">
        <f>'Berechnung - Förderanlagen'!M142</f>
        <v>0</v>
      </c>
      <c r="N287" s="481">
        <f>'Berechnung - Förderanlagen'!N142</f>
        <v>0</v>
      </c>
      <c r="O287" s="481">
        <f>'Berechnung - Förderanlagen'!O142</f>
        <v>0</v>
      </c>
      <c r="P287" s="481">
        <f>'Berechnung - Förderanlagen'!P142</f>
        <v>0</v>
      </c>
      <c r="Q287" s="96">
        <f t="shared" si="4"/>
        <v>0</v>
      </c>
    </row>
    <row r="288" spans="1:21" x14ac:dyDescent="0.25">
      <c r="B288" s="153">
        <f>IF(Überblick!$H$53&gt;=9,"9:",0)</f>
        <v>0</v>
      </c>
      <c r="C288" s="481">
        <f>'Berechnung - Förderanlagen'!C143</f>
        <v>0</v>
      </c>
      <c r="D288" s="481">
        <f>'Berechnung - Förderanlagen'!D143</f>
        <v>0</v>
      </c>
      <c r="E288" s="481">
        <f>'Berechnung - Förderanlagen'!E143</f>
        <v>0</v>
      </c>
      <c r="F288" s="481">
        <f>'Berechnung - Förderanlagen'!F143</f>
        <v>0</v>
      </c>
      <c r="G288" s="481">
        <f>'Berechnung - Förderanlagen'!G143</f>
        <v>0</v>
      </c>
      <c r="H288" s="481">
        <f>'Berechnung - Förderanlagen'!H143</f>
        <v>0</v>
      </c>
      <c r="I288" s="481">
        <f>'Berechnung - Förderanlagen'!I143</f>
        <v>0</v>
      </c>
      <c r="J288" s="481">
        <f>'Berechnung - Förderanlagen'!J143</f>
        <v>0</v>
      </c>
      <c r="K288" s="481">
        <f>'Berechnung - Förderanlagen'!K143</f>
        <v>0</v>
      </c>
      <c r="L288" s="481">
        <f>'Berechnung - Förderanlagen'!L143</f>
        <v>0</v>
      </c>
      <c r="M288" s="481">
        <f>'Berechnung - Förderanlagen'!M143</f>
        <v>0</v>
      </c>
      <c r="N288" s="481">
        <f>'Berechnung - Förderanlagen'!N143</f>
        <v>0</v>
      </c>
      <c r="O288" s="481">
        <f>'Berechnung - Förderanlagen'!O143</f>
        <v>0</v>
      </c>
      <c r="P288" s="481">
        <f>'Berechnung - Förderanlagen'!P143</f>
        <v>0</v>
      </c>
    </row>
    <row r="289" spans="2:16" x14ac:dyDescent="0.25">
      <c r="B289" s="140"/>
      <c r="C289" s="140"/>
      <c r="D289" s="140"/>
      <c r="E289" s="140"/>
      <c r="F289" s="140"/>
      <c r="G289" s="140"/>
      <c r="H289" s="140"/>
      <c r="I289" s="140"/>
      <c r="J289" s="140"/>
      <c r="K289" s="140"/>
      <c r="L289" s="140"/>
      <c r="M289" s="140"/>
      <c r="N289" s="140"/>
      <c r="O289" s="140"/>
      <c r="P289" s="140"/>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row r="294" spans="2:16" x14ac:dyDescent="0.25">
      <c r="B294" s="140"/>
      <c r="C294" s="140"/>
      <c r="D294" s="140"/>
      <c r="E294" s="140"/>
      <c r="F294" s="140"/>
      <c r="G294" s="140"/>
      <c r="H294" s="140"/>
      <c r="I294" s="140"/>
      <c r="J294" s="140"/>
      <c r="K294" s="140"/>
      <c r="L294" s="140"/>
      <c r="M294" s="140"/>
      <c r="N294" s="140"/>
      <c r="O294" s="140"/>
      <c r="P294" s="140"/>
    </row>
    <row r="295" spans="2:16" x14ac:dyDescent="0.25">
      <c r="B295" s="140"/>
      <c r="C295" s="140"/>
      <c r="D295" s="140"/>
      <c r="E295" s="140"/>
      <c r="F295" s="140"/>
      <c r="G295" s="140"/>
      <c r="H295" s="140"/>
      <c r="I295" s="140"/>
      <c r="J295" s="140"/>
      <c r="K295" s="140"/>
      <c r="L295" s="140"/>
      <c r="M295" s="140"/>
      <c r="N295" s="140"/>
      <c r="O295" s="140"/>
      <c r="P295" s="140"/>
    </row>
  </sheetData>
  <sheetProtection algorithmName="SHA-512" hashValue="O3C+HG6vYUXvUgJCa9F3m8i2RLAQ8v1r105XdqXdIXmjoP89T0XG24PO2PSg/EiPMKTkNpdfAwwLeinjAfJYGQ==" saltValue="Rrx6Dz1FC8937dvX3UtY5Q==" spinCount="100000" sheet="1" objects="1" scenarios="1"/>
  <mergeCells count="476">
    <mergeCell ref="T1:U1"/>
    <mergeCell ref="L193:P202"/>
    <mergeCell ref="L203:P204"/>
    <mergeCell ref="L211:P216"/>
    <mergeCell ref="L217:P225"/>
    <mergeCell ref="L229:P233"/>
    <mergeCell ref="T39:T53"/>
    <mergeCell ref="U39:U53"/>
    <mergeCell ref="R44:S46"/>
    <mergeCell ref="R35:S37"/>
    <mergeCell ref="T35:T37"/>
    <mergeCell ref="U35:U37"/>
    <mergeCell ref="R53:S53"/>
    <mergeCell ref="L47:P48"/>
    <mergeCell ref="R47:S48"/>
    <mergeCell ref="L49:P49"/>
    <mergeCell ref="N17:Q18"/>
    <mergeCell ref="P7:Q7"/>
    <mergeCell ref="L50:P50"/>
    <mergeCell ref="Q61:Q63"/>
    <mergeCell ref="Q64:Q66"/>
    <mergeCell ref="Q67:Q69"/>
    <mergeCell ref="Q101:Q103"/>
    <mergeCell ref="Q91:Q93"/>
    <mergeCell ref="Q217:Q225"/>
    <mergeCell ref="R229:S233"/>
    <mergeCell ref="Q229:Q233"/>
    <mergeCell ref="S2:U2"/>
    <mergeCell ref="S3:U3"/>
    <mergeCell ref="S4:U4"/>
    <mergeCell ref="F5:I5"/>
    <mergeCell ref="J5:M5"/>
    <mergeCell ref="N5:Q5"/>
    <mergeCell ref="F6:G6"/>
    <mergeCell ref="H6:I6"/>
    <mergeCell ref="J6:K6"/>
    <mergeCell ref="L6:M6"/>
    <mergeCell ref="N6:O6"/>
    <mergeCell ref="P6:Q6"/>
    <mergeCell ref="L51:P52"/>
    <mergeCell ref="T78:T80"/>
    <mergeCell ref="F9:I11"/>
    <mergeCell ref="J9:M11"/>
    <mergeCell ref="N9:Q11"/>
    <mergeCell ref="Q55:Q57"/>
    <mergeCell ref="Q58:Q60"/>
    <mergeCell ref="I55:I77"/>
    <mergeCell ref="J55:K77"/>
    <mergeCell ref="L55:P57"/>
    <mergeCell ref="L70:P72"/>
    <mergeCell ref="F19:I19"/>
    <mergeCell ref="J19:M19"/>
    <mergeCell ref="N19:Q19"/>
    <mergeCell ref="H67:H70"/>
    <mergeCell ref="L67:P69"/>
    <mergeCell ref="B42:G44"/>
    <mergeCell ref="H42:H44"/>
    <mergeCell ref="L44:P46"/>
    <mergeCell ref="A32:A126"/>
    <mergeCell ref="B32:G34"/>
    <mergeCell ref="H32:H34"/>
    <mergeCell ref="I32:I34"/>
    <mergeCell ref="J32:K34"/>
    <mergeCell ref="I35:K37"/>
    <mergeCell ref="B39:G41"/>
    <mergeCell ref="H39:H41"/>
    <mergeCell ref="I39:I53"/>
    <mergeCell ref="B54:G54"/>
    <mergeCell ref="I54:K54"/>
    <mergeCell ref="B101:G106"/>
    <mergeCell ref="H101:H106"/>
    <mergeCell ref="B118:G118"/>
    <mergeCell ref="I118:K118"/>
    <mergeCell ref="I78:K80"/>
    <mergeCell ref="H88:H100"/>
    <mergeCell ref="I115:K117"/>
    <mergeCell ref="B45:G53"/>
    <mergeCell ref="B38:G38"/>
    <mergeCell ref="I38:K38"/>
    <mergeCell ref="H45:H53"/>
    <mergeCell ref="J39:K53"/>
    <mergeCell ref="B55:G56"/>
    <mergeCell ref="B7:E7"/>
    <mergeCell ref="F7:G7"/>
    <mergeCell ref="H7:I7"/>
    <mergeCell ref="J7:K7"/>
    <mergeCell ref="L7:M7"/>
    <mergeCell ref="N7:O7"/>
    <mergeCell ref="L35:P37"/>
    <mergeCell ref="L38:P38"/>
    <mergeCell ref="Q35:Q37"/>
    <mergeCell ref="B8:E8"/>
    <mergeCell ref="F8:G8"/>
    <mergeCell ref="H8:I8"/>
    <mergeCell ref="J8:K8"/>
    <mergeCell ref="L8:M8"/>
    <mergeCell ref="N8:O8"/>
    <mergeCell ref="P8:Q8"/>
    <mergeCell ref="B23:E23"/>
    <mergeCell ref="F23:Q23"/>
    <mergeCell ref="B15:E15"/>
    <mergeCell ref="F15:Q15"/>
    <mergeCell ref="B16:E16"/>
    <mergeCell ref="F16:Q16"/>
    <mergeCell ref="F17:I18"/>
    <mergeCell ref="J17:M18"/>
    <mergeCell ref="Q94:Q97"/>
    <mergeCell ref="Q98:Q100"/>
    <mergeCell ref="R98:S100"/>
    <mergeCell ref="R82:S84"/>
    <mergeCell ref="B82:G86"/>
    <mergeCell ref="H82:H86"/>
    <mergeCell ref="L82:P84"/>
    <mergeCell ref="B71:G73"/>
    <mergeCell ref="H71:H73"/>
    <mergeCell ref="Q70:Q72"/>
    <mergeCell ref="Q73:Q75"/>
    <mergeCell ref="Q76:Q77"/>
    <mergeCell ref="B87:G87"/>
    <mergeCell ref="B88:G100"/>
    <mergeCell ref="J82:K114"/>
    <mergeCell ref="B113:G114"/>
    <mergeCell ref="H113:H114"/>
    <mergeCell ref="B109:G110"/>
    <mergeCell ref="H109:H110"/>
    <mergeCell ref="B111:G112"/>
    <mergeCell ref="H111:H112"/>
    <mergeCell ref="I82:I114"/>
    <mergeCell ref="B107:G108"/>
    <mergeCell ref="H107:H108"/>
    <mergeCell ref="U78:U80"/>
    <mergeCell ref="B81:G81"/>
    <mergeCell ref="I81:K81"/>
    <mergeCell ref="L81:P81"/>
    <mergeCell ref="T55:T77"/>
    <mergeCell ref="U55:U77"/>
    <mergeCell ref="B57:G64"/>
    <mergeCell ref="H57:H64"/>
    <mergeCell ref="L58:P60"/>
    <mergeCell ref="R58:S60"/>
    <mergeCell ref="L61:P63"/>
    <mergeCell ref="R61:S63"/>
    <mergeCell ref="L64:P66"/>
    <mergeCell ref="R64:S66"/>
    <mergeCell ref="L73:P75"/>
    <mergeCell ref="R73:S75"/>
    <mergeCell ref="B74:G75"/>
    <mergeCell ref="H74:H75"/>
    <mergeCell ref="B76:G77"/>
    <mergeCell ref="H76:H77"/>
    <mergeCell ref="B65:G66"/>
    <mergeCell ref="H65:H66"/>
    <mergeCell ref="B67:G70"/>
    <mergeCell ref="H55:H56"/>
    <mergeCell ref="T115:T117"/>
    <mergeCell ref="U115:U117"/>
    <mergeCell ref="L101:P103"/>
    <mergeCell ref="R101:S103"/>
    <mergeCell ref="L104:P106"/>
    <mergeCell ref="R104:S106"/>
    <mergeCell ref="T82:T114"/>
    <mergeCell ref="U82:U114"/>
    <mergeCell ref="L85:P87"/>
    <mergeCell ref="R85:S87"/>
    <mergeCell ref="L113:P114"/>
    <mergeCell ref="R113:S114"/>
    <mergeCell ref="R107:S109"/>
    <mergeCell ref="L110:P112"/>
    <mergeCell ref="R110:S112"/>
    <mergeCell ref="L115:P117"/>
    <mergeCell ref="L88:P90"/>
    <mergeCell ref="R91:S93"/>
    <mergeCell ref="L107:P109"/>
    <mergeCell ref="L94:P97"/>
    <mergeCell ref="R94:S97"/>
    <mergeCell ref="L98:P100"/>
    <mergeCell ref="R88:S90"/>
    <mergeCell ref="L91:P93"/>
    <mergeCell ref="T119:T126"/>
    <mergeCell ref="U119:U126"/>
    <mergeCell ref="L122:P124"/>
    <mergeCell ref="R122:S124"/>
    <mergeCell ref="B124:G126"/>
    <mergeCell ref="H124:H126"/>
    <mergeCell ref="L125:P126"/>
    <mergeCell ref="R125:S126"/>
    <mergeCell ref="B119:G123"/>
    <mergeCell ref="H119:H123"/>
    <mergeCell ref="I119:I126"/>
    <mergeCell ref="J119:K126"/>
    <mergeCell ref="L119:P121"/>
    <mergeCell ref="R119:S121"/>
    <mergeCell ref="A133:A142"/>
    <mergeCell ref="B133:G142"/>
    <mergeCell ref="H133:H142"/>
    <mergeCell ref="I133:I142"/>
    <mergeCell ref="J133:K142"/>
    <mergeCell ref="B127:G127"/>
    <mergeCell ref="I127:K127"/>
    <mergeCell ref="L127:P127"/>
    <mergeCell ref="A128:A132"/>
    <mergeCell ref="B128:G132"/>
    <mergeCell ref="H128:H132"/>
    <mergeCell ref="I128:I132"/>
    <mergeCell ref="J128:K132"/>
    <mergeCell ref="T133:T142"/>
    <mergeCell ref="U133:U142"/>
    <mergeCell ref="B143:G143"/>
    <mergeCell ref="J143:K143"/>
    <mergeCell ref="L143:P143"/>
    <mergeCell ref="R143:S143"/>
    <mergeCell ref="T128:T132"/>
    <mergeCell ref="U128:U132"/>
    <mergeCell ref="R133:S135"/>
    <mergeCell ref="L136:P138"/>
    <mergeCell ref="Q136:Q138"/>
    <mergeCell ref="R136:S138"/>
    <mergeCell ref="L139:P141"/>
    <mergeCell ref="Q139:Q141"/>
    <mergeCell ref="R139:S141"/>
    <mergeCell ref="L142:P142"/>
    <mergeCell ref="R142:S142"/>
    <mergeCell ref="L128:P130"/>
    <mergeCell ref="L131:P132"/>
    <mergeCell ref="L133:P135"/>
    <mergeCell ref="B144:G144"/>
    <mergeCell ref="J144:K144"/>
    <mergeCell ref="L144:P144"/>
    <mergeCell ref="R144:S144"/>
    <mergeCell ref="A145:A149"/>
    <mergeCell ref="B145:G149"/>
    <mergeCell ref="H145:H149"/>
    <mergeCell ref="I145:I149"/>
    <mergeCell ref="J145:K149"/>
    <mergeCell ref="T145:T149"/>
    <mergeCell ref="U145:U149"/>
    <mergeCell ref="A150:A152"/>
    <mergeCell ref="B150:G152"/>
    <mergeCell ref="H150:H152"/>
    <mergeCell ref="I150:I152"/>
    <mergeCell ref="J150:K152"/>
    <mergeCell ref="L150:P152"/>
    <mergeCell ref="R150:S152"/>
    <mergeCell ref="L145:P147"/>
    <mergeCell ref="Q145:Q147"/>
    <mergeCell ref="R145:S147"/>
    <mergeCell ref="L148:P149"/>
    <mergeCell ref="Q148:Q149"/>
    <mergeCell ref="R148:S149"/>
    <mergeCell ref="Q150:Q152"/>
    <mergeCell ref="A153:A243"/>
    <mergeCell ref="B153:G153"/>
    <mergeCell ref="I153:K153"/>
    <mergeCell ref="L153:P153"/>
    <mergeCell ref="B154:G156"/>
    <mergeCell ref="H154:H156"/>
    <mergeCell ref="I154:I176"/>
    <mergeCell ref="L154:P156"/>
    <mergeCell ref="R154:S156"/>
    <mergeCell ref="B177:G177"/>
    <mergeCell ref="L177:P177"/>
    <mergeCell ref="B178:G178"/>
    <mergeCell ref="I178:I191"/>
    <mergeCell ref="J178:K191"/>
    <mergeCell ref="L178:P180"/>
    <mergeCell ref="R178:S180"/>
    <mergeCell ref="H185:H187"/>
    <mergeCell ref="L187:P189"/>
    <mergeCell ref="R187:S189"/>
    <mergeCell ref="B188:G189"/>
    <mergeCell ref="H188:H189"/>
    <mergeCell ref="B190:G191"/>
    <mergeCell ref="H190:H191"/>
    <mergeCell ref="L190:P191"/>
    <mergeCell ref="T154:T176"/>
    <mergeCell ref="U154:U176"/>
    <mergeCell ref="B157:G166"/>
    <mergeCell ref="H157:H166"/>
    <mergeCell ref="L157:P165"/>
    <mergeCell ref="R157:S165"/>
    <mergeCell ref="L166:P168"/>
    <mergeCell ref="T150:T152"/>
    <mergeCell ref="U150:U152"/>
    <mergeCell ref="B173:G175"/>
    <mergeCell ref="H173:H175"/>
    <mergeCell ref="L173:P175"/>
    <mergeCell ref="R173:S175"/>
    <mergeCell ref="B176:G176"/>
    <mergeCell ref="L176:P176"/>
    <mergeCell ref="R176:S176"/>
    <mergeCell ref="R166:S168"/>
    <mergeCell ref="B167:G169"/>
    <mergeCell ref="H167:H169"/>
    <mergeCell ref="L169:P172"/>
    <mergeCell ref="R169:S172"/>
    <mergeCell ref="B170:G172"/>
    <mergeCell ref="H170:H172"/>
    <mergeCell ref="J154:K176"/>
    <mergeCell ref="T178:T191"/>
    <mergeCell ref="U178:U191"/>
    <mergeCell ref="B179:G183"/>
    <mergeCell ref="H179:H183"/>
    <mergeCell ref="L181:P183"/>
    <mergeCell ref="R181:S183"/>
    <mergeCell ref="B184:G184"/>
    <mergeCell ref="L184:P186"/>
    <mergeCell ref="R184:S186"/>
    <mergeCell ref="B185:G187"/>
    <mergeCell ref="Q178:Q180"/>
    <mergeCell ref="Q181:Q183"/>
    <mergeCell ref="T193:T233"/>
    <mergeCell ref="U193:U233"/>
    <mergeCell ref="B192:G192"/>
    <mergeCell ref="L192:P192"/>
    <mergeCell ref="B193:G199"/>
    <mergeCell ref="H193:H199"/>
    <mergeCell ref="I193:I233"/>
    <mergeCell ref="J193:K233"/>
    <mergeCell ref="B200:G200"/>
    <mergeCell ref="B201:G202"/>
    <mergeCell ref="H201:H202"/>
    <mergeCell ref="B203:G203"/>
    <mergeCell ref="B204:G206"/>
    <mergeCell ref="H204:H206"/>
    <mergeCell ref="L205:P207"/>
    <mergeCell ref="H227:H228"/>
    <mergeCell ref="B207:G207"/>
    <mergeCell ref="B208:G211"/>
    <mergeCell ref="H208:H211"/>
    <mergeCell ref="L208:P210"/>
    <mergeCell ref="B212:G215"/>
    <mergeCell ref="H212:H215"/>
    <mergeCell ref="B216:G216"/>
    <mergeCell ref="B217:G217"/>
    <mergeCell ref="B218:G221"/>
    <mergeCell ref="H218:H221"/>
    <mergeCell ref="B222:G222"/>
    <mergeCell ref="B229:G230"/>
    <mergeCell ref="H229:H230"/>
    <mergeCell ref="B231:G233"/>
    <mergeCell ref="H231:H233"/>
    <mergeCell ref="B223:G226"/>
    <mergeCell ref="H223:H226"/>
    <mergeCell ref="L226:P228"/>
    <mergeCell ref="R226:S228"/>
    <mergeCell ref="B227:G228"/>
    <mergeCell ref="B234:G234"/>
    <mergeCell ref="I234:K234"/>
    <mergeCell ref="L234:P234"/>
    <mergeCell ref="B235:G239"/>
    <mergeCell ref="H235:H239"/>
    <mergeCell ref="I235:I243"/>
    <mergeCell ref="J235:K243"/>
    <mergeCell ref="L235:P237"/>
    <mergeCell ref="R235:S237"/>
    <mergeCell ref="R234:S234"/>
    <mergeCell ref="Q226:Q228"/>
    <mergeCell ref="T235:T243"/>
    <mergeCell ref="U235:U243"/>
    <mergeCell ref="L238:P240"/>
    <mergeCell ref="R238:S240"/>
    <mergeCell ref="B240:G242"/>
    <mergeCell ref="H240:H242"/>
    <mergeCell ref="L241:P243"/>
    <mergeCell ref="R241:S243"/>
    <mergeCell ref="B243:G243"/>
    <mergeCell ref="Q235:Q237"/>
    <mergeCell ref="Q238:Q240"/>
    <mergeCell ref="Q241:Q243"/>
    <mergeCell ref="G254:J254"/>
    <mergeCell ref="B255:F255"/>
    <mergeCell ref="H255:J255"/>
    <mergeCell ref="B257:F257"/>
    <mergeCell ref="H257:J257"/>
    <mergeCell ref="B259:F260"/>
    <mergeCell ref="H259:J260"/>
    <mergeCell ref="U244:U245"/>
    <mergeCell ref="B249:F249"/>
    <mergeCell ref="H249:J249"/>
    <mergeCell ref="B251:F251"/>
    <mergeCell ref="H251:J251"/>
    <mergeCell ref="B253:F253"/>
    <mergeCell ref="H253:J253"/>
    <mergeCell ref="B244:H245"/>
    <mergeCell ref="I244:I245"/>
    <mergeCell ref="J244:K245"/>
    <mergeCell ref="L244:P245"/>
    <mergeCell ref="R244:S245"/>
    <mergeCell ref="T244:T245"/>
    <mergeCell ref="Q244:Q245"/>
    <mergeCell ref="G269:J269"/>
    <mergeCell ref="B270:F270"/>
    <mergeCell ref="H270:J270"/>
    <mergeCell ref="B272:F272"/>
    <mergeCell ref="H272:J272"/>
    <mergeCell ref="B274:F275"/>
    <mergeCell ref="H274:J275"/>
    <mergeCell ref="B264:F264"/>
    <mergeCell ref="H264:J264"/>
    <mergeCell ref="B266:F266"/>
    <mergeCell ref="H266:J266"/>
    <mergeCell ref="B268:F268"/>
    <mergeCell ref="H268:J268"/>
    <mergeCell ref="R127:S127"/>
    <mergeCell ref="R153:S153"/>
    <mergeCell ref="R177:S177"/>
    <mergeCell ref="Q104:Q106"/>
    <mergeCell ref="Q107:Q109"/>
    <mergeCell ref="Q110:Q112"/>
    <mergeCell ref="Q113:Q114"/>
    <mergeCell ref="Q119:Q121"/>
    <mergeCell ref="Q122:Q124"/>
    <mergeCell ref="Q125:Q126"/>
    <mergeCell ref="Q128:Q130"/>
    <mergeCell ref="R128:S130"/>
    <mergeCell ref="Q131:Q132"/>
    <mergeCell ref="R131:S132"/>
    <mergeCell ref="Q133:Q135"/>
    <mergeCell ref="Q154:Q156"/>
    <mergeCell ref="Q157:Q165"/>
    <mergeCell ref="Q166:Q168"/>
    <mergeCell ref="Q169:Q172"/>
    <mergeCell ref="Q173:Q175"/>
    <mergeCell ref="R115:S117"/>
    <mergeCell ref="Q115:Q117"/>
    <mergeCell ref="R118:S118"/>
    <mergeCell ref="R38:S38"/>
    <mergeCell ref="R54:S54"/>
    <mergeCell ref="R81:S81"/>
    <mergeCell ref="R78:S80"/>
    <mergeCell ref="R39:S43"/>
    <mergeCell ref="R51:S52"/>
    <mergeCell ref="Q39:Q43"/>
    <mergeCell ref="Q44:Q46"/>
    <mergeCell ref="Q47:Q48"/>
    <mergeCell ref="R67:S69"/>
    <mergeCell ref="R55:S57"/>
    <mergeCell ref="R49:S49"/>
    <mergeCell ref="R70:S72"/>
    <mergeCell ref="R76:S77"/>
    <mergeCell ref="Q51:Q52"/>
    <mergeCell ref="R50:S50"/>
    <mergeCell ref="R205:S207"/>
    <mergeCell ref="R190:S191"/>
    <mergeCell ref="R192:S192"/>
    <mergeCell ref="Q205:Q207"/>
    <mergeCell ref="Q208:Q210"/>
    <mergeCell ref="R208:S210"/>
    <mergeCell ref="R203:S204"/>
    <mergeCell ref="Q203:Q204"/>
    <mergeCell ref="R193:S202"/>
    <mergeCell ref="Q193:Q202"/>
    <mergeCell ref="R211:S216"/>
    <mergeCell ref="Q211:Q216"/>
    <mergeCell ref="R217:S225"/>
    <mergeCell ref="B35:G37"/>
    <mergeCell ref="H35:H37"/>
    <mergeCell ref="B78:G80"/>
    <mergeCell ref="H78:H80"/>
    <mergeCell ref="B115:G117"/>
    <mergeCell ref="H115:H117"/>
    <mergeCell ref="I192:K192"/>
    <mergeCell ref="I177:K177"/>
    <mergeCell ref="Q184:Q186"/>
    <mergeCell ref="Q187:Q189"/>
    <mergeCell ref="Q190:Q191"/>
    <mergeCell ref="L78:P80"/>
    <mergeCell ref="L76:P77"/>
    <mergeCell ref="Q78:Q80"/>
    <mergeCell ref="L53:P53"/>
    <mergeCell ref="L39:P43"/>
    <mergeCell ref="L54:P54"/>
    <mergeCell ref="L118:P118"/>
    <mergeCell ref="Q82:Q84"/>
    <mergeCell ref="Q85:Q87"/>
    <mergeCell ref="Q88:Q90"/>
  </mergeCells>
  <conditionalFormatting sqref="AA39">
    <cfRule type="containsText" dxfId="1064" priority="137" operator="containsText" text="Ja">
      <formula>NOT(ISERROR(SEARCH("Ja",AA39)))</formula>
    </cfRule>
  </conditionalFormatting>
  <conditionalFormatting sqref="AA232">
    <cfRule type="containsText" dxfId="1063" priority="129" operator="containsText" text="Ja">
      <formula>NOT(ISERROR(SEARCH("Ja",AA232)))</formula>
    </cfRule>
  </conditionalFormatting>
  <conditionalFormatting sqref="AA55">
    <cfRule type="containsText" dxfId="1062" priority="136" operator="containsText" text="Ja">
      <formula>NOT(ISERROR(SEARCH("Ja",AA55)))</formula>
    </cfRule>
  </conditionalFormatting>
  <conditionalFormatting sqref="AA79">
    <cfRule type="containsText" dxfId="1061" priority="135" operator="containsText" text="Ja">
      <formula>NOT(ISERROR(SEARCH("Ja",AA79)))</formula>
    </cfRule>
  </conditionalFormatting>
  <conditionalFormatting sqref="AA113">
    <cfRule type="containsText" dxfId="1060" priority="134" operator="containsText" text="Ja">
      <formula>NOT(ISERROR(SEARCH("Ja",AA113)))</formula>
    </cfRule>
  </conditionalFormatting>
  <conditionalFormatting sqref="AA125">
    <cfRule type="containsText" dxfId="1059" priority="133" operator="containsText" text="Ja">
      <formula>NOT(ISERROR(SEARCH("Ja",AA125)))</formula>
    </cfRule>
  </conditionalFormatting>
  <conditionalFormatting sqref="AA151">
    <cfRule type="containsText" dxfId="1058" priority="132" operator="containsText" text="Ja">
      <formula>NOT(ISERROR(SEARCH("Ja",AA151)))</formula>
    </cfRule>
  </conditionalFormatting>
  <conditionalFormatting sqref="AA175">
    <cfRule type="containsText" dxfId="1057" priority="131" operator="containsText" text="Ja">
      <formula>NOT(ISERROR(SEARCH("Ja",AA175)))</formula>
    </cfRule>
  </conditionalFormatting>
  <conditionalFormatting sqref="AA190">
    <cfRule type="containsText" dxfId="1056" priority="130" operator="containsText" text="Ja">
      <formula>NOT(ISERROR(SEARCH("Ja",AA190)))</formula>
    </cfRule>
  </conditionalFormatting>
  <conditionalFormatting sqref="B280:B287">
    <cfRule type="cellIs" dxfId="1055" priority="81" operator="greaterThan">
      <formula>0</formula>
    </cfRule>
  </conditionalFormatting>
  <conditionalFormatting sqref="C280:P288">
    <cfRule type="expression" dxfId="1054" priority="80">
      <formula>$B280&gt;=1</formula>
    </cfRule>
  </conditionalFormatting>
  <conditionalFormatting sqref="C281:P281">
    <cfRule type="expression" dxfId="1053" priority="79">
      <formula>$B281&gt;=1</formula>
    </cfRule>
  </conditionalFormatting>
  <conditionalFormatting sqref="C282:P282">
    <cfRule type="expression" dxfId="1052" priority="78">
      <formula>$B282&gt;=1</formula>
    </cfRule>
  </conditionalFormatting>
  <conditionalFormatting sqref="C283:P283">
    <cfRule type="expression" dxfId="1051" priority="77">
      <formula>$B283&gt;=1</formula>
    </cfRule>
  </conditionalFormatting>
  <conditionalFormatting sqref="C284:P284">
    <cfRule type="expression" dxfId="1050" priority="76">
      <formula>$B284&gt;=1</formula>
    </cfRule>
  </conditionalFormatting>
  <conditionalFormatting sqref="C285:P285">
    <cfRule type="expression" dxfId="1049" priority="75">
      <formula>$B285&gt;=1</formula>
    </cfRule>
  </conditionalFormatting>
  <conditionalFormatting sqref="C286:P286">
    <cfRule type="expression" dxfId="1048" priority="74">
      <formula>$B286&gt;=1</formula>
    </cfRule>
  </conditionalFormatting>
  <conditionalFormatting sqref="C287:P288">
    <cfRule type="expression" dxfId="1047" priority="73">
      <formula>$B287&gt;=1</formula>
    </cfRule>
  </conditionalFormatting>
  <conditionalFormatting sqref="C280:P288">
    <cfRule type="cellIs" dxfId="1046" priority="72" operator="greaterThan">
      <formula>0</formula>
    </cfRule>
  </conditionalFormatting>
  <conditionalFormatting sqref="F23">
    <cfRule type="expression" dxfId="1045" priority="71">
      <formula>$H$8+$L$8+$P$8&gt;0</formula>
    </cfRule>
  </conditionalFormatting>
  <conditionalFormatting sqref="R128">
    <cfRule type="expression" dxfId="1044" priority="63">
      <formula>Q128="ja"</formula>
    </cfRule>
  </conditionalFormatting>
  <conditionalFormatting sqref="R131">
    <cfRule type="expression" dxfId="1043" priority="62">
      <formula>Q131="ja"</formula>
    </cfRule>
  </conditionalFormatting>
  <conditionalFormatting sqref="R133">
    <cfRule type="expression" dxfId="1042" priority="61">
      <formula>Q133="ja"</formula>
    </cfRule>
  </conditionalFormatting>
  <conditionalFormatting sqref="R136">
    <cfRule type="expression" dxfId="1041" priority="60">
      <formula>Q136="ja"</formula>
    </cfRule>
  </conditionalFormatting>
  <conditionalFormatting sqref="R139">
    <cfRule type="expression" dxfId="1040" priority="59">
      <formula>Q139="ja"</formula>
    </cfRule>
  </conditionalFormatting>
  <conditionalFormatting sqref="R142">
    <cfRule type="expression" dxfId="1039" priority="58">
      <formula>Q142="ja"</formula>
    </cfRule>
  </conditionalFormatting>
  <conditionalFormatting sqref="R143">
    <cfRule type="expression" dxfId="1038" priority="57">
      <formula>Q143="ja"</formula>
    </cfRule>
  </conditionalFormatting>
  <conditionalFormatting sqref="R144">
    <cfRule type="expression" dxfId="1037" priority="56">
      <formula>Q144="ja"</formula>
    </cfRule>
  </conditionalFormatting>
  <conditionalFormatting sqref="R145">
    <cfRule type="expression" dxfId="1036" priority="55">
      <formula>Q145="ja"</formula>
    </cfRule>
  </conditionalFormatting>
  <conditionalFormatting sqref="R148">
    <cfRule type="expression" dxfId="1035" priority="54">
      <formula>Q148="ja"</formula>
    </cfRule>
  </conditionalFormatting>
  <conditionalFormatting sqref="R150">
    <cfRule type="expression" dxfId="1034" priority="53">
      <formula>Q150="ja"</formula>
    </cfRule>
  </conditionalFormatting>
  <conditionalFormatting sqref="R154">
    <cfRule type="expression" dxfId="1033" priority="52">
      <formula>Q154="ja"</formula>
    </cfRule>
  </conditionalFormatting>
  <conditionalFormatting sqref="R157:R163">
    <cfRule type="expression" dxfId="1032" priority="51">
      <formula>Q157="ja"</formula>
    </cfRule>
  </conditionalFormatting>
  <conditionalFormatting sqref="R166">
    <cfRule type="expression" dxfId="1031" priority="50">
      <formula>Q166="ja"</formula>
    </cfRule>
  </conditionalFormatting>
  <conditionalFormatting sqref="R169">
    <cfRule type="expression" dxfId="1030" priority="49">
      <formula>Q169="ja"</formula>
    </cfRule>
  </conditionalFormatting>
  <conditionalFormatting sqref="R173">
    <cfRule type="expression" dxfId="1029" priority="48">
      <formula>Q173="ja"</formula>
    </cfRule>
  </conditionalFormatting>
  <conditionalFormatting sqref="R176">
    <cfRule type="expression" dxfId="1028" priority="47">
      <formula>Q176="ja"</formula>
    </cfRule>
  </conditionalFormatting>
  <conditionalFormatting sqref="R125">
    <cfRule type="expression" dxfId="1027" priority="7">
      <formula>Q125="ja"</formula>
    </cfRule>
  </conditionalFormatting>
  <conditionalFormatting sqref="R178">
    <cfRule type="expression" dxfId="1026" priority="46">
      <formula>Q178="ja"</formula>
    </cfRule>
  </conditionalFormatting>
  <conditionalFormatting sqref="R181">
    <cfRule type="expression" dxfId="1025" priority="45">
      <formula>Q181="ja"</formula>
    </cfRule>
  </conditionalFormatting>
  <conditionalFormatting sqref="R184">
    <cfRule type="expression" dxfId="1024" priority="44">
      <formula>Q184="ja"</formula>
    </cfRule>
  </conditionalFormatting>
  <conditionalFormatting sqref="R187">
    <cfRule type="expression" dxfId="1023" priority="43">
      <formula>Q187="ja"</formula>
    </cfRule>
  </conditionalFormatting>
  <conditionalFormatting sqref="R190">
    <cfRule type="expression" dxfId="1022" priority="42">
      <formula>Q190="ja"</formula>
    </cfRule>
  </conditionalFormatting>
  <conditionalFormatting sqref="R226">
    <cfRule type="expression" dxfId="1021" priority="30">
      <formula>Q226="ja"</formula>
    </cfRule>
  </conditionalFormatting>
  <conditionalFormatting sqref="R193">
    <cfRule type="expression" dxfId="1020" priority="41">
      <formula>Q193="ja"</formula>
    </cfRule>
  </conditionalFormatting>
  <conditionalFormatting sqref="R205">
    <cfRule type="expression" dxfId="1019" priority="37">
      <formula>Q205="ja"</formula>
    </cfRule>
  </conditionalFormatting>
  <conditionalFormatting sqref="R208">
    <cfRule type="expression" dxfId="1018" priority="36">
      <formula>Q208="ja"</formula>
    </cfRule>
  </conditionalFormatting>
  <conditionalFormatting sqref="R211">
    <cfRule type="expression" dxfId="1017" priority="35">
      <formula>Q211="ja"</formula>
    </cfRule>
  </conditionalFormatting>
  <conditionalFormatting sqref="R217">
    <cfRule type="expression" dxfId="1016" priority="33">
      <formula>Q217="ja"</formula>
    </cfRule>
  </conditionalFormatting>
  <conditionalFormatting sqref="R229">
    <cfRule type="expression" dxfId="1015" priority="29">
      <formula>Q229="ja"</formula>
    </cfRule>
  </conditionalFormatting>
  <conditionalFormatting sqref="R235">
    <cfRule type="expression" dxfId="1014" priority="27">
      <formula>Q235="ja"</formula>
    </cfRule>
  </conditionalFormatting>
  <conditionalFormatting sqref="R238">
    <cfRule type="expression" dxfId="1013" priority="26">
      <formula>Q238="ja"</formula>
    </cfRule>
  </conditionalFormatting>
  <conditionalFormatting sqref="R241">
    <cfRule type="expression" dxfId="1012" priority="25">
      <formula>Q241="ja"</formula>
    </cfRule>
  </conditionalFormatting>
  <conditionalFormatting sqref="R82 R85 R88 R91 R94:R95 R98 R101 R104 R107 R110">
    <cfRule type="expression" dxfId="1011" priority="11">
      <formula>Q82="ja"</formula>
    </cfRule>
  </conditionalFormatting>
  <conditionalFormatting sqref="R113">
    <cfRule type="expression" dxfId="1010" priority="10">
      <formula>Q113="ja"</formula>
    </cfRule>
  </conditionalFormatting>
  <conditionalFormatting sqref="R119">
    <cfRule type="expression" dxfId="1009" priority="9">
      <formula>Q119="ja"</formula>
    </cfRule>
  </conditionalFormatting>
  <conditionalFormatting sqref="R122">
    <cfRule type="expression" dxfId="1008" priority="8">
      <formula>Q122="ja"</formula>
    </cfRule>
  </conditionalFormatting>
  <conditionalFormatting sqref="R39">
    <cfRule type="expression" dxfId="1007" priority="19">
      <formula>Q39="ja"</formula>
    </cfRule>
  </conditionalFormatting>
  <conditionalFormatting sqref="R44">
    <cfRule type="expression" dxfId="1006" priority="18">
      <formula>Q44="ja"</formula>
    </cfRule>
  </conditionalFormatting>
  <conditionalFormatting sqref="R47">
    <cfRule type="expression" dxfId="1005" priority="17">
      <formula>Q47="ja"</formula>
    </cfRule>
  </conditionalFormatting>
  <conditionalFormatting sqref="R49 R51 R53">
    <cfRule type="expression" dxfId="1004" priority="16">
      <formula>Q49="ja"</formula>
    </cfRule>
  </conditionalFormatting>
  <conditionalFormatting sqref="R50">
    <cfRule type="expression" dxfId="1003" priority="15">
      <formula>Q50="ja"</formula>
    </cfRule>
  </conditionalFormatting>
  <conditionalFormatting sqref="R55">
    <cfRule type="expression" dxfId="1002" priority="14">
      <formula>Q55="ja"</formula>
    </cfRule>
  </conditionalFormatting>
  <conditionalFormatting sqref="R58 R61 R64 R67 R70 R73">
    <cfRule type="expression" dxfId="1001" priority="13">
      <formula>Q58="ja"</formula>
    </cfRule>
  </conditionalFormatting>
  <conditionalFormatting sqref="R76">
    <cfRule type="expression" dxfId="1000" priority="12">
      <formula>Q76="ja"</formula>
    </cfRule>
  </conditionalFormatting>
  <conditionalFormatting sqref="B288">
    <cfRule type="cellIs" dxfId="999" priority="6" operator="greaterThan">
      <formula>0</formula>
    </cfRule>
  </conditionalFormatting>
  <conditionalFormatting sqref="T39:T53 T55:T77 T82:T114 T119:T126 T154:T176 T178:T191 T193:T233 T235:T243 T128:T152">
    <cfRule type="cellIs" dxfId="998" priority="1" operator="equal">
      <formula>"ja"</formula>
    </cfRule>
  </conditionalFormatting>
  <conditionalFormatting sqref="R203">
    <cfRule type="expression" dxfId="997" priority="775">
      <formula>Q203="ja"</formula>
    </cfRule>
  </conditionalFormatting>
  <dataValidations count="2">
    <dataValidation type="list" allowBlank="1" showInputMessage="1" showErrorMessage="1" sqref="Q235:Q243 H154:H176 H128:H152 H119:H126 H235:H243 H82:H114 H55:H77 H193:H233 H178:H191 H39:H53 Q55:Q77 Q82:Q114 Q39:Q53 Q178:Q191 Q154:Q176 Q128:Q152 Q119:Q126 Q205 Q193 Q203 Q208:Q211 Q217 Q226:Q229" xr:uid="{0C29C802-F0F6-467A-B1E8-4B4E7AE53721}">
      <formula1>$T$32:$T$33</formula1>
    </dataValidation>
    <dataValidation type="list" allowBlank="1" showInputMessage="1" showErrorMessage="1" sqref="F15:Q15" xr:uid="{380F18A3-C099-4AE1-AB3B-127D1B4C8033}">
      <formula1>$V$15:$V$17</formula1>
    </dataValidation>
  </dataValidations>
  <pageMargins left="0.25" right="0.25" top="0.75" bottom="0.75" header="0.3" footer="0.3"/>
  <pageSetup paperSize="9" scale="50" fitToHeight="99" orientation="portrait" r:id="rId1"/>
  <rowBreaks count="2" manualBreakCount="2">
    <brk id="87" max="16383" man="1"/>
    <brk id="187" max="16383" man="1"/>
  </rowBreaks>
  <ignoredErrors>
    <ignoredError sqref="Z177" formula="1"/>
    <ignoredError sqref="R8"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CB04986E-FD94-4D19-AC43-DE5C5CA00F3B}">
          <x14:formula1>
            <xm:f>'Berechnung - Hochbau'!$B$109:$B$112</xm:f>
          </x14:formula1>
          <xm:sqref>R5:S6 W5:X6</xm:sqref>
        </x14:dataValidation>
        <x14:dataValidation type="list" allowBlank="1" showInputMessage="1" showErrorMessage="1" xr:uid="{355B4850-9239-4B41-AD0A-6829C95BCF4C}">
          <x14:formula1>
            <xm:f>'Berechnung - Hochbau'!$H$52:$H$56</xm:f>
          </x14:formula1>
          <xm:sqref>F16</xm:sqref>
        </x14:dataValidation>
        <x14:dataValidation type="list" allowBlank="1" showInputMessage="1" showErrorMessage="1" xr:uid="{9845D66D-5B89-4528-9842-31FAD0386D78}">
          <x14:formula1>
            <xm:f>'Berechnung - Abwasser'!$B$138:$B$147</xm:f>
          </x14:formula1>
          <xm:sqref>U39:U233 U235:U243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FA9AF-D318-4CD5-9FCB-8B2DC3C531FB}">
  <sheetPr codeName="Tabelle7">
    <tabColor rgb="FFFFC000"/>
  </sheetPr>
  <dimension ref="A1:Q156"/>
  <sheetViews>
    <sheetView workbookViewId="0"/>
  </sheetViews>
  <sheetFormatPr baseColWidth="10" defaultColWidth="11.44140625" defaultRowHeight="14.55" x14ac:dyDescent="0.3"/>
  <cols>
    <col min="1" max="1" width="12.777343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2" width="12" style="594" bestFit="1" customWidth="1"/>
    <col min="13" max="16" width="11.5546875" style="594" bestFit="1" customWidth="1"/>
    <col min="17" max="17" width="12"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8">
        <v>2547</v>
      </c>
      <c r="G6" s="609">
        <v>2990</v>
      </c>
      <c r="H6" s="605"/>
      <c r="I6" s="608">
        <v>2990</v>
      </c>
      <c r="J6" s="609">
        <v>3405</v>
      </c>
    </row>
    <row r="7" spans="1:13" x14ac:dyDescent="0.3">
      <c r="A7" s="610">
        <v>10000</v>
      </c>
      <c r="B7" s="605"/>
      <c r="C7" s="611">
        <v>3689</v>
      </c>
      <c r="D7" s="612">
        <v>4408</v>
      </c>
      <c r="E7" s="605"/>
      <c r="F7" s="611">
        <v>4408</v>
      </c>
      <c r="G7" s="613">
        <v>5174</v>
      </c>
      <c r="H7" s="605"/>
      <c r="I7" s="611">
        <v>5174</v>
      </c>
      <c r="J7" s="613">
        <v>5893</v>
      </c>
    </row>
    <row r="8" spans="1:13" x14ac:dyDescent="0.3">
      <c r="A8" s="610">
        <v>15000</v>
      </c>
      <c r="B8" s="605"/>
      <c r="C8" s="611">
        <v>5084</v>
      </c>
      <c r="D8" s="612">
        <v>6075</v>
      </c>
      <c r="E8" s="605"/>
      <c r="F8" s="611">
        <v>6075</v>
      </c>
      <c r="G8" s="613">
        <v>7131</v>
      </c>
      <c r="H8" s="605"/>
      <c r="I8" s="611">
        <v>7131</v>
      </c>
      <c r="J8" s="613">
        <v>8122</v>
      </c>
    </row>
    <row r="9" spans="1:13" x14ac:dyDescent="0.3">
      <c r="A9" s="610">
        <v>25000</v>
      </c>
      <c r="B9" s="605"/>
      <c r="C9" s="611">
        <v>7615</v>
      </c>
      <c r="D9" s="612">
        <v>9098</v>
      </c>
      <c r="E9" s="605"/>
      <c r="F9" s="611">
        <v>9098</v>
      </c>
      <c r="G9" s="613">
        <v>10681</v>
      </c>
      <c r="H9" s="605"/>
      <c r="I9" s="611">
        <v>10681</v>
      </c>
      <c r="J9" s="613">
        <v>12164</v>
      </c>
    </row>
    <row r="10" spans="1:13" x14ac:dyDescent="0.3">
      <c r="A10" s="610">
        <v>35000</v>
      </c>
      <c r="B10" s="605"/>
      <c r="C10" s="611">
        <v>9934</v>
      </c>
      <c r="D10" s="612">
        <v>11869</v>
      </c>
      <c r="E10" s="605"/>
      <c r="F10" s="611">
        <v>11869</v>
      </c>
      <c r="G10" s="613">
        <v>13934</v>
      </c>
      <c r="H10" s="605"/>
      <c r="I10" s="611">
        <v>13934</v>
      </c>
      <c r="J10" s="613">
        <v>15869</v>
      </c>
    </row>
    <row r="11" spans="1:13" x14ac:dyDescent="0.3">
      <c r="A11" s="610">
        <v>50000</v>
      </c>
      <c r="B11" s="605"/>
      <c r="C11" s="611">
        <v>13165</v>
      </c>
      <c r="D11" s="612">
        <v>15729</v>
      </c>
      <c r="E11" s="605"/>
      <c r="F11" s="611">
        <v>15729</v>
      </c>
      <c r="G11" s="613">
        <v>18465</v>
      </c>
      <c r="H11" s="605"/>
      <c r="I11" s="611">
        <v>18465</v>
      </c>
      <c r="J11" s="613">
        <v>21029</v>
      </c>
    </row>
    <row r="12" spans="1:13" x14ac:dyDescent="0.3">
      <c r="A12" s="610">
        <v>75000</v>
      </c>
      <c r="B12" s="605"/>
      <c r="C12" s="611">
        <v>18122</v>
      </c>
      <c r="D12" s="612">
        <v>21652</v>
      </c>
      <c r="E12" s="605"/>
      <c r="F12" s="611">
        <v>21652</v>
      </c>
      <c r="G12" s="613">
        <v>25418</v>
      </c>
      <c r="H12" s="605"/>
      <c r="I12" s="611">
        <v>25418</v>
      </c>
      <c r="J12" s="613">
        <v>28948</v>
      </c>
    </row>
    <row r="13" spans="1:13" x14ac:dyDescent="0.3">
      <c r="A13" s="610">
        <v>100000</v>
      </c>
      <c r="B13" s="605"/>
      <c r="C13" s="611">
        <v>22723</v>
      </c>
      <c r="D13" s="612">
        <v>27150</v>
      </c>
      <c r="E13" s="605"/>
      <c r="F13" s="611">
        <v>27150</v>
      </c>
      <c r="G13" s="613">
        <v>31872</v>
      </c>
      <c r="H13" s="605"/>
      <c r="I13" s="611">
        <v>31872</v>
      </c>
      <c r="J13" s="613">
        <v>36299</v>
      </c>
    </row>
    <row r="14" spans="1:13" x14ac:dyDescent="0.3">
      <c r="A14" s="610">
        <v>150000</v>
      </c>
      <c r="B14" s="605"/>
      <c r="C14" s="611">
        <v>31228</v>
      </c>
      <c r="D14" s="612">
        <v>37311</v>
      </c>
      <c r="E14" s="605"/>
      <c r="F14" s="611">
        <v>37311</v>
      </c>
      <c r="G14" s="613">
        <v>43800</v>
      </c>
      <c r="H14" s="605"/>
      <c r="I14" s="611">
        <v>43800</v>
      </c>
      <c r="J14" s="613">
        <v>49883</v>
      </c>
    </row>
    <row r="15" spans="1:13" x14ac:dyDescent="0.3">
      <c r="A15" s="610">
        <v>250000</v>
      </c>
      <c r="B15" s="605"/>
      <c r="C15" s="611">
        <v>46640</v>
      </c>
      <c r="D15" s="612">
        <v>55726</v>
      </c>
      <c r="E15" s="605"/>
      <c r="F15" s="611">
        <v>55726</v>
      </c>
      <c r="G15" s="613">
        <v>65418</v>
      </c>
      <c r="H15" s="605"/>
      <c r="I15" s="611">
        <v>65418</v>
      </c>
      <c r="J15" s="613">
        <v>74504</v>
      </c>
    </row>
    <row r="16" spans="1:13" x14ac:dyDescent="0.3">
      <c r="A16" s="610">
        <v>500000</v>
      </c>
      <c r="B16" s="605"/>
      <c r="C16" s="611">
        <v>80684</v>
      </c>
      <c r="D16" s="612">
        <v>96402</v>
      </c>
      <c r="E16" s="605"/>
      <c r="F16" s="611">
        <v>96402</v>
      </c>
      <c r="G16" s="613">
        <v>113168</v>
      </c>
      <c r="H16" s="605"/>
      <c r="I16" s="611">
        <v>113168</v>
      </c>
      <c r="J16" s="613">
        <v>128886</v>
      </c>
    </row>
    <row r="17" spans="1:10" x14ac:dyDescent="0.3">
      <c r="A17" s="610">
        <v>750000</v>
      </c>
      <c r="B17" s="605"/>
      <c r="C17" s="611">
        <v>111105</v>
      </c>
      <c r="D17" s="612">
        <v>132749</v>
      </c>
      <c r="E17" s="605"/>
      <c r="F17" s="611">
        <v>132749</v>
      </c>
      <c r="G17" s="613">
        <v>155836</v>
      </c>
      <c r="H17" s="605"/>
      <c r="I17" s="611">
        <v>155836</v>
      </c>
      <c r="J17" s="613">
        <v>177480</v>
      </c>
    </row>
    <row r="18" spans="1:10" x14ac:dyDescent="0.3">
      <c r="A18" s="610">
        <v>1000000</v>
      </c>
      <c r="B18" s="605"/>
      <c r="C18" s="611">
        <v>139347</v>
      </c>
      <c r="D18" s="612">
        <v>166493</v>
      </c>
      <c r="E18" s="605"/>
      <c r="F18" s="611">
        <v>166493</v>
      </c>
      <c r="G18" s="613">
        <v>195448</v>
      </c>
      <c r="H18" s="605"/>
      <c r="I18" s="611">
        <v>195448</v>
      </c>
      <c r="J18" s="613">
        <v>222594</v>
      </c>
    </row>
    <row r="19" spans="1:10" x14ac:dyDescent="0.3">
      <c r="A19" s="610">
        <v>1250000</v>
      </c>
      <c r="B19" s="605"/>
      <c r="C19" s="611">
        <v>166043</v>
      </c>
      <c r="D19" s="612">
        <v>198389</v>
      </c>
      <c r="E19" s="605"/>
      <c r="F19" s="611">
        <v>198389</v>
      </c>
      <c r="G19" s="613">
        <v>232891</v>
      </c>
      <c r="H19" s="605"/>
      <c r="I19" s="611">
        <v>232891</v>
      </c>
      <c r="J19" s="613">
        <v>265237</v>
      </c>
    </row>
    <row r="20" spans="1:10" x14ac:dyDescent="0.3">
      <c r="A20" s="610">
        <v>1500000</v>
      </c>
      <c r="B20" s="605"/>
      <c r="C20" s="611">
        <v>191545</v>
      </c>
      <c r="D20" s="612">
        <v>228859</v>
      </c>
      <c r="E20" s="605"/>
      <c r="F20" s="611">
        <v>228859</v>
      </c>
      <c r="G20" s="613">
        <v>268660</v>
      </c>
      <c r="H20" s="605"/>
      <c r="I20" s="611">
        <v>268660</v>
      </c>
      <c r="J20" s="613">
        <v>305974</v>
      </c>
    </row>
    <row r="21" spans="1:10" x14ac:dyDescent="0.3">
      <c r="A21" s="610">
        <v>2000000</v>
      </c>
      <c r="B21" s="605"/>
      <c r="C21" s="611">
        <v>239792</v>
      </c>
      <c r="D21" s="612">
        <v>286504</v>
      </c>
      <c r="E21" s="605"/>
      <c r="F21" s="611">
        <v>286504</v>
      </c>
      <c r="G21" s="613">
        <v>336331</v>
      </c>
      <c r="H21" s="605"/>
      <c r="I21" s="611">
        <v>336331</v>
      </c>
      <c r="J21" s="613">
        <v>383044</v>
      </c>
    </row>
    <row r="22" spans="1:10" x14ac:dyDescent="0.3">
      <c r="A22" s="610">
        <v>2500000</v>
      </c>
      <c r="B22" s="605"/>
      <c r="C22" s="611">
        <v>285649</v>
      </c>
      <c r="D22" s="612">
        <v>341295</v>
      </c>
      <c r="E22" s="605"/>
      <c r="F22" s="611">
        <v>341295</v>
      </c>
      <c r="G22" s="613">
        <v>400650</v>
      </c>
      <c r="H22" s="605"/>
      <c r="I22" s="611">
        <v>400650</v>
      </c>
      <c r="J22" s="613">
        <v>456296</v>
      </c>
    </row>
    <row r="23" spans="1:10" x14ac:dyDescent="0.3">
      <c r="A23" s="610">
        <v>3000000</v>
      </c>
      <c r="B23" s="605"/>
      <c r="C23" s="611">
        <v>329420</v>
      </c>
      <c r="D23" s="612">
        <v>393593</v>
      </c>
      <c r="E23" s="605"/>
      <c r="F23" s="611">
        <v>393593</v>
      </c>
      <c r="G23" s="613">
        <v>462044</v>
      </c>
      <c r="H23" s="605"/>
      <c r="I23" s="611">
        <v>462044</v>
      </c>
      <c r="J23" s="613">
        <v>526217</v>
      </c>
    </row>
    <row r="24" spans="1:10" x14ac:dyDescent="0.3">
      <c r="A24" s="610">
        <v>3500000</v>
      </c>
      <c r="B24" s="605"/>
      <c r="C24" s="611">
        <v>371491</v>
      </c>
      <c r="D24" s="612">
        <v>443859</v>
      </c>
      <c r="E24" s="605"/>
      <c r="F24" s="611">
        <v>443859</v>
      </c>
      <c r="G24" s="613">
        <v>521052</v>
      </c>
      <c r="H24" s="605"/>
      <c r="I24" s="611">
        <v>521052</v>
      </c>
      <c r="J24" s="613">
        <v>593420</v>
      </c>
    </row>
    <row r="25" spans="1:10" ht="15.2" thickBot="1" x14ac:dyDescent="0.35">
      <c r="A25" s="610">
        <v>4000000</v>
      </c>
      <c r="B25" s="614"/>
      <c r="C25" s="611">
        <v>412126</v>
      </c>
      <c r="D25" s="612">
        <v>492410</v>
      </c>
      <c r="E25" s="615"/>
      <c r="F25" s="611">
        <v>492410</v>
      </c>
      <c r="G25" s="612">
        <v>578046</v>
      </c>
      <c r="H25" s="605"/>
      <c r="I25" s="611">
        <v>578046</v>
      </c>
      <c r="J25" s="613">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Förderanlagen!H8</f>
        <v>0</v>
      </c>
      <c r="H62" s="1648"/>
      <c r="I62" s="1647">
        <f>Förderanlagen!L8</f>
        <v>0</v>
      </c>
      <c r="J62" s="1648"/>
      <c r="K62" s="1647">
        <f>Förderanlagen!P8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Förderanlagen!F15</f>
        <v>1</v>
      </c>
      <c r="H64" s="1463"/>
      <c r="J64" s="1643"/>
      <c r="K64" s="1643"/>
      <c r="L64" s="642"/>
      <c r="M64" s="645"/>
      <c r="N64" s="626"/>
      <c r="O64" s="626"/>
      <c r="P64" s="626"/>
      <c r="Q64" s="627"/>
    </row>
    <row r="65" spans="1:17" x14ac:dyDescent="0.3">
      <c r="A65" s="629"/>
      <c r="B65" s="1422" t="s">
        <v>317</v>
      </c>
      <c r="C65" s="1423"/>
      <c r="D65" s="1423"/>
      <c r="E65" s="1424"/>
      <c r="F65" s="644"/>
      <c r="G65" s="1462" t="str">
        <f>Förderanlagen!F16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649"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651"/>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597">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597">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597">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652"/>
      <c r="E75" s="603"/>
      <c r="F75" s="603"/>
      <c r="G75" s="653"/>
      <c r="H75" s="651"/>
      <c r="I75" s="641"/>
      <c r="J75" s="641"/>
      <c r="K75" s="641"/>
      <c r="L75" s="654"/>
      <c r="M75" s="641"/>
      <c r="N75" s="627"/>
      <c r="O75" s="627"/>
      <c r="P75" s="627"/>
      <c r="Q75" s="627"/>
    </row>
    <row r="76" spans="1:17" x14ac:dyDescent="0.3">
      <c r="A76" s="629"/>
      <c r="B76" s="708"/>
      <c r="C76" s="709"/>
      <c r="D76" s="1397" t="s">
        <v>925</v>
      </c>
      <c r="E76" s="1649" t="s">
        <v>316</v>
      </c>
      <c r="F76" s="603"/>
      <c r="G76" s="647" t="s">
        <v>328</v>
      </c>
      <c r="H76" s="648">
        <f>IF(G62&lt;$A$6,0,IF(G62&gt;$A$44,0,INDEX($A$6:$A$44,MATCH(G62,$A$6:$A$44,1)+1,1)))</f>
        <v>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651"/>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597">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597">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597">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0</v>
      </c>
      <c r="H85" s="655">
        <f>VLOOKUP(G64,E72:H74,4)</f>
        <v>0</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0</v>
      </c>
      <c r="H86" s="655">
        <f>VLOOKUP(G64,E78:H80,4)</f>
        <v>0</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0</v>
      </c>
      <c r="H93" s="655">
        <f t="shared" si="3"/>
        <v>0</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0</v>
      </c>
      <c r="H94" s="655">
        <f>G88</f>
        <v>0</v>
      </c>
      <c r="I94" s="655">
        <f>I88</f>
        <v>0</v>
      </c>
      <c r="J94" s="655">
        <f>I88</f>
        <v>0</v>
      </c>
      <c r="K94" s="655">
        <f>K88</f>
        <v>0</v>
      </c>
      <c r="L94" s="655">
        <f>K88</f>
        <v>0</v>
      </c>
      <c r="M94" s="656"/>
    </row>
    <row r="95" spans="1:17" x14ac:dyDescent="0.3">
      <c r="A95" s="629"/>
      <c r="B95" s="1416" t="s">
        <v>336</v>
      </c>
      <c r="C95" s="1416"/>
      <c r="D95" s="1416"/>
      <c r="E95" s="1416"/>
      <c r="F95" s="660"/>
      <c r="G95" s="655">
        <f t="shared" ref="G95:L95" si="4">G87</f>
        <v>0</v>
      </c>
      <c r="H95" s="655">
        <f t="shared" si="4"/>
        <v>0</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0</v>
      </c>
      <c r="H96" s="655">
        <f>H76-H70</f>
        <v>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0</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IF(Förderanlagen!$T39="ja",Förderanlagen!J39,0)</f>
        <v>0</v>
      </c>
      <c r="D109" s="1639"/>
      <c r="E109" s="1669">
        <f>IF(Förderanlagen!T39="ja",Förderanlagen!L54,0)</f>
        <v>0</v>
      </c>
      <c r="F109" s="1639"/>
      <c r="G109" s="681">
        <f>C109*1.1+E109</f>
        <v>0</v>
      </c>
    </row>
    <row r="110" spans="1:13" x14ac:dyDescent="0.3">
      <c r="B110" s="682">
        <v>2</v>
      </c>
      <c r="C110" s="1408">
        <f>IF(Förderanlagen!$T55="ja",Förderanlagen!J55,0)</f>
        <v>0</v>
      </c>
      <c r="D110" s="1409"/>
      <c r="E110" s="1670">
        <f>IF(Förderanlagen!T55="ja",Förderanlagen!L78,0)</f>
        <v>0</v>
      </c>
      <c r="F110" s="1409"/>
      <c r="G110" s="681">
        <f t="shared" ref="G110:G122" si="5">C110*1.1+E110</f>
        <v>0</v>
      </c>
    </row>
    <row r="111" spans="1:13" x14ac:dyDescent="0.3">
      <c r="B111" s="682">
        <v>3</v>
      </c>
      <c r="C111" s="1408">
        <f>IF(Förderanlagen!$T82="ja",Förderanlagen!J82,0)</f>
        <v>0</v>
      </c>
      <c r="D111" s="1409"/>
      <c r="E111" s="1670">
        <f>IF(Förderanlagen!T82="ja",Förderanlagen!L115,0)</f>
        <v>0</v>
      </c>
      <c r="F111" s="1409"/>
      <c r="G111" s="681">
        <f t="shared" si="5"/>
        <v>0</v>
      </c>
    </row>
    <row r="112" spans="1:13" x14ac:dyDescent="0.3">
      <c r="B112" s="682">
        <v>4</v>
      </c>
      <c r="C112" s="1408">
        <f>IF(Förderanlagen!$T119="ja",Förderanlagen!J119,0)</f>
        <v>0</v>
      </c>
      <c r="D112" s="1409"/>
      <c r="E112" s="1670">
        <f>IF(Förderanlagen!T119="ja",Förderanlagen!L127,0)</f>
        <v>0</v>
      </c>
      <c r="F112" s="1409"/>
      <c r="G112" s="681">
        <f t="shared" si="5"/>
        <v>0</v>
      </c>
    </row>
    <row r="113" spans="2:7" x14ac:dyDescent="0.3">
      <c r="B113" s="682" t="s">
        <v>351</v>
      </c>
      <c r="C113" s="1408">
        <f>IF(Förderanlagen!$T128="ja",Förderanlagen!J128,0)</f>
        <v>0</v>
      </c>
      <c r="D113" s="1409"/>
      <c r="E113" s="1670">
        <f>IF(Förderanlagen!T128="ja",Förderanlagen!R128+Förderanlagen!R131,0)</f>
        <v>0</v>
      </c>
      <c r="F113" s="1409"/>
      <c r="G113" s="681">
        <f t="shared" si="5"/>
        <v>0</v>
      </c>
    </row>
    <row r="114" spans="2:7" x14ac:dyDescent="0.3">
      <c r="B114" s="682" t="s">
        <v>352</v>
      </c>
      <c r="C114" s="1408">
        <f>IF(Förderanlagen!$T133="ja",Förderanlagen!J133,0)</f>
        <v>0</v>
      </c>
      <c r="D114" s="1409"/>
      <c r="E114" s="1670">
        <f>IF(Förderanlagen!T133="ja",Förderanlagen!R133+Förderanlagen!R136+Förderanlagen!R139+Förderanlagen!R142,0)</f>
        <v>0</v>
      </c>
      <c r="F114" s="1409"/>
      <c r="G114" s="681">
        <f t="shared" si="5"/>
        <v>0</v>
      </c>
    </row>
    <row r="115" spans="2:7" x14ac:dyDescent="0.3">
      <c r="B115" s="682" t="s">
        <v>353</v>
      </c>
      <c r="C115" s="1408">
        <f>IF(Förderanlagen!$T143="ja",Förderanlagen!J143,0)</f>
        <v>0</v>
      </c>
      <c r="D115" s="1409"/>
      <c r="E115" s="1670">
        <f>IF(Förderanlagen!T143="ja",Förderanlagen!R143,0)</f>
        <v>0</v>
      </c>
      <c r="F115" s="1409"/>
      <c r="G115" s="681">
        <f t="shared" si="5"/>
        <v>0</v>
      </c>
    </row>
    <row r="116" spans="2:7" x14ac:dyDescent="0.3">
      <c r="B116" s="682" t="s">
        <v>354</v>
      </c>
      <c r="C116" s="1408">
        <f>IF(Förderanlagen!$T144="ja",Förderanlagen!J144,0)</f>
        <v>0</v>
      </c>
      <c r="D116" s="1409"/>
      <c r="E116" s="1670">
        <f>IF(Förderanlagen!T144="ja",Förderanlagen!R144,0)</f>
        <v>0</v>
      </c>
      <c r="F116" s="1409"/>
      <c r="G116" s="681">
        <f t="shared" si="5"/>
        <v>0</v>
      </c>
    </row>
    <row r="117" spans="2:7" x14ac:dyDescent="0.3">
      <c r="B117" s="682" t="s">
        <v>355</v>
      </c>
      <c r="C117" s="1408">
        <f>IF(Förderanlagen!$T145="ja",Förderanlagen!J145,0)</f>
        <v>0</v>
      </c>
      <c r="D117" s="1409"/>
      <c r="E117" s="1670">
        <f>IF(Förderanlagen!T145="ja",Förderanlagen!R145+Förderanlagen!R148,0)</f>
        <v>0</v>
      </c>
      <c r="F117" s="1409"/>
      <c r="G117" s="681">
        <f t="shared" si="5"/>
        <v>0</v>
      </c>
    </row>
    <row r="118" spans="2:7" x14ac:dyDescent="0.3">
      <c r="B118" s="682" t="s">
        <v>356</v>
      </c>
      <c r="C118" s="1408">
        <f>IF(Förderanlagen!$T150="ja",Förderanlagen!J150,0)</f>
        <v>0</v>
      </c>
      <c r="D118" s="1409"/>
      <c r="E118" s="1670">
        <f>IF(Förderanlagen!T150="ja",Förderanlagen!R150,0)</f>
        <v>0</v>
      </c>
      <c r="F118" s="1409"/>
      <c r="G118" s="681">
        <f t="shared" si="5"/>
        <v>0</v>
      </c>
    </row>
    <row r="119" spans="2:7" x14ac:dyDescent="0.3">
      <c r="B119" s="683">
        <v>6</v>
      </c>
      <c r="C119" s="1408">
        <f>IF(Förderanlagen!$T154="ja",Förderanlagen!J154,0)</f>
        <v>0</v>
      </c>
      <c r="D119" s="1409"/>
      <c r="E119" s="1670">
        <f>IF(Förderanlagen!T154="ja",Förderanlagen!L177,0)</f>
        <v>0</v>
      </c>
      <c r="F119" s="1409"/>
      <c r="G119" s="681">
        <f t="shared" si="5"/>
        <v>0</v>
      </c>
    </row>
    <row r="120" spans="2:7" x14ac:dyDescent="0.3">
      <c r="B120" s="683">
        <v>7</v>
      </c>
      <c r="C120" s="1408">
        <f>IF(Förderanlagen!$T178="ja",Förderanlagen!J178,0)</f>
        <v>0</v>
      </c>
      <c r="D120" s="1409"/>
      <c r="E120" s="1670">
        <f>IF(Förderanlagen!T178="ja",Förderanlagen!L192,0)</f>
        <v>0</v>
      </c>
      <c r="F120" s="1409"/>
      <c r="G120" s="681">
        <f t="shared" si="5"/>
        <v>0</v>
      </c>
    </row>
    <row r="121" spans="2:7" x14ac:dyDescent="0.3">
      <c r="B121" s="683">
        <v>8</v>
      </c>
      <c r="C121" s="1408">
        <f>IF(Förderanlagen!$T193="ja",Förderanlagen!J193,0)</f>
        <v>0</v>
      </c>
      <c r="D121" s="1409"/>
      <c r="E121" s="1670">
        <f>IF(Förderanlagen!T193="ja",Förderanlagen!L234,0)</f>
        <v>0</v>
      </c>
      <c r="F121" s="1409"/>
      <c r="G121" s="681">
        <f t="shared" si="5"/>
        <v>0</v>
      </c>
    </row>
    <row r="122" spans="2:7" ht="15.2" thickBot="1" x14ac:dyDescent="0.35">
      <c r="B122" s="684">
        <v>9</v>
      </c>
      <c r="C122" s="1674">
        <f>IF(Förderanlagen!$T235="ja",Förderanlagen!J235,0)</f>
        <v>0</v>
      </c>
      <c r="D122" s="1675"/>
      <c r="E122" s="1676">
        <f>IF(Förderanlagen!T235="ja",Förderanlagen!L244,0)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C123*Förderanlagen!F23+C123</f>
        <v>0</v>
      </c>
      <c r="D125" s="1658"/>
      <c r="E125" s="1657">
        <f>Förderanlagen!R244</f>
        <v>0</v>
      </c>
      <c r="F125" s="1658"/>
    </row>
    <row r="128" spans="2:7" x14ac:dyDescent="0.3">
      <c r="B128" s="594" t="s">
        <v>463</v>
      </c>
      <c r="D128" s="687">
        <f>Überblick!G98</f>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x14ac:dyDescent="0.3">
      <c r="B134" s="787" t="s">
        <v>105</v>
      </c>
      <c r="C134" s="745" t="s">
        <v>285</v>
      </c>
      <c r="D134" s="788" t="s">
        <v>286</v>
      </c>
      <c r="E134" s="788" t="s">
        <v>287</v>
      </c>
      <c r="F134" s="788" t="s">
        <v>288</v>
      </c>
      <c r="G134" s="788" t="s">
        <v>289</v>
      </c>
      <c r="H134" s="788" t="s">
        <v>290</v>
      </c>
      <c r="I134" s="788" t="s">
        <v>291</v>
      </c>
      <c r="J134" s="788" t="s">
        <v>292</v>
      </c>
      <c r="K134" s="788" t="s">
        <v>293</v>
      </c>
      <c r="L134" s="788" t="s">
        <v>294</v>
      </c>
      <c r="M134" s="788" t="s">
        <v>295</v>
      </c>
      <c r="N134" s="788" t="s">
        <v>296</v>
      </c>
      <c r="O134" s="788" t="s">
        <v>297</v>
      </c>
      <c r="P134" s="788" t="s">
        <v>359</v>
      </c>
      <c r="Q134" s="789" t="s">
        <v>360</v>
      </c>
    </row>
    <row r="135" spans="2:17" x14ac:dyDescent="0.3">
      <c r="B135" s="775">
        <f>IF(Überblick!$H$53&gt;=1,1,"")</f>
        <v>1</v>
      </c>
      <c r="C135" s="698">
        <f>IF($B135=Förderanlagen!$U$39,Förderanlagen!$J$39*Förderanlagen!$F$23+Förderanlagen!$J$39+Förderanlagen!$L$54,0)</f>
        <v>0</v>
      </c>
      <c r="D135" s="698">
        <f>IF($B135=Förderanlagen!$U$55,Förderanlagen!$J$55*Förderanlagen!$F$23+Förderanlagen!$J$55+Förderanlagen!$L$78,0)</f>
        <v>0</v>
      </c>
      <c r="E135" s="698">
        <f>IF($B135=Förderanlagen!$U$82,Förderanlagen!$J$82*Förderanlagen!$F$23+Förderanlagen!$J$82+Förderanlagen!$L$115,0)</f>
        <v>0</v>
      </c>
      <c r="F135" s="698">
        <f>IF($B135=Förderanlagen!$U$119,Förderanlagen!$J$119*Förderanlagen!$F$23+Förderanlagen!$J$119+Förderanlagen!$L$127,0)</f>
        <v>0</v>
      </c>
      <c r="G135" s="698">
        <f>IF($B135=Förderanlagen!$U$128,Förderanlagen!$J$128*Förderanlagen!$F$23+Förderanlagen!$J$128+Förderanlagen!$R$128+Förderanlagen!$R$131,0)</f>
        <v>0</v>
      </c>
      <c r="H135" s="698">
        <f>IF($B135=Förderanlagen!$U$133,Förderanlagen!$J$133*Förderanlagen!$F$23+Förderanlagen!$J$133+Förderanlagen!$R$133+Förderanlagen!$R$136+Förderanlagen!$R$139+Förderanlagen!$R$142,0)</f>
        <v>0</v>
      </c>
      <c r="I135" s="698">
        <f>IF($B135=Förderanlagen!$U$143,Förderanlagen!$J$143*Förderanlagen!$F$23+Förderanlagen!$J$143+Förderanlagen!$R$143,0)</f>
        <v>0</v>
      </c>
      <c r="J135" s="698">
        <f>IF($B135=Förderanlagen!$U$144,Förderanlagen!$J$144*Förderanlagen!$F$23+Förderanlagen!$J$144+Förderanlagen!$R$144,0)</f>
        <v>0</v>
      </c>
      <c r="K135" s="698">
        <f>IF($B135=Förderanlagen!$U$145,Förderanlagen!$J$145*Förderanlagen!$F$23+Förderanlagen!$J$145+Förderanlagen!$R$145+Förderanlagen!$R$148,0)</f>
        <v>0</v>
      </c>
      <c r="L135" s="698">
        <f>IF($B135=Förderanlagen!$U$150,Förderanlagen!$J$150*Förderanlagen!$F$23+Förderanlagen!$J$150+Förderanlagen!$R$150,0)</f>
        <v>0</v>
      </c>
      <c r="M135" s="698">
        <f>IF($B135=Förderanlagen!$U$154,Förderanlagen!$J$154*Förderanlagen!$F$23+Förderanlagen!$J$154+Förderanlagen!$L$177,0)</f>
        <v>0</v>
      </c>
      <c r="N135" s="698">
        <f>IF($B135=Förderanlagen!$U$178,Förderanlagen!$J$178*Förderanlagen!$F$23+Förderanlagen!$J$178+Förderanlagen!$L$192,0)</f>
        <v>0</v>
      </c>
      <c r="O135" s="698">
        <f>IF($B135=Förderanlagen!$U$193,Förderanlagen!$J$193*Förderanlagen!$F$23+Förderanlagen!$J$193+Förderanlagen!$L$234,0)</f>
        <v>0</v>
      </c>
      <c r="P135" s="698">
        <f>IF($B135=Förderanlagen!$U$235,Förderanlagen!$J$235*Förderanlagen!$F$23+Förderanlagen!$J$235+Förderanlagen!$L$244,0)</f>
        <v>0</v>
      </c>
      <c r="Q135" s="699">
        <f>SUM(C135:P135)</f>
        <v>0</v>
      </c>
    </row>
    <row r="136" spans="2:17" x14ac:dyDescent="0.3">
      <c r="B136" s="775">
        <f>IF(Überblick!$H$53&gt;=2,2,"")</f>
        <v>2</v>
      </c>
      <c r="C136" s="698">
        <f>IF($B136=Förderanlagen!$U$39,Förderanlagen!$J$39*Förderanlagen!$F$23+Förderanlagen!$J$39+Förderanlagen!$L$54,0)</f>
        <v>0</v>
      </c>
      <c r="D136" s="698">
        <f>IF($B136=Förderanlagen!$U$55,Förderanlagen!$J$55*Förderanlagen!$F$23+Förderanlagen!$J$55+Förderanlagen!$L$78,0)</f>
        <v>0</v>
      </c>
      <c r="E136" s="698">
        <f>IF($B136=Förderanlagen!$U$82,Förderanlagen!$J$82*Förderanlagen!$F$23+Förderanlagen!$J$82+Förderanlagen!$L$115,0)</f>
        <v>0</v>
      </c>
      <c r="F136" s="698">
        <f>IF($B136=Förderanlagen!$U$119,Förderanlagen!$J$119*Förderanlagen!$F$23+Förderanlagen!$J$119+Förderanlagen!$L$127,0)</f>
        <v>0</v>
      </c>
      <c r="G136" s="698">
        <f>IF($B136=Förderanlagen!$U$128,Förderanlagen!$J$128*Förderanlagen!$F$23+Förderanlagen!$J$128+Förderanlagen!$R$128+Förderanlagen!$R$131,0)</f>
        <v>0</v>
      </c>
      <c r="H136" s="698">
        <f>IF($B136=Förderanlagen!$U$133,Förderanlagen!$J$133*Förderanlagen!$F$23+Förderanlagen!$J$133+Förderanlagen!$R$133+Förderanlagen!$R$136+Förderanlagen!$R$139+Förderanlagen!$R$142,0)</f>
        <v>0</v>
      </c>
      <c r="I136" s="698">
        <f>IF($B136=Förderanlagen!$U$143,Förderanlagen!$J$143*Förderanlagen!$F$23+Förderanlagen!$J$143+Förderanlagen!$R$143,0)</f>
        <v>0</v>
      </c>
      <c r="J136" s="698">
        <f>IF($B136=Förderanlagen!$U$144,Förderanlagen!$J$144*Förderanlagen!$F$23+Förderanlagen!$J$144+Förderanlagen!$R$144,0)</f>
        <v>0</v>
      </c>
      <c r="K136" s="698">
        <f>IF($B136=Förderanlagen!$U$145,Förderanlagen!$J$145*Förderanlagen!$F$23+Förderanlagen!$J$145+Förderanlagen!$R$145+Förderanlagen!$R$148,0)</f>
        <v>0</v>
      </c>
      <c r="L136" s="698">
        <f>IF($B136=Förderanlagen!$U$150,Förderanlagen!$J$150*Förderanlagen!$F$23+Förderanlagen!$J$150+Förderanlagen!$R$150,0)</f>
        <v>0</v>
      </c>
      <c r="M136" s="698">
        <f>IF($B136=Förderanlagen!$U$154,Förderanlagen!$J$154*Förderanlagen!$F$23+Förderanlagen!$J$154+Förderanlagen!$L$177,0)</f>
        <v>0</v>
      </c>
      <c r="N136" s="698">
        <f>IF($B136=Förderanlagen!$U$178,Förderanlagen!$J$178*Förderanlagen!$F$23+Förderanlagen!$J$178+Förderanlagen!$L$192,0)</f>
        <v>0</v>
      </c>
      <c r="O136" s="698">
        <f>IF($B136=Förderanlagen!$U$193,Förderanlagen!$J$193*Förderanlagen!$F$23+Förderanlagen!$J$193+Förderanlagen!$L$234,0)</f>
        <v>0</v>
      </c>
      <c r="P136" s="698">
        <f>IF($B136=Förderanlagen!$U$235,Förderanlagen!$J$235*Förderanlagen!$F$23+Förderanlagen!$J$235+Förderanlagen!$L$244,0)</f>
        <v>0</v>
      </c>
      <c r="Q136" s="699">
        <f t="shared" ref="Q136:Q142" si="6">SUM(C136:P136)</f>
        <v>0</v>
      </c>
    </row>
    <row r="137" spans="2:17" x14ac:dyDescent="0.3">
      <c r="B137" s="775">
        <f>IF(Überblick!$H$53&gt;=3,3,"")</f>
        <v>3</v>
      </c>
      <c r="C137" s="698">
        <f>IF($B137=Förderanlagen!$U$39,Förderanlagen!$J$39*Förderanlagen!$F$23+Förderanlagen!$J$39+Förderanlagen!$L$54,0)</f>
        <v>0</v>
      </c>
      <c r="D137" s="698">
        <f>IF($B137=Förderanlagen!$U$55,Förderanlagen!$J$55*Förderanlagen!$F$23+Förderanlagen!$J$55+Förderanlagen!$L$78,0)</f>
        <v>0</v>
      </c>
      <c r="E137" s="698">
        <f>IF($B137=Förderanlagen!$U$82,Förderanlagen!$J$82*Förderanlagen!$F$23+Förderanlagen!$J$82+Förderanlagen!$L$115,0)</f>
        <v>0</v>
      </c>
      <c r="F137" s="698">
        <f>IF($B137=Förderanlagen!$U$119,Förderanlagen!$J$119*Förderanlagen!$F$23+Förderanlagen!$J$119+Förderanlagen!$L$127,0)</f>
        <v>0</v>
      </c>
      <c r="G137" s="698">
        <f>IF($B137=Förderanlagen!$U$128,Förderanlagen!$J$128*Förderanlagen!$F$23+Förderanlagen!$J$128+Förderanlagen!$R$128+Förderanlagen!$R$131,0)</f>
        <v>0</v>
      </c>
      <c r="H137" s="698">
        <f>IF($B137=Förderanlagen!$U$133,Förderanlagen!$J$133*Förderanlagen!$F$23+Förderanlagen!$J$133+Förderanlagen!$R$133+Förderanlagen!$R$136+Förderanlagen!$R$139+Förderanlagen!$R$142,0)</f>
        <v>0</v>
      </c>
      <c r="I137" s="698">
        <f>IF($B137=Förderanlagen!$U$143,Förderanlagen!$J$143*Förderanlagen!$F$23+Förderanlagen!$J$143+Förderanlagen!$R$143,0)</f>
        <v>0</v>
      </c>
      <c r="J137" s="698">
        <f>IF($B137=Förderanlagen!$U$144,Förderanlagen!$J$144*Förderanlagen!$F$23+Förderanlagen!$J$144+Förderanlagen!$R$144,0)</f>
        <v>0</v>
      </c>
      <c r="K137" s="698">
        <f>IF($B137=Förderanlagen!$U$145,Förderanlagen!$J$145*Förderanlagen!$F$23+Förderanlagen!$J$145+Förderanlagen!$R$145+Förderanlagen!$R$148,0)</f>
        <v>0</v>
      </c>
      <c r="L137" s="698">
        <f>IF($B137=Förderanlagen!$U$150,Förderanlagen!$J$150*Förderanlagen!$F$23+Förderanlagen!$J$150+Förderanlagen!$R$150,0)</f>
        <v>0</v>
      </c>
      <c r="M137" s="698">
        <f>IF($B137=Förderanlagen!$U$154,Förderanlagen!$J$154*Förderanlagen!$F$23+Förderanlagen!$J$154+Förderanlagen!$L$177,0)</f>
        <v>0</v>
      </c>
      <c r="N137" s="698">
        <f>IF($B137=Förderanlagen!$U$178,Förderanlagen!$J$178*Förderanlagen!$F$23+Förderanlagen!$J$178+Förderanlagen!$L$192,0)</f>
        <v>0</v>
      </c>
      <c r="O137" s="698">
        <f>IF($B137=Förderanlagen!$U$193,Förderanlagen!$J$193*Förderanlagen!$F$23+Förderanlagen!$J$193+Förderanlagen!$L$234,0)</f>
        <v>0</v>
      </c>
      <c r="P137" s="698">
        <f>IF($B137=Förderanlagen!$U$235,Förderanlagen!$J$235*Förderanlagen!$F$23+Förderanlagen!$J$235+Förderanlagen!$L$244,0)</f>
        <v>0</v>
      </c>
      <c r="Q137" s="699">
        <f t="shared" si="6"/>
        <v>0</v>
      </c>
    </row>
    <row r="138" spans="2:17" x14ac:dyDescent="0.3">
      <c r="B138" s="775">
        <f>IF(Überblick!$H$53&gt;=4,4,"")</f>
        <v>4</v>
      </c>
      <c r="C138" s="698">
        <f>IF($B138=Förderanlagen!$U$39,Förderanlagen!$J$39*Förderanlagen!$F$23+Förderanlagen!$J$39+Förderanlagen!$L$54,0)</f>
        <v>0</v>
      </c>
      <c r="D138" s="698">
        <f>IF($B138=Förderanlagen!$U$55,Förderanlagen!$J$55*Förderanlagen!$F$23+Förderanlagen!$J$55+Förderanlagen!$L$78,0)</f>
        <v>0</v>
      </c>
      <c r="E138" s="698">
        <f>IF($B138=Förderanlagen!$U$82,Förderanlagen!$J$82*Förderanlagen!$F$23+Förderanlagen!$J$82+Förderanlagen!$L$115,0)</f>
        <v>0</v>
      </c>
      <c r="F138" s="698">
        <f>IF($B138=Förderanlagen!$U$119,Förderanlagen!$J$119*Förderanlagen!$F$23+Förderanlagen!$J$119+Förderanlagen!$L$127,0)</f>
        <v>0</v>
      </c>
      <c r="G138" s="698">
        <f>IF($B138=Förderanlagen!$U$128,Förderanlagen!$J$128*Förderanlagen!$F$23+Förderanlagen!$J$128+Förderanlagen!$R$128+Förderanlagen!$R$131,0)</f>
        <v>0</v>
      </c>
      <c r="H138" s="698">
        <f>IF($B138=Förderanlagen!$U$133,Förderanlagen!$J$133*Förderanlagen!$F$23+Förderanlagen!$J$133+Förderanlagen!$R$133+Förderanlagen!$R$136+Förderanlagen!$R$139+Förderanlagen!$R$142,0)</f>
        <v>0</v>
      </c>
      <c r="I138" s="698">
        <f>IF($B138=Förderanlagen!$U$143,Förderanlagen!$J$143*Förderanlagen!$F$23+Förderanlagen!$J$143+Förderanlagen!$R$143,0)</f>
        <v>0</v>
      </c>
      <c r="J138" s="698">
        <f>IF($B138=Förderanlagen!$U$144,Förderanlagen!$J$144*Förderanlagen!$F$23+Förderanlagen!$J$144+Förderanlagen!$R$144,0)</f>
        <v>0</v>
      </c>
      <c r="K138" s="698">
        <f>IF($B138=Förderanlagen!$U$145,Förderanlagen!$J$145*Förderanlagen!$F$23+Förderanlagen!$J$145+Förderanlagen!$R$145+Förderanlagen!$R$148,0)</f>
        <v>0</v>
      </c>
      <c r="L138" s="698">
        <f>IF($B138=Förderanlagen!$U$150,Förderanlagen!$J$150*Förderanlagen!$F$23+Förderanlagen!$J$150+Förderanlagen!$R$150,0)</f>
        <v>0</v>
      </c>
      <c r="M138" s="698">
        <f>IF($B138=Förderanlagen!$U$154,Förderanlagen!$J$154*Förderanlagen!$F$23+Förderanlagen!$J$154+Förderanlagen!$L$177,0)</f>
        <v>0</v>
      </c>
      <c r="N138" s="698">
        <f>IF($B138=Förderanlagen!$U$178,Förderanlagen!$J$178*Förderanlagen!$F$23+Förderanlagen!$J$178+Förderanlagen!$L$192,0)</f>
        <v>0</v>
      </c>
      <c r="O138" s="698">
        <f>IF($B138=Förderanlagen!$U$193,Förderanlagen!$J$193*Förderanlagen!$F$23+Förderanlagen!$J$193+Förderanlagen!$L$234,0)</f>
        <v>0</v>
      </c>
      <c r="P138" s="698">
        <f>IF($B138=Förderanlagen!$U$235,Förderanlagen!$J$235*Förderanlagen!$F$23+Förderanlagen!$J$235+Förderanlagen!$L$244,0)</f>
        <v>0</v>
      </c>
      <c r="Q138" s="699">
        <f t="shared" si="6"/>
        <v>0</v>
      </c>
    </row>
    <row r="139" spans="2:17" x14ac:dyDescent="0.3">
      <c r="B139" s="775">
        <f>IF(Überblick!$H$53&gt;=5,5,"")</f>
        <v>5</v>
      </c>
      <c r="C139" s="698">
        <f>IF($B139=Förderanlagen!$U$39,Förderanlagen!$J$39*Förderanlagen!$F$23+Förderanlagen!$J$39+Förderanlagen!$L$54,0)</f>
        <v>0</v>
      </c>
      <c r="D139" s="698">
        <f>IF($B139=Förderanlagen!$U$55,Förderanlagen!$J$55*Förderanlagen!$F$23+Förderanlagen!$J$55+Förderanlagen!$L$78,0)</f>
        <v>0</v>
      </c>
      <c r="E139" s="698">
        <f>IF($B139=Förderanlagen!$U$82,Förderanlagen!$J$82*Förderanlagen!$F$23+Förderanlagen!$J$82+Förderanlagen!$L$115,0)</f>
        <v>0</v>
      </c>
      <c r="F139" s="698">
        <f>IF($B139=Förderanlagen!$U$119,Förderanlagen!$J$119*Förderanlagen!$F$23+Förderanlagen!$J$119+Förderanlagen!$L$127,0)</f>
        <v>0</v>
      </c>
      <c r="G139" s="698">
        <f>IF($B139=Förderanlagen!$U$128,Förderanlagen!$J$128*Förderanlagen!$F$23+Förderanlagen!$J$128+Förderanlagen!$R$128+Förderanlagen!$R$131,0)</f>
        <v>0</v>
      </c>
      <c r="H139" s="698">
        <f>IF($B139=Förderanlagen!$U$133,Förderanlagen!$J$133*Förderanlagen!$F$23+Förderanlagen!$J$133+Förderanlagen!$R$133+Förderanlagen!$R$136+Förderanlagen!$R$139+Förderanlagen!$R$142,0)</f>
        <v>0</v>
      </c>
      <c r="I139" s="698">
        <f>IF($B139=Förderanlagen!$U$143,Förderanlagen!$J$143*Förderanlagen!$F$23+Förderanlagen!$J$143+Förderanlagen!$R$143,0)</f>
        <v>0</v>
      </c>
      <c r="J139" s="698">
        <f>IF($B139=Förderanlagen!$U$144,Förderanlagen!$J$144*Förderanlagen!$F$23+Förderanlagen!$J$144+Förderanlagen!$R$144,0)</f>
        <v>0</v>
      </c>
      <c r="K139" s="698">
        <f>IF($B139=Förderanlagen!$U$145,Förderanlagen!$J$145*Förderanlagen!$F$23+Förderanlagen!$J$145+Förderanlagen!$R$145+Förderanlagen!$R$148,0)</f>
        <v>0</v>
      </c>
      <c r="L139" s="698">
        <f>IF($B139=Förderanlagen!$U$150,Förderanlagen!$J$150*Förderanlagen!$F$23+Förderanlagen!$J$150+Förderanlagen!$R$150,0)</f>
        <v>0</v>
      </c>
      <c r="M139" s="698">
        <f>IF($B139=Förderanlagen!$U$154,Förderanlagen!$J$154*Förderanlagen!$F$23+Förderanlagen!$J$154+Förderanlagen!$L$177,0)</f>
        <v>0</v>
      </c>
      <c r="N139" s="698">
        <f>IF($B139=Förderanlagen!$U$178,Förderanlagen!$J$178*Förderanlagen!$F$23+Förderanlagen!$J$178+Förderanlagen!$L$192,0)</f>
        <v>0</v>
      </c>
      <c r="O139" s="698">
        <f>IF($B139=Förderanlagen!$U$193,Förderanlagen!$J$193*Förderanlagen!$F$23+Förderanlagen!$J$193+Förderanlagen!$L$234,0)</f>
        <v>0</v>
      </c>
      <c r="P139" s="698">
        <f>IF($B139=Förderanlagen!$U$235,Förderanlagen!$J$235*Förderanlagen!$F$23+Förderanlagen!$J$235+Förderanlagen!$L$244,0)</f>
        <v>0</v>
      </c>
      <c r="Q139" s="699">
        <f t="shared" si="6"/>
        <v>0</v>
      </c>
    </row>
    <row r="140" spans="2:17" x14ac:dyDescent="0.3">
      <c r="B140" s="775">
        <f>IF(Überblick!$H$53&gt;=6,6,"")</f>
        <v>6</v>
      </c>
      <c r="C140" s="698">
        <f>IF($B140=Förderanlagen!$U$39,Förderanlagen!$J$39*Förderanlagen!$F$23+Förderanlagen!$J$39+Förderanlagen!$L$54,0)</f>
        <v>0</v>
      </c>
      <c r="D140" s="698">
        <f>IF($B140=Förderanlagen!$U$55,Förderanlagen!$J$55*Förderanlagen!$F$23+Förderanlagen!$J$55+Förderanlagen!$L$78,0)</f>
        <v>0</v>
      </c>
      <c r="E140" s="698">
        <f>IF($B140=Förderanlagen!$U$82,Förderanlagen!$J$82*Förderanlagen!$F$23+Förderanlagen!$J$82+Förderanlagen!$L$115,0)</f>
        <v>0</v>
      </c>
      <c r="F140" s="698">
        <f>IF($B140=Förderanlagen!$U$119,Förderanlagen!$J$119*Förderanlagen!$F$23+Förderanlagen!$J$119+Förderanlagen!$L$127,0)</f>
        <v>0</v>
      </c>
      <c r="G140" s="698">
        <f>IF($B140=Förderanlagen!$U$128,Förderanlagen!$J$128*Förderanlagen!$F$23+Förderanlagen!$J$128+Förderanlagen!$R$128+Förderanlagen!$R$131,0)</f>
        <v>0</v>
      </c>
      <c r="H140" s="698">
        <f>IF($B140=Förderanlagen!$U$133,Förderanlagen!$J$133*Förderanlagen!$F$23+Förderanlagen!$J$133+Förderanlagen!$R$133+Förderanlagen!$R$136+Förderanlagen!$R$139+Förderanlagen!$R$142,0)</f>
        <v>0</v>
      </c>
      <c r="I140" s="698">
        <f>IF($B140=Förderanlagen!$U$143,Förderanlagen!$J$143*Förderanlagen!$F$23+Förderanlagen!$J$143+Förderanlagen!$R$143,0)</f>
        <v>0</v>
      </c>
      <c r="J140" s="698">
        <f>IF($B140=Förderanlagen!$U$144,Förderanlagen!$J$144*Förderanlagen!$F$23+Förderanlagen!$J$144+Förderanlagen!$R$144,0)</f>
        <v>0</v>
      </c>
      <c r="K140" s="698">
        <f>IF($B140=Förderanlagen!$U$145,Förderanlagen!$J$145*Förderanlagen!$F$23+Förderanlagen!$J$145+Förderanlagen!$R$145+Förderanlagen!$R$148,0)</f>
        <v>0</v>
      </c>
      <c r="L140" s="698">
        <f>IF($B140=Förderanlagen!$U$150,Förderanlagen!$J$150*Förderanlagen!$F$23+Förderanlagen!$J$150+Förderanlagen!$R$150,0)</f>
        <v>0</v>
      </c>
      <c r="M140" s="698">
        <f>IF($B140=Förderanlagen!$U$154,Förderanlagen!$J$154*Förderanlagen!$F$23+Förderanlagen!$J$154+Förderanlagen!$L$177,0)</f>
        <v>0</v>
      </c>
      <c r="N140" s="698">
        <f>IF($B140=Förderanlagen!$U$178,Förderanlagen!$J$178*Förderanlagen!$F$23+Förderanlagen!$J$178+Förderanlagen!$L$192,0)</f>
        <v>0</v>
      </c>
      <c r="O140" s="698">
        <f>IF($B140=Förderanlagen!$U$193,Förderanlagen!$J$193*Förderanlagen!$F$23+Förderanlagen!$J$193+Förderanlagen!$L$234,0)</f>
        <v>0</v>
      </c>
      <c r="P140" s="698">
        <f>IF($B140=Förderanlagen!$U$235,Förderanlagen!$J$235*Förderanlagen!$F$23+Förderanlagen!$J$235+Förderanlagen!$L$244,0)</f>
        <v>0</v>
      </c>
      <c r="Q140" s="699">
        <f t="shared" si="6"/>
        <v>0</v>
      </c>
    </row>
    <row r="141" spans="2:17" x14ac:dyDescent="0.3">
      <c r="B141" s="775" t="str">
        <f>IF(Überblick!$H$53&gt;=7,7,"")</f>
        <v/>
      </c>
      <c r="C141" s="698">
        <f>IF($B141=Förderanlagen!$U$39,Förderanlagen!$J$39*Förderanlagen!$F$23+Förderanlagen!$J$39+Förderanlagen!$L$54,0)</f>
        <v>0</v>
      </c>
      <c r="D141" s="698">
        <f>IF($B141=Förderanlagen!$U$55,Förderanlagen!$J$55*Förderanlagen!$F$23+Förderanlagen!$J$55+Förderanlagen!$L$78,0)</f>
        <v>0</v>
      </c>
      <c r="E141" s="698">
        <f>IF($B141=Förderanlagen!$U$82,Förderanlagen!$J$82*Förderanlagen!$F$23+Förderanlagen!$J$82+Förderanlagen!$L$115,0)</f>
        <v>0</v>
      </c>
      <c r="F141" s="698">
        <f>IF($B141=Förderanlagen!$U$119,Förderanlagen!$J$119*Förderanlagen!$F$23+Förderanlagen!$J$119+Förderanlagen!$L$127,0)</f>
        <v>0</v>
      </c>
      <c r="G141" s="698">
        <f>IF($B141=Förderanlagen!$U$128,Förderanlagen!$J$128*Förderanlagen!$F$23+Förderanlagen!$J$128+Förderanlagen!$R$128+Förderanlagen!$R$131,0)</f>
        <v>0</v>
      </c>
      <c r="H141" s="698">
        <f>IF($B141=Förderanlagen!$U$133,Förderanlagen!$J$133*Förderanlagen!$F$23+Förderanlagen!$J$133+Förderanlagen!$R$133+Förderanlagen!$R$136+Förderanlagen!$R$139+Förderanlagen!$R$142,0)</f>
        <v>0</v>
      </c>
      <c r="I141" s="698">
        <f>IF($B141=Förderanlagen!$U$143,Förderanlagen!$J$143*Förderanlagen!$F$23+Förderanlagen!$J$143+Förderanlagen!$R$143,0)</f>
        <v>0</v>
      </c>
      <c r="J141" s="698">
        <f>IF($B141=Förderanlagen!$U$144,Förderanlagen!$J$144*Förderanlagen!$F$23+Förderanlagen!$J$144+Förderanlagen!$R$144,0)</f>
        <v>0</v>
      </c>
      <c r="K141" s="698">
        <f>IF($B141=Förderanlagen!$U$145,Förderanlagen!$J$145*Förderanlagen!$F$23+Förderanlagen!$J$145+Förderanlagen!$R$145+Förderanlagen!$R$148,0)</f>
        <v>0</v>
      </c>
      <c r="L141" s="698">
        <f>IF($B141=Förderanlagen!$U$150,Förderanlagen!$J$150*Förderanlagen!$F$23+Förderanlagen!$J$150+Förderanlagen!$R$150,0)</f>
        <v>0</v>
      </c>
      <c r="M141" s="698">
        <f>IF($B141=Förderanlagen!$U$154,Förderanlagen!$J$154*Förderanlagen!$F$23+Förderanlagen!$J$154+Förderanlagen!$L$177,0)</f>
        <v>0</v>
      </c>
      <c r="N141" s="698">
        <f>IF($B141=Förderanlagen!$U$178,Förderanlagen!$J$178*Förderanlagen!$F$23+Förderanlagen!$J$178+Förderanlagen!$L$192,0)</f>
        <v>0</v>
      </c>
      <c r="O141" s="698">
        <f>IF($B141=Förderanlagen!$U$193,Förderanlagen!$J$193*Förderanlagen!$F$23+Förderanlagen!$J$193+Förderanlagen!$L$234,0)</f>
        <v>0</v>
      </c>
      <c r="P141" s="698">
        <f>IF($B141=Förderanlagen!$U$235,Förderanlagen!$J$235*Förderanlagen!$F$23+Förderanlagen!$J$235+Förderanlagen!$L$244,0)</f>
        <v>0</v>
      </c>
      <c r="Q141" s="699">
        <f t="shared" si="6"/>
        <v>0</v>
      </c>
    </row>
    <row r="142" spans="2:17" x14ac:dyDescent="0.3">
      <c r="B142" s="775" t="str">
        <f>IF(Überblick!$H$53&gt;=8,8,"")</f>
        <v/>
      </c>
      <c r="C142" s="698">
        <f>IF($B142=Förderanlagen!$U$39,Förderanlagen!$J$39*Förderanlagen!$F$23+Förderanlagen!$J$39+Förderanlagen!$L$54,0)</f>
        <v>0</v>
      </c>
      <c r="D142" s="698">
        <f>IF($B142=Förderanlagen!$U$55,Förderanlagen!$J$55*Förderanlagen!$F$23+Förderanlagen!$J$55+Förderanlagen!$L$78,0)</f>
        <v>0</v>
      </c>
      <c r="E142" s="698">
        <f>IF($B142=Förderanlagen!$U$82,Förderanlagen!$J$82*Förderanlagen!$F$23+Förderanlagen!$J$82+Förderanlagen!$L$115,0)</f>
        <v>0</v>
      </c>
      <c r="F142" s="698">
        <f>IF($B142=Förderanlagen!$U$119,Förderanlagen!$J$119*Förderanlagen!$F$23+Förderanlagen!$J$119+Förderanlagen!$L$127,0)</f>
        <v>0</v>
      </c>
      <c r="G142" s="698">
        <f>IF($B142=Förderanlagen!$U$128,Förderanlagen!$J$128*Förderanlagen!$F$23+Förderanlagen!$J$128+Förderanlagen!$R$128+Förderanlagen!$R$131,0)</f>
        <v>0</v>
      </c>
      <c r="H142" s="698">
        <f>IF($B142=Förderanlagen!$U$133,Förderanlagen!$J$133*Förderanlagen!$F$23+Förderanlagen!$J$133+Förderanlagen!$R$133+Förderanlagen!$R$136+Förderanlagen!$R$139+Förderanlagen!$R$142,0)</f>
        <v>0</v>
      </c>
      <c r="I142" s="698">
        <f>IF($B142=Förderanlagen!$U$143,Förderanlagen!$J$143*Förderanlagen!$F$23+Förderanlagen!$J$143+Förderanlagen!$R$143,0)</f>
        <v>0</v>
      </c>
      <c r="J142" s="698">
        <f>IF($B142=Förderanlagen!$U$144,Förderanlagen!$J$144*Förderanlagen!$F$23+Förderanlagen!$J$144+Förderanlagen!$R$144,0)</f>
        <v>0</v>
      </c>
      <c r="K142" s="698">
        <f>IF($B142=Förderanlagen!$U$145,Förderanlagen!$J$145*Förderanlagen!$F$23+Förderanlagen!$J$145+Förderanlagen!$R$145+Förderanlagen!$R$148,0)</f>
        <v>0</v>
      </c>
      <c r="L142" s="698">
        <f>IF($B142=Förderanlagen!$U$150,Förderanlagen!$J$150*Förderanlagen!$F$23+Förderanlagen!$J$150+Förderanlagen!$R$150,0)</f>
        <v>0</v>
      </c>
      <c r="M142" s="698">
        <f>IF($B142=Förderanlagen!$U$154,Förderanlagen!$J$154*Förderanlagen!$F$23+Förderanlagen!$J$154+Förderanlagen!$L$177,0)</f>
        <v>0</v>
      </c>
      <c r="N142" s="698">
        <f>IF($B142=Förderanlagen!$U$178,Förderanlagen!$J$178*Förderanlagen!$F$23+Förderanlagen!$J$178+Förderanlagen!$L$192,0)</f>
        <v>0</v>
      </c>
      <c r="O142" s="698">
        <f>IF($B142=Förderanlagen!$U$193,Förderanlagen!$J$193*Förderanlagen!$F$23+Förderanlagen!$J$193+Förderanlagen!$L$234,0)</f>
        <v>0</v>
      </c>
      <c r="P142" s="698">
        <f>IF($B142=Förderanlagen!$U$235,Förderanlagen!$J$235*Förderanlagen!$F$23+Förderanlagen!$J$235+Förderanlagen!$L$244,0)</f>
        <v>0</v>
      </c>
      <c r="Q142" s="699">
        <f t="shared" si="6"/>
        <v>0</v>
      </c>
    </row>
    <row r="143" spans="2:17" ht="15.2" thickBot="1" x14ac:dyDescent="0.35">
      <c r="B143" s="771" t="str">
        <f>IF(Überblick!$H$53&gt;=9,9,"")</f>
        <v/>
      </c>
      <c r="C143" s="702">
        <f>IF($B143=Förderanlagen!$U$39,Förderanlagen!$J$39*Förderanlagen!$F$23+Förderanlagen!$J$39+Förderanlagen!$L$54,0)</f>
        <v>0</v>
      </c>
      <c r="D143" s="702">
        <f>IF($B143=Förderanlagen!$U$55,Förderanlagen!$J$55*Förderanlagen!$F$23+Förderanlagen!$J$55+Förderanlagen!$L$78,0)</f>
        <v>0</v>
      </c>
      <c r="E143" s="702">
        <f>IF($B143=Förderanlagen!$U$82,Förderanlagen!$J$82*Förderanlagen!$F$23+Förderanlagen!$J$82+Förderanlagen!$L$115,0)</f>
        <v>0</v>
      </c>
      <c r="F143" s="702">
        <f>IF($B143=Förderanlagen!$U$119,Förderanlagen!$J$119*Förderanlagen!$F$23+Förderanlagen!$J$119+Förderanlagen!$L$127,0)</f>
        <v>0</v>
      </c>
      <c r="G143" s="702">
        <f>IF($B143=Förderanlagen!$U$128,Förderanlagen!$J$128*Förderanlagen!$F$23+Förderanlagen!$J$128+Förderanlagen!$R$128+Förderanlagen!$R$131,0)</f>
        <v>0</v>
      </c>
      <c r="H143" s="702">
        <f>IF($B143=Förderanlagen!$U$133,Förderanlagen!$J$133*Förderanlagen!$F$23+Förderanlagen!$J$133+Förderanlagen!$R$133+Förderanlagen!$R$136+Förderanlagen!$R$139+Förderanlagen!$R$142,0)</f>
        <v>0</v>
      </c>
      <c r="I143" s="702">
        <f>IF($B143=Förderanlagen!$U$143,Förderanlagen!$J$143*Förderanlagen!$F$23+Förderanlagen!$J$143+Förderanlagen!$R$143,0)</f>
        <v>0</v>
      </c>
      <c r="J143" s="702">
        <f>IF($B143=Förderanlagen!$U$144,Förderanlagen!$J$144*Förderanlagen!$F$23+Förderanlagen!$J$144+Förderanlagen!$R$144,0)</f>
        <v>0</v>
      </c>
      <c r="K143" s="702">
        <f>IF($B143=Förderanlagen!$U$145,Förderanlagen!$J$145*Förderanlagen!$F$23+Förderanlagen!$J$145+Förderanlagen!$R$145+Förderanlagen!$R$148,0)</f>
        <v>0</v>
      </c>
      <c r="L143" s="702">
        <f>IF($B143=Förderanlagen!$U$150,Förderanlagen!$J$150*Förderanlagen!$F$23+Förderanlagen!$J$150+Förderanlagen!$R$150,0)</f>
        <v>0</v>
      </c>
      <c r="M143" s="702">
        <f>IF($B143=Förderanlagen!$U$154,Förderanlagen!$J$154*Förderanlagen!$F$23+Förderanlagen!$J$154+Förderanlagen!$L$177,0)</f>
        <v>0</v>
      </c>
      <c r="N143" s="702">
        <f>IF($B143=Förderanlagen!$U$178,Förderanlagen!$J$178*Förderanlagen!$F$23+Förderanlagen!$J$178+Förderanlagen!$L$192,0)</f>
        <v>0</v>
      </c>
      <c r="O143" s="702">
        <f>IF($B143=Förderanlagen!$U$193,Förderanlagen!$J$193*Förderanlagen!$F$23+Förderanlagen!$J$193+Förderanlagen!$L$234,0)</f>
        <v>0</v>
      </c>
      <c r="P143" s="702">
        <f>IF($B143=Förderanlagen!$U$235,Förderanlagen!$J$235*Förderanlagen!$F$23+Förderanlagen!$J$235+Förderanlagen!$L$244,0)</f>
        <v>0</v>
      </c>
      <c r="Q143" s="703">
        <f t="shared" ref="Q143" si="7">SUM(C143:P143)</f>
        <v>0</v>
      </c>
    </row>
    <row r="144" spans="2:17" x14ac:dyDescent="0.3">
      <c r="Q144" s="704">
        <f>SUM(Q135:Q143)</f>
        <v>0</v>
      </c>
    </row>
    <row r="156" spans="2:4" x14ac:dyDescent="0.3">
      <c r="B156" s="705"/>
      <c r="C156" s="706"/>
      <c r="D156" s="707"/>
    </row>
  </sheetData>
  <mergeCells count="84">
    <mergeCell ref="B26:B44"/>
    <mergeCell ref="E26:E44"/>
    <mergeCell ref="H26:H44"/>
    <mergeCell ref="A2:A5"/>
    <mergeCell ref="C2:D2"/>
    <mergeCell ref="F2:G2"/>
    <mergeCell ref="I2:J2"/>
    <mergeCell ref="C3:D3"/>
    <mergeCell ref="F3:G3"/>
    <mergeCell ref="I3:J3"/>
    <mergeCell ref="C5:D5"/>
    <mergeCell ref="F5:G5"/>
    <mergeCell ref="I5:J5"/>
    <mergeCell ref="G50:H50"/>
    <mergeCell ref="J50:K50"/>
    <mergeCell ref="G52:G54"/>
    <mergeCell ref="G56:G60"/>
    <mergeCell ref="B62:E62"/>
    <mergeCell ref="G62:H62"/>
    <mergeCell ref="I62:J62"/>
    <mergeCell ref="K62:L62"/>
    <mergeCell ref="E76:E77"/>
    <mergeCell ref="B64:E64"/>
    <mergeCell ref="G64:H64"/>
    <mergeCell ref="J64:K64"/>
    <mergeCell ref="B65:E65"/>
    <mergeCell ref="G65:H65"/>
    <mergeCell ref="J65:K65"/>
    <mergeCell ref="G69:H69"/>
    <mergeCell ref="I69:J69"/>
    <mergeCell ref="K69:L69"/>
    <mergeCell ref="E70:E71"/>
    <mergeCell ref="D76:D80"/>
    <mergeCell ref="D70:D74"/>
    <mergeCell ref="I104:J104"/>
    <mergeCell ref="K104:L104"/>
    <mergeCell ref="B105:E105"/>
    <mergeCell ref="B85:E85"/>
    <mergeCell ref="B86:E86"/>
    <mergeCell ref="B87:E87"/>
    <mergeCell ref="B88:E88"/>
    <mergeCell ref="B93:E93"/>
    <mergeCell ref="B94:E94"/>
    <mergeCell ref="C110:D110"/>
    <mergeCell ref="E110:F110"/>
    <mergeCell ref="B95:E95"/>
    <mergeCell ref="B96:E96"/>
    <mergeCell ref="G104:H104"/>
    <mergeCell ref="C107:F107"/>
    <mergeCell ref="C108:D108"/>
    <mergeCell ref="E108:F108"/>
    <mergeCell ref="C109:D109"/>
    <mergeCell ref="E109:F109"/>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E132:F132"/>
    <mergeCell ref="C123:D123"/>
    <mergeCell ref="E123:F123"/>
    <mergeCell ref="C125:D125"/>
    <mergeCell ref="E125:F125"/>
    <mergeCell ref="C130:D130"/>
    <mergeCell ref="E130:F130"/>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9C7E-9879-4B0A-B0E8-4DFAF4187819}">
  <sheetPr codeName="Tabelle3">
    <tabColor rgb="FFFFC000"/>
  </sheetPr>
  <dimension ref="A1:AK292"/>
  <sheetViews>
    <sheetView workbookViewId="0">
      <selection activeCell="U12" sqref="U12"/>
    </sheetView>
  </sheetViews>
  <sheetFormatPr baseColWidth="10" defaultColWidth="11.44140625" defaultRowHeight="13.9" x14ac:dyDescent="0.25"/>
  <cols>
    <col min="1" max="1" width="9.21875" style="41" customWidth="1"/>
    <col min="2" max="21" width="9.21875" style="39" customWidth="1"/>
    <col min="22" max="22" width="9.21875" style="72" customWidth="1"/>
    <col min="23" max="28" width="11.44140625" style="72"/>
    <col min="29" max="34" width="11.44140625" style="68"/>
    <col min="35" max="16384" width="11.44140625" style="39"/>
  </cols>
  <sheetData>
    <row r="1" spans="1:24" x14ac:dyDescent="0.25">
      <c r="A1" s="493" t="str">
        <f>Überblick!X107</f>
        <v>C.</v>
      </c>
      <c r="B1" s="188" t="str">
        <f>IF(Überblick!B2=Überblick!L4,'Nutzerspezifische Anlagen'!Q1,'Nutzerspezifische Anlagen'!Q2)</f>
        <v>Honorarangebot - nutzungsspezifische Anlagen und verfahrenstechnische Anlagen</v>
      </c>
      <c r="Q1" s="185" t="s">
        <v>494</v>
      </c>
      <c r="T1" s="963" t="str">
        <f>'Hochbauplanung '!T1</f>
        <v>Version: 27.06.2023</v>
      </c>
      <c r="U1" s="963"/>
    </row>
    <row r="2" spans="1:24" x14ac:dyDescent="0.25">
      <c r="A2" s="491"/>
      <c r="Q2" s="185" t="s">
        <v>495</v>
      </c>
      <c r="R2" s="535" t="s">
        <v>110</v>
      </c>
      <c r="S2" s="1389" t="str">
        <f>IF(Überblick!Q2=0,"",Überblick!Q2)</f>
        <v/>
      </c>
      <c r="T2" s="1389"/>
      <c r="U2" s="1389"/>
    </row>
    <row r="3" spans="1:24" x14ac:dyDescent="0.25">
      <c r="A3" s="491" t="s">
        <v>112</v>
      </c>
      <c r="B3" s="40" t="s">
        <v>365</v>
      </c>
      <c r="F3" s="883" t="s">
        <v>998</v>
      </c>
      <c r="G3" s="878"/>
      <c r="H3" s="878"/>
      <c r="I3" s="878"/>
      <c r="J3" s="878"/>
      <c r="K3" s="878"/>
      <c r="R3" s="535" t="s">
        <v>24</v>
      </c>
      <c r="S3" s="1389" t="str">
        <f>IF(Überblick!G29=0,"",Überblick!G29)</f>
        <v>Breite Strasse, 10178 Berlin-Mitte, zw. Neumannsgasse und Scharrenstrasse</v>
      </c>
      <c r="T3" s="1389"/>
      <c r="U3" s="1389"/>
    </row>
    <row r="4" spans="1:24" ht="14.55" thickBot="1" x14ac:dyDescent="0.3">
      <c r="A4" s="491"/>
      <c r="R4" s="535" t="s">
        <v>17</v>
      </c>
      <c r="S4" s="1389" t="str">
        <f>IF(Überblick!D19=0,"",Überblick!D19)</f>
        <v/>
      </c>
      <c r="T4" s="1389"/>
      <c r="U4" s="1389"/>
    </row>
    <row r="5" spans="1:2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24"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2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24" ht="14.55" thickBot="1" x14ac:dyDescent="0.3">
      <c r="A8" s="491"/>
      <c r="B8" s="1229" t="s">
        <v>366</v>
      </c>
      <c r="C8" s="1230"/>
      <c r="D8" s="1230"/>
      <c r="E8" s="1231"/>
      <c r="F8" s="1205">
        <f>H8*1.19</f>
        <v>198280.18</v>
      </c>
      <c r="G8" s="1237"/>
      <c r="H8" s="1719">
        <v>166622</v>
      </c>
      <c r="I8" s="1720"/>
      <c r="J8" s="1205">
        <f>L8*1.19</f>
        <v>0</v>
      </c>
      <c r="K8" s="1206"/>
      <c r="L8" s="1207"/>
      <c r="M8" s="1208"/>
      <c r="N8" s="1205">
        <f>P8*1.19</f>
        <v>0</v>
      </c>
      <c r="O8" s="1206"/>
      <c r="P8" s="1207"/>
      <c r="Q8" s="1208"/>
      <c r="R8" s="96">
        <f>+H8+L8+P8</f>
        <v>166622</v>
      </c>
      <c r="S8" s="96">
        <f>IF((R8+AB245)&gt;0,1,0)</f>
        <v>1</v>
      </c>
      <c r="T8" s="96"/>
      <c r="U8" s="96"/>
      <c r="V8" s="96"/>
      <c r="W8" s="96"/>
      <c r="X8" s="96"/>
    </row>
    <row r="9" spans="1:24" x14ac:dyDescent="0.25">
      <c r="A9" s="491"/>
      <c r="B9" s="49"/>
      <c r="C9" s="49"/>
      <c r="D9" s="49"/>
      <c r="E9" s="49"/>
      <c r="F9" s="1138" t="str">
        <f>IF(H8&gt;'Berechnung - Nutzeranlagen'!$A$25,$R$9,"")</f>
        <v/>
      </c>
      <c r="G9" s="1138"/>
      <c r="H9" s="1138"/>
      <c r="I9" s="1138"/>
      <c r="J9" s="1138" t="str">
        <f>IF(L8&gt;'Berechnung - Nutzeranlagen'!$A$25,$R$9,"")</f>
        <v/>
      </c>
      <c r="K9" s="1138"/>
      <c r="L9" s="1138"/>
      <c r="M9" s="1138"/>
      <c r="N9" s="1138" t="str">
        <f>IF(P8&gt;'Berechnung - Nutzeranlagen'!$A$25,$R$9,"")</f>
        <v/>
      </c>
      <c r="O9" s="1138"/>
      <c r="P9" s="1138"/>
      <c r="Q9" s="1138"/>
      <c r="R9" s="96" t="s">
        <v>124</v>
      </c>
      <c r="S9" s="96"/>
      <c r="T9" s="96"/>
      <c r="U9" s="96"/>
      <c r="V9" s="96"/>
      <c r="W9" s="96"/>
      <c r="X9" s="96"/>
    </row>
    <row r="10" spans="1:2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row>
    <row r="11" spans="1:2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row>
    <row r="12" spans="1:24" x14ac:dyDescent="0.25">
      <c r="A12" s="491"/>
      <c r="B12" s="39" t="s">
        <v>130</v>
      </c>
      <c r="R12" s="72"/>
      <c r="S12" s="72"/>
      <c r="T12" s="72"/>
      <c r="U12" s="72"/>
    </row>
    <row r="13" spans="1:24" x14ac:dyDescent="0.25">
      <c r="A13" s="491"/>
      <c r="B13" s="39" t="s">
        <v>131</v>
      </c>
      <c r="R13" s="72"/>
      <c r="S13" s="72"/>
      <c r="T13" s="72"/>
      <c r="U13" s="72"/>
    </row>
    <row r="14" spans="1:24" ht="14.55" thickBot="1" x14ac:dyDescent="0.3">
      <c r="A14" s="491"/>
      <c r="B14" s="40"/>
      <c r="G14" s="54"/>
      <c r="H14" s="41"/>
      <c r="I14" s="57"/>
      <c r="J14" s="54"/>
      <c r="K14" s="54"/>
      <c r="L14" s="57"/>
      <c r="M14" s="58"/>
      <c r="N14" s="58"/>
      <c r="O14" s="59"/>
      <c r="R14" s="72"/>
      <c r="S14" s="351"/>
      <c r="T14" s="96"/>
      <c r="U14" s="72"/>
    </row>
    <row r="15" spans="1:2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2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ht="15" customHeight="1" x14ac:dyDescent="0.25">
      <c r="A17" s="491"/>
      <c r="B17" s="60"/>
      <c r="C17" s="60"/>
      <c r="D17" s="60"/>
      <c r="E17" s="60"/>
      <c r="F17" s="1241" t="s">
        <v>136</v>
      </c>
      <c r="G17" s="1241"/>
      <c r="H17" s="1241"/>
      <c r="I17" s="1241"/>
      <c r="J17" s="1241" t="s">
        <v>137</v>
      </c>
      <c r="K17" s="1241"/>
      <c r="L17" s="1241"/>
      <c r="M17" s="1241"/>
      <c r="N17" s="1713" t="s">
        <v>367</v>
      </c>
      <c r="O17" s="1714"/>
      <c r="P17" s="1714"/>
      <c r="Q17" s="1715"/>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716"/>
      <c r="O18" s="1717"/>
      <c r="P18" s="1717"/>
      <c r="Q18" s="1718"/>
      <c r="R18" s="72"/>
      <c r="S18" s="351"/>
      <c r="T18" s="96"/>
      <c r="U18" s="72"/>
    </row>
    <row r="19" spans="1:24" ht="14.55" thickBot="1" x14ac:dyDescent="0.3">
      <c r="A19" s="491"/>
      <c r="B19" s="40"/>
      <c r="C19" s="40"/>
      <c r="D19" s="40"/>
      <c r="E19" s="69"/>
      <c r="F19" s="1721">
        <f>'Berechnung - Nutzeranlagen'!H105</f>
        <v>33789.782639999998</v>
      </c>
      <c r="G19" s="1722"/>
      <c r="H19" s="1722"/>
      <c r="I19" s="1723"/>
      <c r="J19" s="1721" t="str">
        <f>IF('Berechnung - Nutzeranlagen'!J105=0,"Kostenschätzung liegt noch nicht vor",'Berechnung - Nutzeranlagen'!J105)</f>
        <v>Kostenschätzung liegt noch nicht vor</v>
      </c>
      <c r="K19" s="1722"/>
      <c r="L19" s="1722"/>
      <c r="M19" s="1723"/>
      <c r="N19" s="1721" t="str">
        <f>IF('Berechnung - Nutzeranlagen'!L105=0,"Kostenberechnung liegt noch nicht vor",'Berechnung - Nutzeranlagen'!L105)</f>
        <v>Kostenberechnung liegt noch nicht vor</v>
      </c>
      <c r="O19" s="1722"/>
      <c r="P19" s="1722"/>
      <c r="Q19" s="1723"/>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1</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496</v>
      </c>
      <c r="B32" s="1707" t="s">
        <v>150</v>
      </c>
      <c r="C32" s="1708"/>
      <c r="D32" s="1708"/>
      <c r="E32" s="1708"/>
      <c r="F32" s="1708"/>
      <c r="G32" s="1708"/>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709"/>
      <c r="C33" s="1710"/>
      <c r="D33" s="1710"/>
      <c r="E33" s="1710"/>
      <c r="F33" s="1710"/>
      <c r="G33" s="1710"/>
      <c r="H33" s="1132"/>
      <c r="I33" s="1135"/>
      <c r="J33" s="1519"/>
      <c r="K33" s="1520"/>
      <c r="L33" s="175"/>
      <c r="M33" s="114"/>
      <c r="N33" s="114"/>
      <c r="O33" s="114"/>
      <c r="P33" s="70"/>
      <c r="Q33" s="70"/>
      <c r="R33" s="339"/>
      <c r="S33" s="73"/>
      <c r="T33" s="73" t="s">
        <v>100</v>
      </c>
      <c r="U33" s="81" t="s">
        <v>372</v>
      </c>
      <c r="V33" s="81"/>
      <c r="W33" s="81"/>
    </row>
    <row r="34" spans="1:37" ht="14.55" thickBot="1" x14ac:dyDescent="0.3">
      <c r="A34" s="1516"/>
      <c r="B34" s="1711"/>
      <c r="C34" s="1712"/>
      <c r="D34" s="1712"/>
      <c r="E34" s="1712"/>
      <c r="F34" s="1712"/>
      <c r="G34" s="1712"/>
      <c r="H34" s="1133"/>
      <c r="I34" s="1136"/>
      <c r="J34" s="1521"/>
      <c r="K34" s="1522"/>
      <c r="L34" s="176"/>
      <c r="M34" s="115"/>
      <c r="N34" s="115"/>
      <c r="O34" s="115"/>
      <c r="P34" s="116"/>
      <c r="Q34" s="116"/>
      <c r="R34" s="341"/>
      <c r="S34" s="117"/>
      <c r="T34" s="117"/>
      <c r="U34" s="118"/>
      <c r="V34" s="81"/>
      <c r="W34" s="81"/>
    </row>
    <row r="35" spans="1:37" ht="15" customHeight="1" x14ac:dyDescent="0.25">
      <c r="A35" s="1516"/>
      <c r="B35" s="1035" t="s">
        <v>154</v>
      </c>
      <c r="C35" s="1036"/>
      <c r="D35" s="1036"/>
      <c r="E35" s="1036"/>
      <c r="F35" s="1036"/>
      <c r="G35" s="1036"/>
      <c r="H35" s="1161"/>
      <c r="I35" s="1344">
        <f>F19</f>
        <v>33789.782639999998</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264"/>
      <c r="T35" s="1254" t="s">
        <v>156</v>
      </c>
      <c r="U35" s="1257" t="s">
        <v>157</v>
      </c>
      <c r="Y35" s="73" t="s">
        <v>5</v>
      </c>
      <c r="Z35" s="72" t="s">
        <v>374</v>
      </c>
      <c r="AA35" s="81"/>
      <c r="AB35" s="81"/>
      <c r="AI35" s="68"/>
      <c r="AJ35" s="68"/>
      <c r="AK35" s="68"/>
    </row>
    <row r="36" spans="1:37" ht="15" customHeight="1" x14ac:dyDescent="0.25">
      <c r="A36" s="1516"/>
      <c r="B36" s="1038"/>
      <c r="C36" s="1039"/>
      <c r="D36" s="1039"/>
      <c r="E36" s="1039"/>
      <c r="F36" s="1039"/>
      <c r="G36" s="1039"/>
      <c r="H36" s="1162"/>
      <c r="I36" s="1347"/>
      <c r="J36" s="1348"/>
      <c r="K36" s="1349"/>
      <c r="L36" s="1022"/>
      <c r="M36" s="1022"/>
      <c r="N36" s="1022"/>
      <c r="O36" s="1022"/>
      <c r="P36" s="1630"/>
      <c r="Q36" s="1132"/>
      <c r="R36" s="1265"/>
      <c r="S36" s="1266"/>
      <c r="T36" s="1255"/>
      <c r="U36" s="1258"/>
      <c r="Y36" s="73"/>
      <c r="AI36" s="68"/>
      <c r="AJ36" s="68"/>
      <c r="AK36" s="68"/>
    </row>
    <row r="37" spans="1:37"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7"/>
      <c r="S37" s="1268"/>
      <c r="T37" s="1256"/>
      <c r="U37" s="1259"/>
      <c r="Y37" s="73"/>
      <c r="AI37" s="68"/>
      <c r="AJ37" s="68"/>
      <c r="AK37" s="68"/>
    </row>
    <row r="38" spans="1:37" ht="14.55" thickBot="1" x14ac:dyDescent="0.3">
      <c r="A38" s="1516"/>
      <c r="B38" s="1082" t="s">
        <v>159</v>
      </c>
      <c r="C38" s="1083"/>
      <c r="D38" s="1083"/>
      <c r="E38" s="1083"/>
      <c r="F38" s="1083"/>
      <c r="G38" s="1084"/>
      <c r="H38" s="190"/>
      <c r="I38" s="1378"/>
      <c r="J38" s="1379"/>
      <c r="K38" s="1632"/>
      <c r="L38" s="1378"/>
      <c r="M38" s="1379"/>
      <c r="N38" s="1379"/>
      <c r="O38" s="1379"/>
      <c r="P38" s="1380"/>
      <c r="Q38" s="208"/>
      <c r="R38" s="1381"/>
      <c r="S38" s="1382"/>
      <c r="T38" s="174"/>
      <c r="U38" s="334"/>
      <c r="Y38" s="73"/>
      <c r="AA38" s="149"/>
      <c r="AB38" s="149"/>
      <c r="AI38" s="68"/>
      <c r="AJ38" s="68"/>
      <c r="AK38" s="68"/>
    </row>
    <row r="39" spans="1:37" ht="15.95" customHeight="1" thickBot="1" x14ac:dyDescent="0.3">
      <c r="A39" s="1516"/>
      <c r="B39" s="1497" t="s">
        <v>375</v>
      </c>
      <c r="C39" s="1498"/>
      <c r="D39" s="1498"/>
      <c r="E39" s="1498"/>
      <c r="F39" s="1498"/>
      <c r="G39" s="1499"/>
      <c r="H39" s="1194" t="s">
        <v>100</v>
      </c>
      <c r="I39" s="1016">
        <f>Z54</f>
        <v>0</v>
      </c>
      <c r="J39" s="1027">
        <f>I35*I39</f>
        <v>0</v>
      </c>
      <c r="K39" s="1028"/>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78">
        <f>IF(Q39="ja",1,0)</f>
        <v>0</v>
      </c>
      <c r="AI39" s="68"/>
      <c r="AJ39" s="68"/>
      <c r="AK39" s="68"/>
    </row>
    <row r="40" spans="1:37" ht="15" customHeight="1"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78">
        <f t="shared" ref="AB40:AB103" si="0">IF(Q40="ja",1,0)</f>
        <v>0</v>
      </c>
      <c r="AI40" s="68"/>
      <c r="AJ40" s="68"/>
      <c r="AK40" s="68"/>
    </row>
    <row r="41" spans="1:37" ht="15" customHeight="1"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78">
        <f t="shared" si="0"/>
        <v>0</v>
      </c>
      <c r="AI41" s="68"/>
      <c r="AJ41" s="68"/>
      <c r="AK41" s="68"/>
    </row>
    <row r="42" spans="1:37" ht="15" customHeight="1" thickBot="1" x14ac:dyDescent="0.3">
      <c r="A42" s="1516"/>
      <c r="B42" s="1493" t="s">
        <v>377</v>
      </c>
      <c r="C42" s="1317"/>
      <c r="D42" s="1317"/>
      <c r="E42" s="1317"/>
      <c r="F42" s="1317"/>
      <c r="G42" s="1494"/>
      <c r="H42" s="982" t="s">
        <v>100</v>
      </c>
      <c r="I42" s="1017"/>
      <c r="J42" s="1029"/>
      <c r="K42" s="1030"/>
      <c r="L42" s="1544"/>
      <c r="M42" s="1545"/>
      <c r="N42" s="1545"/>
      <c r="O42" s="1545"/>
      <c r="P42" s="1545"/>
      <c r="Q42" s="978"/>
      <c r="R42" s="972"/>
      <c r="S42" s="973"/>
      <c r="T42" s="1543"/>
      <c r="U42" s="1337"/>
      <c r="Y42" s="74">
        <v>3.0000000000000001E-3</v>
      </c>
      <c r="Z42" s="77">
        <f>IF(H42="ja",Y42,0)</f>
        <v>0</v>
      </c>
      <c r="AA42" s="78"/>
      <c r="AB42" s="78">
        <f t="shared" si="0"/>
        <v>0</v>
      </c>
      <c r="AI42" s="68"/>
      <c r="AJ42" s="68"/>
      <c r="AK42" s="68"/>
    </row>
    <row r="43" spans="1:37" ht="15" customHeight="1"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78">
        <f t="shared" si="0"/>
        <v>0</v>
      </c>
      <c r="AI43" s="68"/>
      <c r="AJ43" s="68"/>
      <c r="AK43" s="68"/>
    </row>
    <row r="44" spans="1:37" ht="15.95" customHeight="1" thickBot="1" x14ac:dyDescent="0.3">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78">
        <f t="shared" si="0"/>
        <v>0</v>
      </c>
      <c r="AI44" s="68"/>
      <c r="AJ44" s="68"/>
      <c r="AK44" s="68"/>
    </row>
    <row r="45" spans="1:37" ht="15" customHeight="1" thickBot="1" x14ac:dyDescent="0.3">
      <c r="A45" s="1516"/>
      <c r="B45" s="1493" t="s">
        <v>171</v>
      </c>
      <c r="C45" s="1317"/>
      <c r="D45" s="1317"/>
      <c r="E45" s="1317"/>
      <c r="F45" s="1317"/>
      <c r="G45" s="1494"/>
      <c r="H45" s="1191" t="s">
        <v>100</v>
      </c>
      <c r="I45" s="1017"/>
      <c r="J45" s="1029"/>
      <c r="K45" s="1030"/>
      <c r="L45" s="1544"/>
      <c r="M45" s="1545"/>
      <c r="N45" s="1545"/>
      <c r="O45" s="1545"/>
      <c r="P45" s="1545"/>
      <c r="Q45" s="978"/>
      <c r="R45" s="972"/>
      <c r="S45" s="973"/>
      <c r="T45" s="1543"/>
      <c r="U45" s="1337"/>
      <c r="Y45" s="74">
        <v>2E-3</v>
      </c>
      <c r="Z45" s="77">
        <f>IF(H45="ja",Y45,0)</f>
        <v>0</v>
      </c>
      <c r="AA45" s="78"/>
      <c r="AB45" s="78">
        <f t="shared" si="0"/>
        <v>0</v>
      </c>
      <c r="AI45" s="68"/>
      <c r="AJ45" s="68"/>
      <c r="AK45" s="68"/>
    </row>
    <row r="46" spans="1:37" ht="15" customHeight="1"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78">
        <f t="shared" si="0"/>
        <v>0</v>
      </c>
      <c r="AI46" s="68"/>
      <c r="AJ46" s="68"/>
      <c r="AK46" s="68"/>
    </row>
    <row r="47" spans="1:37" ht="15" customHeight="1" thickBot="1" x14ac:dyDescent="0.3">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78">
        <f t="shared" si="0"/>
        <v>0</v>
      </c>
      <c r="AI47" s="68"/>
      <c r="AJ47" s="68"/>
      <c r="AK47" s="68"/>
    </row>
    <row r="48" spans="1:37" ht="15" customHeight="1"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78">
        <f t="shared" si="0"/>
        <v>0</v>
      </c>
      <c r="AI48" s="68"/>
      <c r="AJ48" s="68"/>
      <c r="AK48" s="68"/>
    </row>
    <row r="49" spans="1:37" ht="15" customHeight="1" thickBot="1" x14ac:dyDescent="0.3">
      <c r="A49" s="1516"/>
      <c r="B49" s="1493"/>
      <c r="C49" s="1317"/>
      <c r="D49" s="1317"/>
      <c r="E49" s="1317"/>
      <c r="F49" s="1317"/>
      <c r="G49" s="1494"/>
      <c r="H49" s="1191"/>
      <c r="I49" s="1017"/>
      <c r="J49" s="1029"/>
      <c r="K49" s="1030"/>
      <c r="L49" s="1532" t="s">
        <v>380</v>
      </c>
      <c r="M49" s="1533"/>
      <c r="N49" s="1533"/>
      <c r="O49" s="1533"/>
      <c r="P49" s="1533"/>
      <c r="Q49" s="329" t="s">
        <v>100</v>
      </c>
      <c r="R49" s="972"/>
      <c r="S49" s="973"/>
      <c r="T49" s="1543"/>
      <c r="U49" s="1337"/>
      <c r="V49" s="72">
        <f>IF(AND(Q49="ja",R49=""),1,0)</f>
        <v>0</v>
      </c>
      <c r="Y49" s="74"/>
      <c r="Z49" s="77"/>
      <c r="AA49" s="78"/>
      <c r="AB49" s="78">
        <f t="shared" si="0"/>
        <v>0</v>
      </c>
      <c r="AI49" s="68"/>
      <c r="AJ49" s="68"/>
      <c r="AK49" s="68"/>
    </row>
    <row r="50" spans="1:37" ht="15" customHeight="1" thickBot="1" x14ac:dyDescent="0.3">
      <c r="A50" s="1516"/>
      <c r="B50" s="1493"/>
      <c r="C50" s="1317"/>
      <c r="D50" s="1317"/>
      <c r="E50" s="1317"/>
      <c r="F50" s="1317"/>
      <c r="G50" s="1494"/>
      <c r="H50" s="1191"/>
      <c r="I50" s="1017"/>
      <c r="J50" s="1029"/>
      <c r="K50" s="1030"/>
      <c r="L50" s="1532" t="s">
        <v>381</v>
      </c>
      <c r="M50" s="1533"/>
      <c r="N50" s="1533"/>
      <c r="O50" s="1533"/>
      <c r="P50" s="1533"/>
      <c r="Q50" s="329" t="s">
        <v>100</v>
      </c>
      <c r="R50" s="972"/>
      <c r="S50" s="973"/>
      <c r="T50" s="1543"/>
      <c r="U50" s="1337"/>
      <c r="V50" s="72">
        <f>IF(AND(Q50="ja",R50=""),1,0)</f>
        <v>0</v>
      </c>
      <c r="Y50" s="74"/>
      <c r="Z50" s="77"/>
      <c r="AA50" s="78"/>
      <c r="AB50" s="78">
        <f t="shared" si="0"/>
        <v>0</v>
      </c>
      <c r="AI50" s="68"/>
      <c r="AJ50" s="68"/>
      <c r="AK50" s="68"/>
    </row>
    <row r="51" spans="1:37" ht="15.95" customHeight="1" thickBot="1" x14ac:dyDescent="0.3">
      <c r="A51" s="1516"/>
      <c r="B51" s="1493"/>
      <c r="C51" s="1317"/>
      <c r="D51" s="1317"/>
      <c r="E51" s="1317"/>
      <c r="F51" s="1317"/>
      <c r="G51" s="1494"/>
      <c r="H51" s="1191"/>
      <c r="I51" s="1017"/>
      <c r="J51" s="1029"/>
      <c r="K51" s="1030"/>
      <c r="L51" s="1544" t="s">
        <v>382</v>
      </c>
      <c r="M51" s="1545"/>
      <c r="N51" s="1545"/>
      <c r="O51" s="1545"/>
      <c r="P51" s="1545"/>
      <c r="Q51" s="978" t="s">
        <v>100</v>
      </c>
      <c r="R51" s="972"/>
      <c r="S51" s="973"/>
      <c r="T51" s="1543"/>
      <c r="U51" s="1337"/>
      <c r="V51" s="72">
        <f>IF(AND(Q51="ja",R51=""),1,0)</f>
        <v>0</v>
      </c>
      <c r="Y51" s="74"/>
      <c r="Z51" s="77"/>
      <c r="AA51" s="78"/>
      <c r="AB51" s="78">
        <f t="shared" si="0"/>
        <v>0</v>
      </c>
      <c r="AI51" s="68"/>
      <c r="AJ51" s="68"/>
      <c r="AK51" s="68"/>
    </row>
    <row r="52" spans="1:37" ht="15" customHeight="1"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78">
        <f t="shared" si="0"/>
        <v>0</v>
      </c>
      <c r="AI52" s="68"/>
      <c r="AJ52" s="68"/>
      <c r="AK52" s="68"/>
    </row>
    <row r="53" spans="1:37" ht="15" customHeight="1" thickBot="1" x14ac:dyDescent="0.3">
      <c r="A53" s="1516"/>
      <c r="B53" s="1592"/>
      <c r="C53" s="1593"/>
      <c r="D53" s="1593"/>
      <c r="E53" s="1593"/>
      <c r="F53" s="1593"/>
      <c r="G53" s="1594"/>
      <c r="H53" s="1192"/>
      <c r="I53" s="1018"/>
      <c r="J53" s="1031"/>
      <c r="K53" s="1032"/>
      <c r="L53" s="1546" t="s">
        <v>383</v>
      </c>
      <c r="M53" s="1547"/>
      <c r="N53" s="1547"/>
      <c r="O53" s="1547"/>
      <c r="P53" s="1547"/>
      <c r="Q53" s="330" t="s">
        <v>100</v>
      </c>
      <c r="R53" s="976"/>
      <c r="S53" s="977"/>
      <c r="T53" s="1543"/>
      <c r="U53" s="1337"/>
      <c r="V53" s="72">
        <f>IF(AND(Q53="ja",R53=""),1,0)</f>
        <v>0</v>
      </c>
      <c r="Y53" s="74"/>
      <c r="Z53" s="77"/>
      <c r="AA53" s="78"/>
      <c r="AB53" s="78">
        <f t="shared" si="0"/>
        <v>0</v>
      </c>
      <c r="AI53" s="68"/>
      <c r="AJ53" s="68"/>
      <c r="AK53" s="68"/>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46"/>
      <c r="R54" s="1694"/>
      <c r="S54" s="1695"/>
      <c r="T54" s="526"/>
      <c r="U54" s="334"/>
      <c r="Y54" s="74"/>
      <c r="Z54" s="152">
        <f>SUM(Z39:Z45)</f>
        <v>0</v>
      </c>
      <c r="AA54" s="77"/>
      <c r="AB54" s="78">
        <f t="shared" si="0"/>
        <v>0</v>
      </c>
      <c r="AI54" s="68"/>
      <c r="AJ54" s="68"/>
      <c r="AK54" s="68"/>
    </row>
    <row r="55" spans="1:37" ht="15.95" customHeight="1" thickBot="1" x14ac:dyDescent="0.3">
      <c r="A55" s="1516"/>
      <c r="B55" s="1497" t="s">
        <v>384</v>
      </c>
      <c r="C55" s="1498"/>
      <c r="D55" s="1498"/>
      <c r="E55" s="1498"/>
      <c r="F55" s="1498"/>
      <c r="G55" s="1498"/>
      <c r="H55" s="1194" t="s">
        <v>100</v>
      </c>
      <c r="I55" s="1016">
        <f>Z78</f>
        <v>0</v>
      </c>
      <c r="J55" s="1027">
        <f>I35*I55</f>
        <v>0</v>
      </c>
      <c r="K55" s="1028"/>
      <c r="L55" s="987"/>
      <c r="M55" s="988"/>
      <c r="N55" s="988"/>
      <c r="O55" s="988"/>
      <c r="P55" s="988"/>
      <c r="Q55" s="1366" t="s">
        <v>100</v>
      </c>
      <c r="R55" s="972"/>
      <c r="S55" s="973"/>
      <c r="T55" s="1543" t="str">
        <f>IFERROR(IF((VLOOKUP(U55,Überblick!$M$125:$N$133,2))="ja","ja","nein"),"")</f>
        <v/>
      </c>
      <c r="U55" s="1337"/>
      <c r="V55" s="72">
        <f>IF(AND(Q55="ja",R55=""),1,0)</f>
        <v>0</v>
      </c>
      <c r="Y55" s="74">
        <v>8.0000000000000002E-3</v>
      </c>
      <c r="Z55" s="77">
        <f>IF(H55="ja",Y55,0)</f>
        <v>0</v>
      </c>
      <c r="AA55" s="78"/>
      <c r="AB55" s="78">
        <f t="shared" si="0"/>
        <v>0</v>
      </c>
      <c r="AI55" s="68"/>
      <c r="AJ55" s="68"/>
      <c r="AK55" s="68"/>
    </row>
    <row r="56" spans="1:37" ht="15" customHeight="1" thickBot="1" x14ac:dyDescent="0.3">
      <c r="A56" s="1516"/>
      <c r="B56" s="1490"/>
      <c r="C56" s="1491"/>
      <c r="D56" s="1491"/>
      <c r="E56" s="1491"/>
      <c r="F56" s="1491"/>
      <c r="G56" s="1491"/>
      <c r="H56" s="983"/>
      <c r="I56" s="1017"/>
      <c r="J56" s="1029"/>
      <c r="K56" s="1030"/>
      <c r="L56" s="984"/>
      <c r="M56" s="985"/>
      <c r="N56" s="985"/>
      <c r="O56" s="985"/>
      <c r="P56" s="985"/>
      <c r="Q56" s="978"/>
      <c r="R56" s="972"/>
      <c r="S56" s="973"/>
      <c r="T56" s="1543"/>
      <c r="U56" s="1337"/>
      <c r="Y56" s="74"/>
      <c r="Z56" s="77"/>
      <c r="AA56" s="78"/>
      <c r="AB56" s="78">
        <f t="shared" si="0"/>
        <v>0</v>
      </c>
      <c r="AI56" s="68"/>
      <c r="AJ56" s="68"/>
      <c r="AK56" s="68"/>
    </row>
    <row r="57" spans="1:37" s="70" customFormat="1" ht="15" customHeight="1" thickBot="1" x14ac:dyDescent="0.3">
      <c r="A57" s="1516"/>
      <c r="B57" s="1487" t="s">
        <v>385</v>
      </c>
      <c r="C57" s="1488"/>
      <c r="D57" s="1488"/>
      <c r="E57" s="1488"/>
      <c r="F57" s="1488"/>
      <c r="G57" s="1489"/>
      <c r="H57" s="1583" t="s">
        <v>100</v>
      </c>
      <c r="I57" s="1017"/>
      <c r="J57" s="1029"/>
      <c r="K57" s="1030"/>
      <c r="L57" s="984"/>
      <c r="M57" s="985"/>
      <c r="N57" s="985"/>
      <c r="O57" s="985"/>
      <c r="P57" s="985"/>
      <c r="Q57" s="978"/>
      <c r="R57" s="972"/>
      <c r="S57" s="973"/>
      <c r="T57" s="1543"/>
      <c r="U57" s="1337"/>
      <c r="V57" s="339"/>
      <c r="W57" s="339"/>
      <c r="X57" s="339"/>
      <c r="Y57" s="340">
        <v>5.2499999999999998E-2</v>
      </c>
      <c r="Z57" s="77">
        <f>IF(H57="ja",Y57,0)</f>
        <v>0</v>
      </c>
      <c r="AA57" s="78"/>
      <c r="AB57" s="78">
        <f t="shared" si="0"/>
        <v>0</v>
      </c>
      <c r="AC57" s="341"/>
      <c r="AD57" s="341"/>
      <c r="AE57" s="341"/>
      <c r="AF57" s="341"/>
      <c r="AG57" s="341"/>
      <c r="AH57" s="341"/>
      <c r="AI57" s="341"/>
      <c r="AJ57" s="341"/>
      <c r="AK57" s="341"/>
    </row>
    <row r="58" spans="1:37" s="70" customFormat="1" ht="15" customHeight="1" thickBot="1" x14ac:dyDescent="0.3">
      <c r="A58" s="1516"/>
      <c r="B58" s="1493"/>
      <c r="C58" s="1317"/>
      <c r="D58" s="1317"/>
      <c r="E58" s="1317"/>
      <c r="F58" s="1317"/>
      <c r="G58" s="1494"/>
      <c r="H58" s="1584"/>
      <c r="I58" s="1017"/>
      <c r="J58" s="1029"/>
      <c r="K58" s="1030"/>
      <c r="L58" s="984"/>
      <c r="M58" s="985"/>
      <c r="N58" s="985"/>
      <c r="O58" s="985"/>
      <c r="P58" s="985"/>
      <c r="Q58" s="978" t="s">
        <v>100</v>
      </c>
      <c r="R58" s="972"/>
      <c r="S58" s="973"/>
      <c r="T58" s="1543"/>
      <c r="U58" s="1337"/>
      <c r="V58" s="72">
        <f>IF(AND(Q58="ja",R58=""),1,0)</f>
        <v>0</v>
      </c>
      <c r="W58" s="339"/>
      <c r="X58" s="339"/>
      <c r="Y58" s="340"/>
      <c r="Z58" s="207"/>
      <c r="AA58" s="78"/>
      <c r="AB58" s="78">
        <f t="shared" si="0"/>
        <v>0</v>
      </c>
      <c r="AC58" s="341"/>
      <c r="AD58" s="341"/>
      <c r="AE58" s="341"/>
      <c r="AF58" s="341"/>
      <c r="AG58" s="341"/>
      <c r="AH58" s="341"/>
      <c r="AI58" s="341"/>
      <c r="AJ58" s="341"/>
      <c r="AK58" s="341"/>
    </row>
    <row r="59" spans="1:37" s="70" customFormat="1" ht="15" customHeight="1" thickBot="1" x14ac:dyDescent="0.3">
      <c r="A59" s="1516"/>
      <c r="B59" s="1493"/>
      <c r="C59" s="1317"/>
      <c r="D59" s="1317"/>
      <c r="E59" s="1317"/>
      <c r="F59" s="1317"/>
      <c r="G59" s="1494"/>
      <c r="H59" s="1584"/>
      <c r="I59" s="1017"/>
      <c r="J59" s="1029"/>
      <c r="K59" s="1030"/>
      <c r="L59" s="984"/>
      <c r="M59" s="985"/>
      <c r="N59" s="985"/>
      <c r="O59" s="985"/>
      <c r="P59" s="985"/>
      <c r="Q59" s="978"/>
      <c r="R59" s="972"/>
      <c r="S59" s="973"/>
      <c r="T59" s="1543"/>
      <c r="U59" s="1337"/>
      <c r="V59" s="339"/>
      <c r="W59" s="339"/>
      <c r="X59" s="339"/>
      <c r="Y59" s="340"/>
      <c r="Z59" s="207"/>
      <c r="AA59" s="78"/>
      <c r="AB59" s="78">
        <f t="shared" si="0"/>
        <v>0</v>
      </c>
      <c r="AC59" s="341"/>
      <c r="AD59" s="341"/>
      <c r="AE59" s="341"/>
      <c r="AF59" s="341"/>
      <c r="AG59" s="341"/>
      <c r="AH59" s="341"/>
      <c r="AI59" s="341"/>
      <c r="AJ59" s="341"/>
      <c r="AK59" s="341"/>
    </row>
    <row r="60" spans="1:37" s="70" customFormat="1" ht="15" customHeight="1" thickBot="1" x14ac:dyDescent="0.3">
      <c r="A60" s="1516"/>
      <c r="B60" s="1493"/>
      <c r="C60" s="1317"/>
      <c r="D60" s="1317"/>
      <c r="E60" s="1317"/>
      <c r="F60" s="1317"/>
      <c r="G60" s="1494"/>
      <c r="H60" s="1584"/>
      <c r="I60" s="1017"/>
      <c r="J60" s="1029"/>
      <c r="K60" s="1030"/>
      <c r="L60" s="984"/>
      <c r="M60" s="985"/>
      <c r="N60" s="985"/>
      <c r="O60" s="985"/>
      <c r="P60" s="985"/>
      <c r="Q60" s="978"/>
      <c r="R60" s="972"/>
      <c r="S60" s="973"/>
      <c r="T60" s="1543"/>
      <c r="U60" s="1337"/>
      <c r="V60" s="339"/>
      <c r="W60" s="339"/>
      <c r="X60" s="339"/>
      <c r="Y60" s="340"/>
      <c r="Z60" s="207"/>
      <c r="AA60" s="78"/>
      <c r="AB60" s="78">
        <f t="shared" si="0"/>
        <v>0</v>
      </c>
      <c r="AC60" s="341"/>
      <c r="AD60" s="341"/>
      <c r="AE60" s="341"/>
      <c r="AF60" s="341"/>
      <c r="AG60" s="341"/>
      <c r="AH60" s="341"/>
      <c r="AI60" s="341"/>
      <c r="AJ60" s="341"/>
      <c r="AK60" s="341"/>
    </row>
    <row r="61" spans="1:37" ht="15" customHeight="1" thickBot="1" x14ac:dyDescent="0.3">
      <c r="A61" s="1516"/>
      <c r="B61" s="1493"/>
      <c r="C61" s="1317"/>
      <c r="D61" s="1317"/>
      <c r="E61" s="1317"/>
      <c r="F61" s="1317"/>
      <c r="G61" s="1494"/>
      <c r="H61" s="1584"/>
      <c r="I61" s="1017"/>
      <c r="J61" s="1029"/>
      <c r="K61" s="1030"/>
      <c r="L61" s="984"/>
      <c r="M61" s="985"/>
      <c r="N61" s="985"/>
      <c r="O61" s="985"/>
      <c r="P61" s="985"/>
      <c r="Q61" s="978" t="s">
        <v>100</v>
      </c>
      <c r="R61" s="972"/>
      <c r="S61" s="973"/>
      <c r="T61" s="1543"/>
      <c r="U61" s="1337"/>
      <c r="V61" s="72">
        <f>IF(AND(Q61="ja",R61=""),1,0)</f>
        <v>0</v>
      </c>
      <c r="Y61" s="340"/>
      <c r="Z61" s="77"/>
      <c r="AA61" s="78"/>
      <c r="AB61" s="78">
        <f t="shared" si="0"/>
        <v>0</v>
      </c>
      <c r="AI61" s="68"/>
      <c r="AJ61" s="68"/>
      <c r="AK61" s="68"/>
    </row>
    <row r="62" spans="1:37" ht="15" customHeight="1" thickBot="1" x14ac:dyDescent="0.3">
      <c r="A62" s="1516"/>
      <c r="B62" s="1493"/>
      <c r="C62" s="1317"/>
      <c r="D62" s="1317"/>
      <c r="E62" s="1317"/>
      <c r="F62" s="1317"/>
      <c r="G62" s="1494"/>
      <c r="H62" s="1584"/>
      <c r="I62" s="1017"/>
      <c r="J62" s="1029"/>
      <c r="K62" s="1030"/>
      <c r="L62" s="984"/>
      <c r="M62" s="985"/>
      <c r="N62" s="985"/>
      <c r="O62" s="985"/>
      <c r="P62" s="985"/>
      <c r="Q62" s="978"/>
      <c r="R62" s="972"/>
      <c r="S62" s="973"/>
      <c r="T62" s="1543"/>
      <c r="U62" s="1337"/>
      <c r="Y62" s="340"/>
      <c r="Z62" s="77"/>
      <c r="AA62" s="78"/>
      <c r="AB62" s="78">
        <f t="shared" si="0"/>
        <v>0</v>
      </c>
      <c r="AI62" s="68"/>
      <c r="AJ62" s="68"/>
      <c r="AK62" s="68"/>
    </row>
    <row r="63" spans="1:37" ht="15" customHeight="1" thickBot="1" x14ac:dyDescent="0.3">
      <c r="A63" s="1516"/>
      <c r="B63" s="1493"/>
      <c r="C63" s="1317"/>
      <c r="D63" s="1317"/>
      <c r="E63" s="1317"/>
      <c r="F63" s="1317"/>
      <c r="G63" s="1494"/>
      <c r="H63" s="1584"/>
      <c r="I63" s="1017"/>
      <c r="J63" s="1029"/>
      <c r="K63" s="1030"/>
      <c r="L63" s="984"/>
      <c r="M63" s="985"/>
      <c r="N63" s="985"/>
      <c r="O63" s="985"/>
      <c r="P63" s="985"/>
      <c r="Q63" s="978"/>
      <c r="R63" s="972"/>
      <c r="S63" s="973"/>
      <c r="T63" s="1543"/>
      <c r="U63" s="1337"/>
      <c r="Y63" s="340"/>
      <c r="Z63" s="77"/>
      <c r="AA63" s="78"/>
      <c r="AB63" s="78">
        <f t="shared" si="0"/>
        <v>0</v>
      </c>
      <c r="AI63" s="68"/>
      <c r="AJ63" s="68"/>
      <c r="AK63" s="68"/>
    </row>
    <row r="64" spans="1:37" ht="15" customHeight="1" thickBot="1" x14ac:dyDescent="0.3">
      <c r="A64" s="1516"/>
      <c r="B64" s="1490"/>
      <c r="C64" s="1491"/>
      <c r="D64" s="1491"/>
      <c r="E64" s="1491"/>
      <c r="F64" s="1491"/>
      <c r="G64" s="1492"/>
      <c r="H64" s="1585"/>
      <c r="I64" s="1017"/>
      <c r="J64" s="1029"/>
      <c r="K64" s="1030"/>
      <c r="L64" s="984"/>
      <c r="M64" s="985"/>
      <c r="N64" s="985"/>
      <c r="O64" s="985"/>
      <c r="P64" s="985"/>
      <c r="Q64" s="978" t="s">
        <v>100</v>
      </c>
      <c r="R64" s="972"/>
      <c r="S64" s="973"/>
      <c r="T64" s="1543"/>
      <c r="U64" s="1337"/>
      <c r="V64" s="72">
        <f>IF(AND(Q64="ja",R64=""),1,0)</f>
        <v>0</v>
      </c>
      <c r="Y64" s="340"/>
      <c r="Z64" s="77"/>
      <c r="AA64" s="78"/>
      <c r="AB64" s="78">
        <f t="shared" si="0"/>
        <v>0</v>
      </c>
      <c r="AI64" s="68"/>
      <c r="AJ64" s="68"/>
      <c r="AK64" s="68"/>
    </row>
    <row r="65" spans="1:37" ht="15" customHeight="1" thickBot="1" x14ac:dyDescent="0.3">
      <c r="A65" s="1516"/>
      <c r="B65" s="1487" t="s">
        <v>386</v>
      </c>
      <c r="C65" s="1488"/>
      <c r="D65" s="1488"/>
      <c r="E65" s="1488"/>
      <c r="F65" s="1488"/>
      <c r="G65" s="1489"/>
      <c r="H65" s="981" t="s">
        <v>100</v>
      </c>
      <c r="I65" s="1017"/>
      <c r="J65" s="1029"/>
      <c r="K65" s="1030"/>
      <c r="L65" s="984"/>
      <c r="M65" s="985"/>
      <c r="N65" s="985"/>
      <c r="O65" s="985"/>
      <c r="P65" s="985"/>
      <c r="Q65" s="978"/>
      <c r="R65" s="972"/>
      <c r="S65" s="973"/>
      <c r="T65" s="1543"/>
      <c r="U65" s="1337"/>
      <c r="V65" s="339"/>
      <c r="Y65" s="74">
        <v>0.01</v>
      </c>
      <c r="Z65" s="77">
        <f>IF(H65="ja",Y65,0)</f>
        <v>0</v>
      </c>
      <c r="AA65" s="78"/>
      <c r="AB65" s="78">
        <f t="shared" si="0"/>
        <v>0</v>
      </c>
      <c r="AI65" s="68"/>
      <c r="AJ65" s="68"/>
      <c r="AK65" s="68"/>
    </row>
    <row r="66" spans="1:37" ht="15" customHeight="1" thickBot="1" x14ac:dyDescent="0.3">
      <c r="A66" s="1516"/>
      <c r="B66" s="1490"/>
      <c r="C66" s="1491"/>
      <c r="D66" s="1491"/>
      <c r="E66" s="1491"/>
      <c r="F66" s="1491"/>
      <c r="G66" s="1492"/>
      <c r="H66" s="983"/>
      <c r="I66" s="1017"/>
      <c r="J66" s="1029"/>
      <c r="K66" s="1030"/>
      <c r="L66" s="984"/>
      <c r="M66" s="985"/>
      <c r="N66" s="985"/>
      <c r="O66" s="985"/>
      <c r="P66" s="985"/>
      <c r="Q66" s="978"/>
      <c r="R66" s="972"/>
      <c r="S66" s="973"/>
      <c r="T66" s="1543"/>
      <c r="U66" s="1337"/>
      <c r="V66" s="339"/>
      <c r="Y66" s="74"/>
      <c r="Z66" s="77"/>
      <c r="AA66" s="78"/>
      <c r="AB66" s="78">
        <f t="shared" si="0"/>
        <v>0</v>
      </c>
      <c r="AI66" s="68"/>
      <c r="AJ66" s="68"/>
      <c r="AK66" s="68"/>
    </row>
    <row r="67" spans="1:37" ht="15" customHeight="1" thickBot="1" x14ac:dyDescent="0.3">
      <c r="A67" s="1516"/>
      <c r="B67" s="1487" t="s">
        <v>387</v>
      </c>
      <c r="C67" s="1488"/>
      <c r="D67" s="1488"/>
      <c r="E67" s="1488"/>
      <c r="F67" s="1488"/>
      <c r="G67" s="1489"/>
      <c r="H67" s="981" t="s">
        <v>100</v>
      </c>
      <c r="I67" s="1017"/>
      <c r="J67" s="1029"/>
      <c r="K67" s="1030"/>
      <c r="L67" s="984"/>
      <c r="M67" s="985"/>
      <c r="N67" s="985"/>
      <c r="O67" s="985"/>
      <c r="P67" s="985"/>
      <c r="Q67" s="978" t="s">
        <v>100</v>
      </c>
      <c r="R67" s="972"/>
      <c r="S67" s="973"/>
      <c r="T67" s="1543"/>
      <c r="U67" s="1337"/>
      <c r="V67" s="72">
        <f>IF(AND(Q67="ja",R67=""),1,0)</f>
        <v>0</v>
      </c>
      <c r="Y67" s="74">
        <v>8.0000000000000002E-3</v>
      </c>
      <c r="Z67" s="77">
        <f>IF(H67="ja",Y67,0)</f>
        <v>0</v>
      </c>
      <c r="AA67" s="78"/>
      <c r="AB67" s="78">
        <f t="shared" si="0"/>
        <v>0</v>
      </c>
      <c r="AI67" s="68"/>
      <c r="AJ67" s="68"/>
      <c r="AK67" s="68"/>
    </row>
    <row r="68" spans="1:37" ht="15" customHeight="1" thickBot="1" x14ac:dyDescent="0.3">
      <c r="A68" s="1516"/>
      <c r="B68" s="1493"/>
      <c r="C68" s="1317"/>
      <c r="D68" s="1317"/>
      <c r="E68" s="1317"/>
      <c r="F68" s="1317"/>
      <c r="G68" s="1494"/>
      <c r="H68" s="982"/>
      <c r="I68" s="1017"/>
      <c r="J68" s="1029"/>
      <c r="K68" s="1030"/>
      <c r="L68" s="984"/>
      <c r="M68" s="985"/>
      <c r="N68" s="985"/>
      <c r="O68" s="985"/>
      <c r="P68" s="985"/>
      <c r="Q68" s="978"/>
      <c r="R68" s="972"/>
      <c r="S68" s="973"/>
      <c r="T68" s="1543"/>
      <c r="U68" s="1337"/>
      <c r="Y68" s="74"/>
      <c r="Z68" s="77"/>
      <c r="AA68" s="78"/>
      <c r="AB68" s="78">
        <f t="shared" si="0"/>
        <v>0</v>
      </c>
      <c r="AI68" s="68"/>
      <c r="AJ68" s="68"/>
      <c r="AK68" s="68"/>
    </row>
    <row r="69" spans="1:37" ht="15" customHeight="1" thickBot="1" x14ac:dyDescent="0.3">
      <c r="A69" s="1516"/>
      <c r="B69" s="1493"/>
      <c r="C69" s="1317"/>
      <c r="D69" s="1317"/>
      <c r="E69" s="1317"/>
      <c r="F69" s="1317"/>
      <c r="G69" s="1494"/>
      <c r="H69" s="982"/>
      <c r="I69" s="1017"/>
      <c r="J69" s="1029"/>
      <c r="K69" s="1030"/>
      <c r="L69" s="984"/>
      <c r="M69" s="985"/>
      <c r="N69" s="985"/>
      <c r="O69" s="985"/>
      <c r="P69" s="985"/>
      <c r="Q69" s="978"/>
      <c r="R69" s="972"/>
      <c r="S69" s="973"/>
      <c r="T69" s="1543"/>
      <c r="U69" s="1337"/>
      <c r="Y69" s="74"/>
      <c r="Z69" s="77"/>
      <c r="AA69" s="78"/>
      <c r="AB69" s="78">
        <f t="shared" si="0"/>
        <v>0</v>
      </c>
      <c r="AI69" s="68"/>
      <c r="AJ69" s="68"/>
      <c r="AK69" s="68"/>
    </row>
    <row r="70" spans="1:37" ht="15" customHeight="1" thickBot="1" x14ac:dyDescent="0.3">
      <c r="A70" s="1516"/>
      <c r="B70" s="1490"/>
      <c r="C70" s="1491"/>
      <c r="D70" s="1491"/>
      <c r="E70" s="1491"/>
      <c r="F70" s="1491"/>
      <c r="G70" s="1492"/>
      <c r="H70" s="983"/>
      <c r="I70" s="1017"/>
      <c r="J70" s="1029"/>
      <c r="K70" s="1030"/>
      <c r="L70" s="984"/>
      <c r="M70" s="985"/>
      <c r="N70" s="985"/>
      <c r="O70" s="985"/>
      <c r="P70" s="985"/>
      <c r="Q70" s="978" t="s">
        <v>100</v>
      </c>
      <c r="R70" s="972"/>
      <c r="S70" s="973"/>
      <c r="T70" s="1543"/>
      <c r="U70" s="1337"/>
      <c r="V70" s="72">
        <f>IF(AND(Q70="ja",R70=""),1,0)</f>
        <v>0</v>
      </c>
      <c r="Y70" s="74"/>
      <c r="Z70" s="77"/>
      <c r="AA70" s="78"/>
      <c r="AB70" s="78">
        <f t="shared" si="0"/>
        <v>0</v>
      </c>
      <c r="AI70" s="68"/>
      <c r="AJ70" s="68"/>
      <c r="AK70" s="68"/>
    </row>
    <row r="71" spans="1:37" ht="15" customHeight="1" thickBot="1" x14ac:dyDescent="0.3">
      <c r="A71" s="1516"/>
      <c r="B71" s="1487" t="s">
        <v>388</v>
      </c>
      <c r="C71" s="1488"/>
      <c r="D71" s="1488"/>
      <c r="E71" s="1488"/>
      <c r="F71" s="1488"/>
      <c r="G71" s="1489"/>
      <c r="H71" s="981" t="s">
        <v>100</v>
      </c>
      <c r="I71" s="1017"/>
      <c r="J71" s="1029"/>
      <c r="K71" s="1030"/>
      <c r="L71" s="984"/>
      <c r="M71" s="985"/>
      <c r="N71" s="985"/>
      <c r="O71" s="985"/>
      <c r="P71" s="985"/>
      <c r="Q71" s="978"/>
      <c r="R71" s="972"/>
      <c r="S71" s="973"/>
      <c r="T71" s="1543"/>
      <c r="U71" s="1337"/>
      <c r="V71" s="339"/>
      <c r="Y71" s="74">
        <v>2E-3</v>
      </c>
      <c r="Z71" s="77">
        <f>IF(H71="ja",Y71,0)</f>
        <v>0</v>
      </c>
      <c r="AA71" s="78"/>
      <c r="AB71" s="78">
        <f t="shared" si="0"/>
        <v>0</v>
      </c>
      <c r="AI71" s="68"/>
      <c r="AJ71" s="68"/>
      <c r="AK71" s="68"/>
    </row>
    <row r="72" spans="1:37" ht="15" customHeight="1" thickBot="1" x14ac:dyDescent="0.3">
      <c r="A72" s="1516"/>
      <c r="B72" s="1493"/>
      <c r="C72" s="1317"/>
      <c r="D72" s="1317"/>
      <c r="E72" s="1317"/>
      <c r="F72" s="1317"/>
      <c r="G72" s="1494"/>
      <c r="H72" s="982"/>
      <c r="I72" s="1017"/>
      <c r="J72" s="1029"/>
      <c r="K72" s="1030"/>
      <c r="L72" s="984"/>
      <c r="M72" s="985"/>
      <c r="N72" s="985"/>
      <c r="O72" s="985"/>
      <c r="P72" s="985"/>
      <c r="Q72" s="978"/>
      <c r="R72" s="972"/>
      <c r="S72" s="973"/>
      <c r="T72" s="1543"/>
      <c r="U72" s="1337"/>
      <c r="V72" s="339"/>
      <c r="Y72" s="74"/>
      <c r="Z72" s="77"/>
      <c r="AA72" s="78"/>
      <c r="AB72" s="78">
        <f t="shared" si="0"/>
        <v>0</v>
      </c>
      <c r="AI72" s="68"/>
      <c r="AJ72" s="68"/>
      <c r="AK72" s="68"/>
    </row>
    <row r="73" spans="1:37" ht="15" customHeight="1" thickBot="1" x14ac:dyDescent="0.3">
      <c r="A73" s="1516"/>
      <c r="B73" s="1490"/>
      <c r="C73" s="1491"/>
      <c r="D73" s="1491"/>
      <c r="E73" s="1491"/>
      <c r="F73" s="1491"/>
      <c r="G73" s="1492"/>
      <c r="H73" s="983"/>
      <c r="I73" s="1017"/>
      <c r="J73" s="1029"/>
      <c r="K73" s="1030"/>
      <c r="L73" s="984"/>
      <c r="M73" s="985"/>
      <c r="N73" s="985"/>
      <c r="O73" s="985"/>
      <c r="P73" s="985"/>
      <c r="Q73" s="978" t="s">
        <v>100</v>
      </c>
      <c r="R73" s="972"/>
      <c r="S73" s="973"/>
      <c r="T73" s="1543"/>
      <c r="U73" s="1337"/>
      <c r="V73" s="72">
        <f>IF(AND(Q73="ja",R73=""),1,0)</f>
        <v>0</v>
      </c>
      <c r="Y73" s="74"/>
      <c r="Z73" s="77"/>
      <c r="AA73" s="78"/>
      <c r="AB73" s="78">
        <f t="shared" si="0"/>
        <v>0</v>
      </c>
      <c r="AI73" s="68"/>
      <c r="AJ73" s="68"/>
      <c r="AK73" s="68"/>
    </row>
    <row r="74" spans="1:37" ht="15" customHeight="1" thickBot="1" x14ac:dyDescent="0.3">
      <c r="A74" s="1516"/>
      <c r="B74" s="1487" t="s">
        <v>389</v>
      </c>
      <c r="C74" s="1488"/>
      <c r="D74" s="1488"/>
      <c r="E74" s="1488"/>
      <c r="F74" s="1488"/>
      <c r="G74" s="1489"/>
      <c r="H74" s="981" t="s">
        <v>100</v>
      </c>
      <c r="I74" s="1017"/>
      <c r="J74" s="1029"/>
      <c r="K74" s="1030"/>
      <c r="L74" s="984"/>
      <c r="M74" s="985"/>
      <c r="N74" s="985"/>
      <c r="O74" s="985"/>
      <c r="P74" s="985"/>
      <c r="Q74" s="978"/>
      <c r="R74" s="972"/>
      <c r="S74" s="973"/>
      <c r="T74" s="1543"/>
      <c r="U74" s="1337"/>
      <c r="Y74" s="74">
        <v>7.0000000000000001E-3</v>
      </c>
      <c r="Z74" s="77">
        <f>IF(H74="ja",Y74,0)</f>
        <v>0</v>
      </c>
      <c r="AA74" s="78"/>
      <c r="AB74" s="78">
        <f t="shared" si="0"/>
        <v>0</v>
      </c>
      <c r="AI74" s="68"/>
      <c r="AJ74" s="68"/>
      <c r="AK74" s="68"/>
    </row>
    <row r="75" spans="1:37" ht="15" customHeight="1" thickBot="1" x14ac:dyDescent="0.3">
      <c r="A75" s="1516"/>
      <c r="B75" s="1490"/>
      <c r="C75" s="1491"/>
      <c r="D75" s="1491"/>
      <c r="E75" s="1491"/>
      <c r="F75" s="1491"/>
      <c r="G75" s="1492"/>
      <c r="H75" s="983"/>
      <c r="I75" s="1017"/>
      <c r="J75" s="1029"/>
      <c r="K75" s="1030"/>
      <c r="L75" s="984"/>
      <c r="M75" s="985"/>
      <c r="N75" s="985"/>
      <c r="O75" s="985"/>
      <c r="P75" s="985"/>
      <c r="Q75" s="978"/>
      <c r="R75" s="972"/>
      <c r="S75" s="973"/>
      <c r="T75" s="1543"/>
      <c r="U75" s="1337"/>
      <c r="Y75" s="74"/>
      <c r="Z75" s="77"/>
      <c r="AA75" s="78"/>
      <c r="AB75" s="78">
        <f t="shared" si="0"/>
        <v>0</v>
      </c>
      <c r="AI75" s="68"/>
      <c r="AJ75" s="68"/>
      <c r="AK75" s="68"/>
    </row>
    <row r="76" spans="1:37" ht="15" customHeight="1" thickBot="1" x14ac:dyDescent="0.3">
      <c r="A76" s="1516"/>
      <c r="B76" s="1487" t="s">
        <v>171</v>
      </c>
      <c r="C76" s="1488"/>
      <c r="D76" s="1488"/>
      <c r="E76" s="1488"/>
      <c r="F76" s="1488"/>
      <c r="G76" s="1489"/>
      <c r="H76" s="981" t="s">
        <v>100</v>
      </c>
      <c r="I76" s="1017"/>
      <c r="J76" s="1029"/>
      <c r="K76" s="1030"/>
      <c r="L76" s="1539"/>
      <c r="M76" s="1540"/>
      <c r="N76" s="1540"/>
      <c r="O76" s="1540"/>
      <c r="P76" s="1540"/>
      <c r="Q76" s="978" t="s">
        <v>100</v>
      </c>
      <c r="R76" s="972"/>
      <c r="S76" s="973"/>
      <c r="T76" s="1543"/>
      <c r="U76" s="1337"/>
      <c r="V76" s="72">
        <f>IF(AND(Q76="ja",R76=""),1,0)</f>
        <v>0</v>
      </c>
      <c r="Y76" s="74">
        <v>2.5000000000000001E-3</v>
      </c>
      <c r="Z76" s="77">
        <f>IF(H76="ja",Y76,0)</f>
        <v>0</v>
      </c>
      <c r="AA76" s="78"/>
      <c r="AB76" s="78">
        <f t="shared" si="0"/>
        <v>0</v>
      </c>
      <c r="AI76" s="68"/>
      <c r="AJ76" s="68"/>
      <c r="AK76" s="68"/>
    </row>
    <row r="77" spans="1:37" ht="15" customHeight="1" thickBot="1" x14ac:dyDescent="0.3">
      <c r="A77" s="1516"/>
      <c r="B77" s="1490"/>
      <c r="C77" s="1491"/>
      <c r="D77" s="1491"/>
      <c r="E77" s="1491"/>
      <c r="F77" s="1491"/>
      <c r="G77" s="1492"/>
      <c r="H77" s="983"/>
      <c r="I77" s="1018"/>
      <c r="J77" s="1031"/>
      <c r="K77" s="1032"/>
      <c r="L77" s="1559"/>
      <c r="M77" s="1560"/>
      <c r="N77" s="1560"/>
      <c r="O77" s="1560"/>
      <c r="P77" s="1560"/>
      <c r="Q77" s="980"/>
      <c r="R77" s="972"/>
      <c r="S77" s="973"/>
      <c r="T77" s="1543"/>
      <c r="U77" s="1337"/>
      <c r="Y77" s="74"/>
      <c r="Z77" s="77"/>
      <c r="AA77" s="78"/>
      <c r="AB77" s="78">
        <f t="shared" si="0"/>
        <v>0</v>
      </c>
      <c r="AI77" s="68"/>
      <c r="AJ77" s="68"/>
      <c r="AK77" s="68"/>
    </row>
    <row r="78" spans="1:37" ht="15.95" customHeight="1" thickBot="1" x14ac:dyDescent="0.3">
      <c r="A78" s="1516"/>
      <c r="B78" s="1035" t="s">
        <v>154</v>
      </c>
      <c r="C78" s="1036"/>
      <c r="D78" s="1036"/>
      <c r="E78" s="1036"/>
      <c r="F78" s="1036"/>
      <c r="G78" s="1036"/>
      <c r="H78" s="1161"/>
      <c r="I78" s="1035">
        <f>IF(J19="Kostenschätzung liegt noch nicht vor",I35,J19)</f>
        <v>33789.782639999998</v>
      </c>
      <c r="J78" s="1036"/>
      <c r="K78" s="1037"/>
      <c r="L78" s="1561">
        <f>SUM(R55:S77)</f>
        <v>0</v>
      </c>
      <c r="M78" s="1562"/>
      <c r="N78" s="1562"/>
      <c r="O78" s="1562"/>
      <c r="P78" s="1562"/>
      <c r="Q78" s="1549"/>
      <c r="R78" s="1549"/>
      <c r="S78" s="1696"/>
      <c r="T78" s="1567"/>
      <c r="U78" s="1610"/>
      <c r="Y78" s="74"/>
      <c r="Z78" s="152">
        <f>SUM(Z55:Z76)</f>
        <v>0</v>
      </c>
      <c r="AA78" s="77"/>
      <c r="AB78" s="78">
        <f t="shared" si="0"/>
        <v>0</v>
      </c>
      <c r="AI78" s="68"/>
      <c r="AJ78" s="68"/>
      <c r="AK78" s="68"/>
    </row>
    <row r="79" spans="1:37" ht="14.55" thickBot="1" x14ac:dyDescent="0.3">
      <c r="A79" s="1516"/>
      <c r="B79" s="1038"/>
      <c r="C79" s="1039"/>
      <c r="D79" s="1039"/>
      <c r="E79" s="1039"/>
      <c r="F79" s="1039"/>
      <c r="G79" s="1039"/>
      <c r="H79" s="1162"/>
      <c r="I79" s="1038"/>
      <c r="J79" s="1039"/>
      <c r="K79" s="1040"/>
      <c r="L79" s="1563"/>
      <c r="M79" s="1564"/>
      <c r="N79" s="1564"/>
      <c r="O79" s="1564"/>
      <c r="P79" s="1564"/>
      <c r="Q79" s="1550"/>
      <c r="R79" s="1550"/>
      <c r="S79" s="1697"/>
      <c r="T79" s="1568"/>
      <c r="U79" s="1610"/>
      <c r="AA79" s="78"/>
      <c r="AB79" s="78">
        <f t="shared" si="0"/>
        <v>0</v>
      </c>
      <c r="AI79" s="68"/>
      <c r="AJ79" s="68"/>
      <c r="AK79" s="68"/>
    </row>
    <row r="80" spans="1:37" ht="14.55" thickBot="1" x14ac:dyDescent="0.3">
      <c r="A80" s="1516"/>
      <c r="B80" s="1041"/>
      <c r="C80" s="1042"/>
      <c r="D80" s="1042"/>
      <c r="E80" s="1042"/>
      <c r="F80" s="1042"/>
      <c r="G80" s="1042"/>
      <c r="H80" s="1163"/>
      <c r="I80" s="1041"/>
      <c r="J80" s="1042"/>
      <c r="K80" s="1043"/>
      <c r="L80" s="1565"/>
      <c r="M80" s="1566"/>
      <c r="N80" s="1566"/>
      <c r="O80" s="1566"/>
      <c r="P80" s="1566"/>
      <c r="Q80" s="1551"/>
      <c r="R80" s="1551"/>
      <c r="S80" s="1698"/>
      <c r="T80" s="1569"/>
      <c r="U80" s="1610"/>
      <c r="AA80" s="78"/>
      <c r="AB80" s="78">
        <f t="shared" si="0"/>
        <v>0</v>
      </c>
      <c r="AI80" s="68"/>
      <c r="AJ80" s="68"/>
      <c r="AK80" s="68"/>
    </row>
    <row r="81" spans="1:37" ht="14.55" thickBot="1" x14ac:dyDescent="0.3">
      <c r="A81" s="1516"/>
      <c r="B81" s="1511" t="s">
        <v>390</v>
      </c>
      <c r="C81" s="1512"/>
      <c r="D81" s="1512"/>
      <c r="E81" s="1512"/>
      <c r="F81" s="1512"/>
      <c r="G81" s="1512"/>
      <c r="H81" s="337"/>
      <c r="I81" s="1536"/>
      <c r="J81" s="1302"/>
      <c r="K81" s="1303"/>
      <c r="L81" s="1558"/>
      <c r="M81" s="1302"/>
      <c r="N81" s="1302"/>
      <c r="O81" s="1302"/>
      <c r="P81" s="1302"/>
      <c r="Q81" s="346"/>
      <c r="R81" s="1694"/>
      <c r="S81" s="1695"/>
      <c r="T81" s="334"/>
      <c r="U81" s="334"/>
      <c r="AA81" s="78"/>
      <c r="AB81" s="78">
        <f t="shared" si="0"/>
        <v>0</v>
      </c>
      <c r="AI81" s="68"/>
      <c r="AJ81" s="68"/>
      <c r="AK81" s="68"/>
    </row>
    <row r="82" spans="1:37" ht="15" customHeight="1" thickBot="1" x14ac:dyDescent="0.3">
      <c r="A82" s="1516"/>
      <c r="B82" s="1497" t="s">
        <v>391</v>
      </c>
      <c r="C82" s="1498"/>
      <c r="D82" s="1498"/>
      <c r="E82" s="1498"/>
      <c r="F82" s="1498"/>
      <c r="G82" s="1499"/>
      <c r="H82" s="1194" t="s">
        <v>100</v>
      </c>
      <c r="I82" s="1016">
        <f>Z115</f>
        <v>0</v>
      </c>
      <c r="J82" s="1027">
        <f>I78*I82</f>
        <v>0</v>
      </c>
      <c r="K82" s="1028"/>
      <c r="L82" s="987" t="s">
        <v>392</v>
      </c>
      <c r="M82" s="988"/>
      <c r="N82" s="988"/>
      <c r="O82" s="988"/>
      <c r="P82" s="988"/>
      <c r="Q82" s="1295" t="s">
        <v>100</v>
      </c>
      <c r="R82" s="972"/>
      <c r="S82" s="973"/>
      <c r="T82" s="1257" t="str">
        <f>IFERROR(IF((VLOOKUP(U82,Überblick!$M$125:$N$133,2))="ja","ja","nein"),"")</f>
        <v/>
      </c>
      <c r="U82" s="1337"/>
      <c r="V82" s="72">
        <f>IF(AND(Q82="ja",R82=""),1,0)</f>
        <v>0</v>
      </c>
      <c r="Y82" s="74">
        <v>5.5E-2</v>
      </c>
      <c r="Z82" s="77">
        <f>IF(H82="ja",Y82,0)</f>
        <v>0</v>
      </c>
      <c r="AA82" s="78"/>
      <c r="AB82" s="78">
        <f t="shared" si="0"/>
        <v>0</v>
      </c>
      <c r="AI82" s="68"/>
      <c r="AJ82" s="68"/>
      <c r="AK82" s="68"/>
    </row>
    <row r="83" spans="1:37" ht="15" customHeight="1" thickBot="1" x14ac:dyDescent="0.3">
      <c r="A83" s="1516"/>
      <c r="B83" s="1493"/>
      <c r="C83" s="1317"/>
      <c r="D83" s="1317"/>
      <c r="E83" s="1317"/>
      <c r="F83" s="1317"/>
      <c r="G83" s="1494"/>
      <c r="H83" s="982"/>
      <c r="I83" s="1017"/>
      <c r="J83" s="1029"/>
      <c r="K83" s="1030"/>
      <c r="L83" s="984"/>
      <c r="M83" s="985"/>
      <c r="N83" s="985"/>
      <c r="O83" s="985"/>
      <c r="P83" s="985"/>
      <c r="Q83" s="978"/>
      <c r="R83" s="972"/>
      <c r="S83" s="973"/>
      <c r="T83" s="1258"/>
      <c r="U83" s="1337"/>
      <c r="V83" s="339"/>
      <c r="Y83" s="74"/>
      <c r="Z83" s="77"/>
      <c r="AA83" s="78"/>
      <c r="AB83" s="78">
        <f t="shared" si="0"/>
        <v>0</v>
      </c>
      <c r="AI83" s="68"/>
      <c r="AJ83" s="68"/>
      <c r="AK83" s="68"/>
    </row>
    <row r="84" spans="1:37" ht="15" customHeight="1" thickBot="1" x14ac:dyDescent="0.3">
      <c r="A84" s="1516"/>
      <c r="B84" s="1493"/>
      <c r="C84" s="1317"/>
      <c r="D84" s="1317"/>
      <c r="E84" s="1317"/>
      <c r="F84" s="1317"/>
      <c r="G84" s="1494"/>
      <c r="H84" s="982"/>
      <c r="I84" s="1017"/>
      <c r="J84" s="1029"/>
      <c r="K84" s="1030"/>
      <c r="L84" s="984"/>
      <c r="M84" s="985"/>
      <c r="N84" s="985"/>
      <c r="O84" s="985"/>
      <c r="P84" s="985"/>
      <c r="Q84" s="978"/>
      <c r="R84" s="972"/>
      <c r="S84" s="973"/>
      <c r="T84" s="1258"/>
      <c r="U84" s="1337"/>
      <c r="V84" s="339"/>
      <c r="Y84" s="74"/>
      <c r="Z84" s="77"/>
      <c r="AA84" s="78"/>
      <c r="AB84" s="78">
        <f t="shared" si="0"/>
        <v>0</v>
      </c>
      <c r="AI84" s="68"/>
      <c r="AJ84" s="68"/>
      <c r="AK84" s="68"/>
    </row>
    <row r="85" spans="1:37" ht="15" customHeight="1" thickBot="1" x14ac:dyDescent="0.3">
      <c r="A85" s="1516"/>
      <c r="B85" s="1493"/>
      <c r="C85" s="1317"/>
      <c r="D85" s="1317"/>
      <c r="E85" s="1317"/>
      <c r="F85" s="1317"/>
      <c r="G85" s="1494"/>
      <c r="H85" s="982"/>
      <c r="I85" s="1017"/>
      <c r="J85" s="1029"/>
      <c r="K85" s="1030"/>
      <c r="L85" s="984" t="s">
        <v>393</v>
      </c>
      <c r="M85" s="985"/>
      <c r="N85" s="985"/>
      <c r="O85" s="985"/>
      <c r="P85" s="985"/>
      <c r="Q85" s="978" t="s">
        <v>100</v>
      </c>
      <c r="R85" s="972"/>
      <c r="S85" s="973"/>
      <c r="T85" s="1258"/>
      <c r="U85" s="1337"/>
      <c r="V85" s="72">
        <f>IF(AND(Q85="ja",R85=""),1,0)</f>
        <v>0</v>
      </c>
      <c r="Y85" s="74"/>
      <c r="Z85" s="77"/>
      <c r="AA85" s="78"/>
      <c r="AB85" s="78">
        <f t="shared" si="0"/>
        <v>0</v>
      </c>
      <c r="AI85" s="68"/>
      <c r="AJ85" s="68"/>
      <c r="AK85" s="68"/>
    </row>
    <row r="86" spans="1:37" ht="15" customHeight="1" thickBot="1" x14ac:dyDescent="0.3">
      <c r="A86" s="1516"/>
      <c r="B86" s="1490"/>
      <c r="C86" s="1491"/>
      <c r="D86" s="1491"/>
      <c r="E86" s="1491"/>
      <c r="F86" s="1491"/>
      <c r="G86" s="1492"/>
      <c r="H86" s="983"/>
      <c r="I86" s="1017"/>
      <c r="J86" s="1029"/>
      <c r="K86" s="1030"/>
      <c r="L86" s="984"/>
      <c r="M86" s="985"/>
      <c r="N86" s="985"/>
      <c r="O86" s="985"/>
      <c r="P86" s="985"/>
      <c r="Q86" s="978"/>
      <c r="R86" s="972"/>
      <c r="S86" s="973"/>
      <c r="T86" s="1258"/>
      <c r="U86" s="1337"/>
      <c r="Y86" s="74"/>
      <c r="Z86" s="77"/>
      <c r="AA86" s="78"/>
      <c r="AB86" s="78">
        <f t="shared" si="0"/>
        <v>0</v>
      </c>
      <c r="AI86" s="68"/>
      <c r="AJ86" s="68"/>
      <c r="AK86" s="68"/>
    </row>
    <row r="87" spans="1:37" ht="15" customHeight="1" thickBot="1" x14ac:dyDescent="0.3">
      <c r="A87" s="1516"/>
      <c r="B87" s="1103" t="s">
        <v>394</v>
      </c>
      <c r="C87" s="1104"/>
      <c r="D87" s="1104"/>
      <c r="E87" s="1104"/>
      <c r="F87" s="1104"/>
      <c r="G87" s="1105"/>
      <c r="H87" s="314" t="s">
        <v>100</v>
      </c>
      <c r="I87" s="1017"/>
      <c r="J87" s="1029"/>
      <c r="K87" s="1030"/>
      <c r="L87" s="984"/>
      <c r="M87" s="985"/>
      <c r="N87" s="985"/>
      <c r="O87" s="985"/>
      <c r="P87" s="985"/>
      <c r="Q87" s="978"/>
      <c r="R87" s="972"/>
      <c r="S87" s="973"/>
      <c r="T87" s="1258"/>
      <c r="U87" s="1337"/>
      <c r="Y87" s="74">
        <v>2.5000000000000001E-3</v>
      </c>
      <c r="Z87" s="77">
        <f>IF(H87="ja",Y87,0)</f>
        <v>0</v>
      </c>
      <c r="AA87" s="78"/>
      <c r="AB87" s="78">
        <f t="shared" si="0"/>
        <v>0</v>
      </c>
      <c r="AI87" s="68"/>
      <c r="AJ87" s="68"/>
      <c r="AK87" s="68"/>
    </row>
    <row r="88" spans="1:37" ht="15" customHeight="1" thickBot="1" x14ac:dyDescent="0.3">
      <c r="A88" s="1516"/>
      <c r="B88" s="1487" t="s">
        <v>395</v>
      </c>
      <c r="C88" s="1488"/>
      <c r="D88" s="1488"/>
      <c r="E88" s="1488"/>
      <c r="F88" s="1488"/>
      <c r="G88" s="1489"/>
      <c r="H88" s="981" t="s">
        <v>100</v>
      </c>
      <c r="I88" s="1017"/>
      <c r="J88" s="1029"/>
      <c r="K88" s="1030"/>
      <c r="L88" s="984" t="s">
        <v>396</v>
      </c>
      <c r="M88" s="985"/>
      <c r="N88" s="985"/>
      <c r="O88" s="985"/>
      <c r="P88" s="985"/>
      <c r="Q88" s="978" t="s">
        <v>100</v>
      </c>
      <c r="R88" s="972"/>
      <c r="S88" s="973"/>
      <c r="T88" s="1258"/>
      <c r="U88" s="1337"/>
      <c r="V88" s="72">
        <f>IF(AND(Q88="ja",R88=""),1,0)</f>
        <v>0</v>
      </c>
      <c r="Y88" s="74">
        <v>9.9500000000000005E-2</v>
      </c>
      <c r="Z88" s="77">
        <f>IF(H88="ja",Y88,0)</f>
        <v>0</v>
      </c>
      <c r="AA88" s="78"/>
      <c r="AB88" s="78">
        <f t="shared" si="0"/>
        <v>0</v>
      </c>
      <c r="AI88" s="68"/>
      <c r="AJ88" s="68"/>
      <c r="AK88" s="68"/>
    </row>
    <row r="89" spans="1:37" ht="15" customHeight="1" thickBot="1" x14ac:dyDescent="0.3">
      <c r="A89" s="1516"/>
      <c r="B89" s="1493"/>
      <c r="C89" s="1317"/>
      <c r="D89" s="1317"/>
      <c r="E89" s="1317"/>
      <c r="F89" s="1317"/>
      <c r="G89" s="1494"/>
      <c r="H89" s="982"/>
      <c r="I89" s="1017"/>
      <c r="J89" s="1029"/>
      <c r="K89" s="1030"/>
      <c r="L89" s="984"/>
      <c r="M89" s="985"/>
      <c r="N89" s="985"/>
      <c r="O89" s="985"/>
      <c r="P89" s="985"/>
      <c r="Q89" s="978"/>
      <c r="R89" s="972"/>
      <c r="S89" s="973"/>
      <c r="T89" s="1258"/>
      <c r="U89" s="1337"/>
      <c r="V89" s="339"/>
      <c r="Y89" s="74"/>
      <c r="Z89" s="77"/>
      <c r="AA89" s="78"/>
      <c r="AB89" s="78">
        <f t="shared" si="0"/>
        <v>0</v>
      </c>
      <c r="AI89" s="68"/>
      <c r="AJ89" s="68"/>
      <c r="AK89" s="68"/>
    </row>
    <row r="90" spans="1:37" ht="15" customHeight="1" thickBot="1" x14ac:dyDescent="0.3">
      <c r="A90" s="1516"/>
      <c r="B90" s="1493"/>
      <c r="C90" s="1317"/>
      <c r="D90" s="1317"/>
      <c r="E90" s="1317"/>
      <c r="F90" s="1317"/>
      <c r="G90" s="1494"/>
      <c r="H90" s="982"/>
      <c r="I90" s="1017"/>
      <c r="J90" s="1029"/>
      <c r="K90" s="1030"/>
      <c r="L90" s="984"/>
      <c r="M90" s="985"/>
      <c r="N90" s="985"/>
      <c r="O90" s="985"/>
      <c r="P90" s="985"/>
      <c r="Q90" s="978"/>
      <c r="R90" s="972"/>
      <c r="S90" s="973"/>
      <c r="T90" s="1258"/>
      <c r="U90" s="1337"/>
      <c r="V90" s="339"/>
      <c r="Y90" s="74"/>
      <c r="Z90" s="77"/>
      <c r="AA90" s="78"/>
      <c r="AB90" s="78">
        <f t="shared" si="0"/>
        <v>0</v>
      </c>
      <c r="AI90" s="68"/>
      <c r="AJ90" s="68"/>
      <c r="AK90" s="68"/>
    </row>
    <row r="91" spans="1:37" ht="15" customHeight="1" thickBot="1" x14ac:dyDescent="0.3">
      <c r="A91" s="1516"/>
      <c r="B91" s="1493"/>
      <c r="C91" s="1317"/>
      <c r="D91" s="1317"/>
      <c r="E91" s="1317"/>
      <c r="F91" s="1317"/>
      <c r="G91" s="1494"/>
      <c r="H91" s="982"/>
      <c r="I91" s="1017"/>
      <c r="J91" s="1029"/>
      <c r="K91" s="1030"/>
      <c r="L91" s="984" t="s">
        <v>397</v>
      </c>
      <c r="M91" s="985"/>
      <c r="N91" s="985"/>
      <c r="O91" s="985"/>
      <c r="P91" s="985"/>
      <c r="Q91" s="978" t="s">
        <v>100</v>
      </c>
      <c r="R91" s="972"/>
      <c r="S91" s="973"/>
      <c r="T91" s="1258"/>
      <c r="U91" s="1337"/>
      <c r="V91" s="72">
        <f>IF(AND(Q91="ja",R91=""),1,0)</f>
        <v>0</v>
      </c>
      <c r="Y91" s="74"/>
      <c r="Z91" s="77"/>
      <c r="AA91" s="78"/>
      <c r="AB91" s="78">
        <f t="shared" si="0"/>
        <v>0</v>
      </c>
      <c r="AI91" s="68"/>
      <c r="AJ91" s="68"/>
      <c r="AK91" s="68"/>
    </row>
    <row r="92" spans="1:37" ht="15" customHeight="1" thickBot="1" x14ac:dyDescent="0.3">
      <c r="A92" s="1516"/>
      <c r="B92" s="1493"/>
      <c r="C92" s="1317"/>
      <c r="D92" s="1317"/>
      <c r="E92" s="1317"/>
      <c r="F92" s="1317"/>
      <c r="G92" s="1494"/>
      <c r="H92" s="982"/>
      <c r="I92" s="1017"/>
      <c r="J92" s="1029"/>
      <c r="K92" s="1030"/>
      <c r="L92" s="984"/>
      <c r="M92" s="985"/>
      <c r="N92" s="985"/>
      <c r="O92" s="985"/>
      <c r="P92" s="985"/>
      <c r="Q92" s="978"/>
      <c r="R92" s="972"/>
      <c r="S92" s="973"/>
      <c r="T92" s="1258"/>
      <c r="U92" s="1337"/>
      <c r="V92" s="339"/>
      <c r="Y92" s="74"/>
      <c r="Z92" s="77"/>
      <c r="AA92" s="78"/>
      <c r="AB92" s="78">
        <f t="shared" si="0"/>
        <v>0</v>
      </c>
      <c r="AI92" s="68"/>
      <c r="AJ92" s="68"/>
      <c r="AK92" s="68"/>
    </row>
    <row r="93" spans="1:37" ht="15" customHeight="1" thickBot="1" x14ac:dyDescent="0.3">
      <c r="A93" s="1516"/>
      <c r="B93" s="1493"/>
      <c r="C93" s="1317"/>
      <c r="D93" s="1317"/>
      <c r="E93" s="1317"/>
      <c r="F93" s="1317"/>
      <c r="G93" s="1494"/>
      <c r="H93" s="982"/>
      <c r="I93" s="1017"/>
      <c r="J93" s="1029"/>
      <c r="K93" s="1030"/>
      <c r="L93" s="984"/>
      <c r="M93" s="985"/>
      <c r="N93" s="985"/>
      <c r="O93" s="985"/>
      <c r="P93" s="985"/>
      <c r="Q93" s="978"/>
      <c r="R93" s="972"/>
      <c r="S93" s="973"/>
      <c r="T93" s="1258"/>
      <c r="U93" s="1337"/>
      <c r="V93" s="339"/>
      <c r="Y93" s="74"/>
      <c r="Z93" s="77"/>
      <c r="AA93" s="78"/>
      <c r="AB93" s="78">
        <f t="shared" si="0"/>
        <v>0</v>
      </c>
      <c r="AI93" s="68"/>
      <c r="AJ93" s="68"/>
      <c r="AK93" s="68"/>
    </row>
    <row r="94" spans="1:37" ht="15" customHeight="1" thickBot="1" x14ac:dyDescent="0.3">
      <c r="A94" s="1516"/>
      <c r="B94" s="1493"/>
      <c r="C94" s="1317"/>
      <c r="D94" s="1317"/>
      <c r="E94" s="1317"/>
      <c r="F94" s="1317"/>
      <c r="G94" s="1494"/>
      <c r="H94" s="982"/>
      <c r="I94" s="1017"/>
      <c r="J94" s="1029"/>
      <c r="K94" s="1030"/>
      <c r="L94" s="984" t="s">
        <v>192</v>
      </c>
      <c r="M94" s="985"/>
      <c r="N94" s="985"/>
      <c r="O94" s="985"/>
      <c r="P94" s="985"/>
      <c r="Q94" s="978" t="s">
        <v>100</v>
      </c>
      <c r="R94" s="972"/>
      <c r="S94" s="973"/>
      <c r="T94" s="1258"/>
      <c r="U94" s="1337"/>
      <c r="V94" s="72">
        <f>IF(AND(Q94="ja",R94=""),1,0)</f>
        <v>0</v>
      </c>
      <c r="Y94" s="74"/>
      <c r="Z94" s="77"/>
      <c r="AA94" s="78"/>
      <c r="AB94" s="78">
        <f t="shared" si="0"/>
        <v>0</v>
      </c>
      <c r="AI94" s="68"/>
      <c r="AJ94" s="68"/>
      <c r="AK94" s="68"/>
    </row>
    <row r="95" spans="1:37" ht="15" customHeight="1" thickBot="1" x14ac:dyDescent="0.3">
      <c r="A95" s="1516"/>
      <c r="B95" s="1493"/>
      <c r="C95" s="1317"/>
      <c r="D95" s="1317"/>
      <c r="E95" s="1317"/>
      <c r="F95" s="1317"/>
      <c r="G95" s="1494"/>
      <c r="H95" s="982"/>
      <c r="I95" s="1017"/>
      <c r="J95" s="1029"/>
      <c r="K95" s="1030"/>
      <c r="L95" s="984"/>
      <c r="M95" s="985"/>
      <c r="N95" s="985"/>
      <c r="O95" s="985"/>
      <c r="P95" s="985"/>
      <c r="Q95" s="978"/>
      <c r="R95" s="972"/>
      <c r="S95" s="973"/>
      <c r="T95" s="1258"/>
      <c r="U95" s="1337"/>
      <c r="Y95" s="74"/>
      <c r="Z95" s="77"/>
      <c r="AA95" s="78"/>
      <c r="AB95" s="78">
        <f t="shared" si="0"/>
        <v>0</v>
      </c>
      <c r="AI95" s="68"/>
      <c r="AJ95" s="68"/>
      <c r="AK95" s="68"/>
    </row>
    <row r="96" spans="1:37" ht="15" customHeight="1" thickBot="1" x14ac:dyDescent="0.3">
      <c r="A96" s="1516"/>
      <c r="B96" s="1493"/>
      <c r="C96" s="1317"/>
      <c r="D96" s="1317"/>
      <c r="E96" s="1317"/>
      <c r="F96" s="1317"/>
      <c r="G96" s="1494"/>
      <c r="H96" s="982"/>
      <c r="I96" s="1017"/>
      <c r="J96" s="1029"/>
      <c r="K96" s="1030"/>
      <c r="L96" s="984"/>
      <c r="M96" s="985"/>
      <c r="N96" s="985"/>
      <c r="O96" s="985"/>
      <c r="P96" s="985"/>
      <c r="Q96" s="978"/>
      <c r="R96" s="972"/>
      <c r="S96" s="973"/>
      <c r="T96" s="1258"/>
      <c r="U96" s="1337"/>
      <c r="Y96" s="74"/>
      <c r="Z96" s="77"/>
      <c r="AA96" s="78"/>
      <c r="AB96" s="78">
        <f t="shared" si="0"/>
        <v>0</v>
      </c>
      <c r="AI96" s="68"/>
      <c r="AJ96" s="68"/>
      <c r="AK96" s="68"/>
    </row>
    <row r="97" spans="1:37" ht="15" customHeight="1" thickBot="1" x14ac:dyDescent="0.3">
      <c r="A97" s="1516"/>
      <c r="B97" s="1493"/>
      <c r="C97" s="1317"/>
      <c r="D97" s="1317"/>
      <c r="E97" s="1317"/>
      <c r="F97" s="1317"/>
      <c r="G97" s="1494"/>
      <c r="H97" s="982"/>
      <c r="I97" s="1017"/>
      <c r="J97" s="1029"/>
      <c r="K97" s="1030"/>
      <c r="L97" s="984"/>
      <c r="M97" s="985"/>
      <c r="N97" s="985"/>
      <c r="O97" s="985"/>
      <c r="P97" s="985"/>
      <c r="Q97" s="978"/>
      <c r="R97" s="972"/>
      <c r="S97" s="973"/>
      <c r="T97" s="1258"/>
      <c r="U97" s="1337"/>
      <c r="Y97" s="74"/>
      <c r="Z97" s="77"/>
      <c r="AA97" s="78"/>
      <c r="AB97" s="78">
        <f t="shared" si="0"/>
        <v>0</v>
      </c>
      <c r="AI97" s="68"/>
      <c r="AJ97" s="68"/>
      <c r="AK97" s="68"/>
    </row>
    <row r="98" spans="1:37" ht="15" customHeight="1" thickBot="1" x14ac:dyDescent="0.3">
      <c r="A98" s="1516"/>
      <c r="B98" s="1493"/>
      <c r="C98" s="1317"/>
      <c r="D98" s="1317"/>
      <c r="E98" s="1317"/>
      <c r="F98" s="1317"/>
      <c r="G98" s="1494"/>
      <c r="H98" s="982"/>
      <c r="I98" s="1017"/>
      <c r="J98" s="1029"/>
      <c r="K98" s="1030"/>
      <c r="L98" s="984"/>
      <c r="M98" s="985"/>
      <c r="N98" s="985"/>
      <c r="O98" s="985"/>
      <c r="P98" s="985"/>
      <c r="Q98" s="978" t="s">
        <v>100</v>
      </c>
      <c r="R98" s="972"/>
      <c r="S98" s="973"/>
      <c r="T98" s="1258"/>
      <c r="U98" s="1337"/>
      <c r="V98" s="72">
        <f>IF(AND(Q98="ja",R98=""),1,0)</f>
        <v>0</v>
      </c>
      <c r="Y98" s="74"/>
      <c r="Z98" s="77"/>
      <c r="AA98" s="78"/>
      <c r="AB98" s="78">
        <f t="shared" si="0"/>
        <v>0</v>
      </c>
      <c r="AI98" s="68"/>
      <c r="AJ98" s="68"/>
      <c r="AK98" s="68"/>
    </row>
    <row r="99" spans="1:37" ht="15" customHeight="1" thickBot="1" x14ac:dyDescent="0.3">
      <c r="A99" s="1516"/>
      <c r="B99" s="1493"/>
      <c r="C99" s="1317"/>
      <c r="D99" s="1317"/>
      <c r="E99" s="1317"/>
      <c r="F99" s="1317"/>
      <c r="G99" s="1494"/>
      <c r="H99" s="982"/>
      <c r="I99" s="1017"/>
      <c r="J99" s="1029"/>
      <c r="K99" s="1030"/>
      <c r="L99" s="984"/>
      <c r="M99" s="985"/>
      <c r="N99" s="985"/>
      <c r="O99" s="985"/>
      <c r="P99" s="985"/>
      <c r="Q99" s="978"/>
      <c r="R99" s="972"/>
      <c r="S99" s="973"/>
      <c r="T99" s="1258"/>
      <c r="U99" s="1337"/>
      <c r="Y99" s="74"/>
      <c r="Z99" s="77"/>
      <c r="AA99" s="78"/>
      <c r="AB99" s="78">
        <f t="shared" si="0"/>
        <v>0</v>
      </c>
      <c r="AI99" s="68"/>
      <c r="AJ99" s="68"/>
      <c r="AK99" s="68"/>
    </row>
    <row r="100" spans="1:37" ht="15" customHeight="1" thickBot="1" x14ac:dyDescent="0.3">
      <c r="A100" s="1516"/>
      <c r="B100" s="1490"/>
      <c r="C100" s="1491"/>
      <c r="D100" s="1491"/>
      <c r="E100" s="1491"/>
      <c r="F100" s="1491"/>
      <c r="G100" s="1492"/>
      <c r="H100" s="983"/>
      <c r="I100" s="1017"/>
      <c r="J100" s="1029"/>
      <c r="K100" s="1030"/>
      <c r="L100" s="984"/>
      <c r="M100" s="985"/>
      <c r="N100" s="985"/>
      <c r="O100" s="985"/>
      <c r="P100" s="985"/>
      <c r="Q100" s="978"/>
      <c r="R100" s="972"/>
      <c r="S100" s="973"/>
      <c r="T100" s="1258"/>
      <c r="U100" s="1337"/>
      <c r="Y100" s="74"/>
      <c r="Z100" s="77"/>
      <c r="AA100" s="78"/>
      <c r="AB100" s="78">
        <f t="shared" si="0"/>
        <v>0</v>
      </c>
      <c r="AI100" s="68"/>
      <c r="AJ100" s="68"/>
      <c r="AK100" s="68"/>
    </row>
    <row r="101" spans="1:37" ht="15" customHeight="1" thickBot="1" x14ac:dyDescent="0.3">
      <c r="A101" s="1516"/>
      <c r="B101" s="1487" t="s">
        <v>398</v>
      </c>
      <c r="C101" s="1488"/>
      <c r="D101" s="1488"/>
      <c r="E101" s="1488"/>
      <c r="F101" s="1488"/>
      <c r="G101" s="1489"/>
      <c r="H101" s="981" t="s">
        <v>100</v>
      </c>
      <c r="I101" s="1017"/>
      <c r="J101" s="1029"/>
      <c r="K101" s="1030"/>
      <c r="L101" s="984"/>
      <c r="M101" s="985"/>
      <c r="N101" s="985"/>
      <c r="O101" s="985"/>
      <c r="P101" s="985"/>
      <c r="Q101" s="978" t="s">
        <v>100</v>
      </c>
      <c r="R101" s="972"/>
      <c r="S101" s="973"/>
      <c r="T101" s="1258"/>
      <c r="U101" s="1337"/>
      <c r="V101" s="72">
        <f>IF(AND(Q101="ja",R101=""),1,0)</f>
        <v>0</v>
      </c>
      <c r="Y101" s="74">
        <v>2.5000000000000001E-3</v>
      </c>
      <c r="Z101" s="77">
        <f>IF(H101="ja",Y101,0)</f>
        <v>0</v>
      </c>
      <c r="AA101" s="78"/>
      <c r="AB101" s="78">
        <f t="shared" si="0"/>
        <v>0</v>
      </c>
      <c r="AI101" s="68"/>
      <c r="AJ101" s="68"/>
      <c r="AK101" s="68"/>
    </row>
    <row r="102" spans="1:37" ht="15" customHeight="1" thickBot="1" x14ac:dyDescent="0.3">
      <c r="A102" s="1516"/>
      <c r="B102" s="1493"/>
      <c r="C102" s="1317"/>
      <c r="D102" s="1317"/>
      <c r="E102" s="1317"/>
      <c r="F102" s="1317"/>
      <c r="G102" s="1494"/>
      <c r="H102" s="982"/>
      <c r="I102" s="1017"/>
      <c r="J102" s="1029"/>
      <c r="K102" s="1030"/>
      <c r="L102" s="984"/>
      <c r="M102" s="985"/>
      <c r="N102" s="985"/>
      <c r="O102" s="985"/>
      <c r="P102" s="985"/>
      <c r="Q102" s="978"/>
      <c r="R102" s="972"/>
      <c r="S102" s="973"/>
      <c r="T102" s="1258"/>
      <c r="U102" s="1337"/>
      <c r="V102" s="339"/>
      <c r="Y102" s="74"/>
      <c r="Z102" s="77"/>
      <c r="AA102" s="78"/>
      <c r="AB102" s="78">
        <f t="shared" si="0"/>
        <v>0</v>
      </c>
      <c r="AI102" s="68"/>
      <c r="AJ102" s="68"/>
      <c r="AK102" s="68"/>
    </row>
    <row r="103" spans="1:37" ht="15" customHeight="1" thickBot="1" x14ac:dyDescent="0.3">
      <c r="A103" s="1516"/>
      <c r="B103" s="1493"/>
      <c r="C103" s="1317"/>
      <c r="D103" s="1317"/>
      <c r="E103" s="1317"/>
      <c r="F103" s="1317"/>
      <c r="G103" s="1494"/>
      <c r="H103" s="982"/>
      <c r="I103" s="1017"/>
      <c r="J103" s="1029"/>
      <c r="K103" s="1030"/>
      <c r="L103" s="984"/>
      <c r="M103" s="985"/>
      <c r="N103" s="985"/>
      <c r="O103" s="985"/>
      <c r="P103" s="985"/>
      <c r="Q103" s="978"/>
      <c r="R103" s="972"/>
      <c r="S103" s="973"/>
      <c r="T103" s="1258"/>
      <c r="U103" s="1337"/>
      <c r="V103" s="339"/>
      <c r="Y103" s="74"/>
      <c r="Z103" s="77"/>
      <c r="AA103" s="78"/>
      <c r="AB103" s="78">
        <f t="shared" si="0"/>
        <v>0</v>
      </c>
      <c r="AI103" s="68"/>
      <c r="AJ103" s="68"/>
      <c r="AK103" s="68"/>
    </row>
    <row r="104" spans="1:37" ht="15" customHeight="1" thickBot="1" x14ac:dyDescent="0.3">
      <c r="A104" s="1516"/>
      <c r="B104" s="1493"/>
      <c r="C104" s="1317"/>
      <c r="D104" s="1317"/>
      <c r="E104" s="1317"/>
      <c r="F104" s="1317"/>
      <c r="G104" s="1494"/>
      <c r="H104" s="982"/>
      <c r="I104" s="1017"/>
      <c r="J104" s="1029"/>
      <c r="K104" s="1030"/>
      <c r="L104" s="984"/>
      <c r="M104" s="985"/>
      <c r="N104" s="985"/>
      <c r="O104" s="985"/>
      <c r="P104" s="985"/>
      <c r="Q104" s="978" t="s">
        <v>100</v>
      </c>
      <c r="R104" s="972"/>
      <c r="S104" s="973"/>
      <c r="T104" s="1258"/>
      <c r="U104" s="1337"/>
      <c r="V104" s="72">
        <f>IF(AND(Q104="ja",R104=""),1,0)</f>
        <v>0</v>
      </c>
      <c r="Y104" s="74"/>
      <c r="Z104" s="77"/>
      <c r="AA104" s="78"/>
      <c r="AB104" s="78">
        <f t="shared" ref="AB104:AB167" si="1">IF(Q104="ja",1,0)</f>
        <v>0</v>
      </c>
      <c r="AI104" s="68"/>
      <c r="AJ104" s="68"/>
      <c r="AK104" s="68"/>
    </row>
    <row r="105" spans="1:37" ht="15" customHeight="1" thickBot="1" x14ac:dyDescent="0.3">
      <c r="A105" s="1516"/>
      <c r="B105" s="1493"/>
      <c r="C105" s="1317"/>
      <c r="D105" s="1317"/>
      <c r="E105" s="1317"/>
      <c r="F105" s="1317"/>
      <c r="G105" s="1494"/>
      <c r="H105" s="982"/>
      <c r="I105" s="1017"/>
      <c r="J105" s="1029"/>
      <c r="K105" s="1030"/>
      <c r="L105" s="984"/>
      <c r="M105" s="985"/>
      <c r="N105" s="985"/>
      <c r="O105" s="985"/>
      <c r="P105" s="985"/>
      <c r="Q105" s="978"/>
      <c r="R105" s="972"/>
      <c r="S105" s="973"/>
      <c r="T105" s="1258"/>
      <c r="U105" s="1337"/>
      <c r="Y105" s="74"/>
      <c r="Z105" s="77"/>
      <c r="AA105" s="78"/>
      <c r="AB105" s="78">
        <f t="shared" si="1"/>
        <v>0</v>
      </c>
      <c r="AI105" s="68"/>
      <c r="AJ105" s="68"/>
      <c r="AK105" s="68"/>
    </row>
    <row r="106" spans="1:37" ht="15" customHeight="1" thickBot="1" x14ac:dyDescent="0.3">
      <c r="A106" s="1516"/>
      <c r="B106" s="1490"/>
      <c r="C106" s="1491"/>
      <c r="D106" s="1491"/>
      <c r="E106" s="1491"/>
      <c r="F106" s="1491"/>
      <c r="G106" s="1492"/>
      <c r="H106" s="983"/>
      <c r="I106" s="1017"/>
      <c r="J106" s="1029"/>
      <c r="K106" s="1030"/>
      <c r="L106" s="984"/>
      <c r="M106" s="985"/>
      <c r="N106" s="985"/>
      <c r="O106" s="985"/>
      <c r="P106" s="985"/>
      <c r="Q106" s="978"/>
      <c r="R106" s="972"/>
      <c r="S106" s="973"/>
      <c r="T106" s="1258"/>
      <c r="U106" s="1337"/>
      <c r="Y106" s="74"/>
      <c r="Z106" s="77"/>
      <c r="AA106" s="78"/>
      <c r="AB106" s="78">
        <f t="shared" si="1"/>
        <v>0</v>
      </c>
      <c r="AI106" s="68"/>
      <c r="AJ106" s="68"/>
      <c r="AK106" s="68"/>
    </row>
    <row r="107" spans="1:37" ht="15" customHeight="1" thickBot="1" x14ac:dyDescent="0.3">
      <c r="A107" s="1516"/>
      <c r="B107" s="1487" t="s">
        <v>399</v>
      </c>
      <c r="C107" s="1488"/>
      <c r="D107" s="1488"/>
      <c r="E107" s="1488"/>
      <c r="F107" s="1488"/>
      <c r="G107" s="1489"/>
      <c r="H107" s="981" t="s">
        <v>100</v>
      </c>
      <c r="I107" s="1017"/>
      <c r="J107" s="1029"/>
      <c r="K107" s="1030"/>
      <c r="L107" s="984"/>
      <c r="M107" s="985"/>
      <c r="N107" s="985"/>
      <c r="O107" s="985"/>
      <c r="P107" s="985"/>
      <c r="Q107" s="978" t="s">
        <v>100</v>
      </c>
      <c r="R107" s="972"/>
      <c r="S107" s="973"/>
      <c r="T107" s="1258"/>
      <c r="U107" s="1337"/>
      <c r="V107" s="72">
        <f>IF(AND(Q107="ja",R107=""),1,0)</f>
        <v>0</v>
      </c>
      <c r="Y107" s="74">
        <v>1.5E-3</v>
      </c>
      <c r="Z107" s="77">
        <f>IF(H107="ja",Y107,0)</f>
        <v>0</v>
      </c>
      <c r="AA107" s="78"/>
      <c r="AB107" s="78">
        <f t="shared" si="1"/>
        <v>0</v>
      </c>
      <c r="AI107" s="68"/>
      <c r="AJ107" s="68"/>
      <c r="AK107" s="68"/>
    </row>
    <row r="108" spans="1:37" ht="15" customHeight="1" thickBot="1" x14ac:dyDescent="0.3">
      <c r="A108" s="1516"/>
      <c r="B108" s="1490"/>
      <c r="C108" s="1491"/>
      <c r="D108" s="1491"/>
      <c r="E108" s="1491"/>
      <c r="F108" s="1491"/>
      <c r="G108" s="1492"/>
      <c r="H108" s="983"/>
      <c r="I108" s="1017"/>
      <c r="J108" s="1029"/>
      <c r="K108" s="1030"/>
      <c r="L108" s="984"/>
      <c r="M108" s="985"/>
      <c r="N108" s="985"/>
      <c r="O108" s="985"/>
      <c r="P108" s="985"/>
      <c r="Q108" s="978"/>
      <c r="R108" s="972"/>
      <c r="S108" s="973"/>
      <c r="T108" s="1258"/>
      <c r="U108" s="1337"/>
      <c r="V108" s="339"/>
      <c r="Y108" s="74"/>
      <c r="Z108" s="77"/>
      <c r="AA108" s="78"/>
      <c r="AB108" s="78">
        <f t="shared" si="1"/>
        <v>0</v>
      </c>
      <c r="AI108" s="68"/>
      <c r="AJ108" s="68"/>
      <c r="AK108" s="68"/>
    </row>
    <row r="109" spans="1:37" ht="15" customHeight="1" thickBot="1" x14ac:dyDescent="0.3">
      <c r="A109" s="1516"/>
      <c r="B109" s="1487" t="s">
        <v>400</v>
      </c>
      <c r="C109" s="1488"/>
      <c r="D109" s="1488"/>
      <c r="E109" s="1488"/>
      <c r="F109" s="1488"/>
      <c r="G109" s="1489"/>
      <c r="H109" s="981" t="s">
        <v>100</v>
      </c>
      <c r="I109" s="1017"/>
      <c r="J109" s="1029"/>
      <c r="K109" s="1030"/>
      <c r="L109" s="984"/>
      <c r="M109" s="985"/>
      <c r="N109" s="985"/>
      <c r="O109" s="985"/>
      <c r="P109" s="985"/>
      <c r="Q109" s="978"/>
      <c r="R109" s="972"/>
      <c r="S109" s="973"/>
      <c r="T109" s="1258"/>
      <c r="U109" s="1337"/>
      <c r="V109" s="339"/>
      <c r="Y109" s="74">
        <v>6.4999999999999997E-3</v>
      </c>
      <c r="Z109" s="77">
        <f>IF(H109="ja",Y109,0)</f>
        <v>0</v>
      </c>
      <c r="AA109" s="78"/>
      <c r="AB109" s="78">
        <f t="shared" si="1"/>
        <v>0</v>
      </c>
      <c r="AI109" s="68"/>
      <c r="AJ109" s="68"/>
      <c r="AK109" s="68"/>
    </row>
    <row r="110" spans="1:37" ht="15" customHeight="1" thickBot="1" x14ac:dyDescent="0.3">
      <c r="A110" s="1516"/>
      <c r="B110" s="1490"/>
      <c r="C110" s="1491"/>
      <c r="D110" s="1491"/>
      <c r="E110" s="1491"/>
      <c r="F110" s="1491"/>
      <c r="G110" s="1492"/>
      <c r="H110" s="983"/>
      <c r="I110" s="1017"/>
      <c r="J110" s="1029"/>
      <c r="K110" s="1030"/>
      <c r="L110" s="984"/>
      <c r="M110" s="985"/>
      <c r="N110" s="985"/>
      <c r="O110" s="985"/>
      <c r="P110" s="985"/>
      <c r="Q110" s="978" t="s">
        <v>100</v>
      </c>
      <c r="R110" s="972"/>
      <c r="S110" s="973"/>
      <c r="T110" s="1258"/>
      <c r="U110" s="1337"/>
      <c r="V110" s="72">
        <f>IF(AND(Q110="ja",R110=""),1,0)</f>
        <v>0</v>
      </c>
      <c r="Y110" s="74"/>
      <c r="Z110" s="77"/>
      <c r="AA110" s="78"/>
      <c r="AB110" s="78">
        <f t="shared" si="1"/>
        <v>0</v>
      </c>
      <c r="AI110" s="68"/>
      <c r="AJ110" s="68"/>
      <c r="AK110" s="68"/>
    </row>
    <row r="111" spans="1:37" ht="15" customHeight="1" thickBot="1" x14ac:dyDescent="0.3">
      <c r="A111" s="1516"/>
      <c r="B111" s="1487" t="s">
        <v>401</v>
      </c>
      <c r="C111" s="1488"/>
      <c r="D111" s="1488"/>
      <c r="E111" s="1488"/>
      <c r="F111" s="1488"/>
      <c r="G111" s="1489"/>
      <c r="H111" s="981" t="s">
        <v>100</v>
      </c>
      <c r="I111" s="1017"/>
      <c r="J111" s="1029"/>
      <c r="K111" s="1030"/>
      <c r="L111" s="984"/>
      <c r="M111" s="985"/>
      <c r="N111" s="985"/>
      <c r="O111" s="985"/>
      <c r="P111" s="985"/>
      <c r="Q111" s="978"/>
      <c r="R111" s="972"/>
      <c r="S111" s="973"/>
      <c r="T111" s="1258"/>
      <c r="U111" s="1337"/>
      <c r="Y111" s="74">
        <v>1E-3</v>
      </c>
      <c r="Z111" s="77">
        <f>IF(H111="ja",Y111,0)</f>
        <v>0</v>
      </c>
      <c r="AA111" s="78"/>
      <c r="AB111" s="78">
        <f t="shared" si="1"/>
        <v>0</v>
      </c>
      <c r="AI111" s="68"/>
      <c r="AJ111" s="68"/>
      <c r="AK111" s="68"/>
    </row>
    <row r="112" spans="1:37" ht="15" customHeight="1" thickBot="1" x14ac:dyDescent="0.3">
      <c r="A112" s="1516"/>
      <c r="B112" s="1490"/>
      <c r="C112" s="1491"/>
      <c r="D112" s="1491"/>
      <c r="E112" s="1491"/>
      <c r="F112" s="1491"/>
      <c r="G112" s="1492"/>
      <c r="H112" s="983"/>
      <c r="I112" s="1017"/>
      <c r="J112" s="1029"/>
      <c r="K112" s="1030"/>
      <c r="L112" s="984"/>
      <c r="M112" s="985"/>
      <c r="N112" s="985"/>
      <c r="O112" s="985"/>
      <c r="P112" s="985"/>
      <c r="Q112" s="978"/>
      <c r="R112" s="972"/>
      <c r="S112" s="973"/>
      <c r="T112" s="1258"/>
      <c r="U112" s="1337"/>
      <c r="Y112" s="74"/>
      <c r="Z112" s="77"/>
      <c r="AA112" s="77"/>
      <c r="AB112" s="78">
        <f t="shared" si="1"/>
        <v>0</v>
      </c>
      <c r="AI112" s="68"/>
      <c r="AJ112" s="68"/>
      <c r="AK112" s="68"/>
    </row>
    <row r="113" spans="1:37" ht="15" customHeight="1" thickBot="1" x14ac:dyDescent="0.3">
      <c r="A113" s="1516"/>
      <c r="B113" s="1487" t="s">
        <v>171</v>
      </c>
      <c r="C113" s="1488"/>
      <c r="D113" s="1488"/>
      <c r="E113" s="1488"/>
      <c r="F113" s="1488"/>
      <c r="G113" s="1489"/>
      <c r="H113" s="981" t="s">
        <v>100</v>
      </c>
      <c r="I113" s="1017"/>
      <c r="J113" s="1029"/>
      <c r="K113" s="1030"/>
      <c r="L113" s="1539"/>
      <c r="M113" s="1540"/>
      <c r="N113" s="1540"/>
      <c r="O113" s="1540"/>
      <c r="P113" s="1540"/>
      <c r="Q113" s="978" t="s">
        <v>100</v>
      </c>
      <c r="R113" s="972"/>
      <c r="S113" s="973"/>
      <c r="T113" s="1258"/>
      <c r="U113" s="1337"/>
      <c r="V113" s="72">
        <f>IF(AND(Q113="ja",R113=""),1,0)</f>
        <v>0</v>
      </c>
      <c r="Y113" s="74">
        <v>1.5E-3</v>
      </c>
      <c r="Z113" s="77">
        <f>IF(H113="ja",Y113,0)</f>
        <v>0</v>
      </c>
      <c r="AA113" s="78"/>
      <c r="AB113" s="78">
        <f t="shared" si="1"/>
        <v>0</v>
      </c>
      <c r="AI113" s="68"/>
      <c r="AJ113" s="68"/>
      <c r="AK113" s="68"/>
    </row>
    <row r="114" spans="1:37" ht="15" customHeight="1" thickBot="1" x14ac:dyDescent="0.3">
      <c r="A114" s="1516"/>
      <c r="B114" s="1490"/>
      <c r="C114" s="1491"/>
      <c r="D114" s="1491"/>
      <c r="E114" s="1491"/>
      <c r="F114" s="1491"/>
      <c r="G114" s="1492"/>
      <c r="H114" s="983"/>
      <c r="I114" s="1018"/>
      <c r="J114" s="1031"/>
      <c r="K114" s="1032"/>
      <c r="L114" s="1541"/>
      <c r="M114" s="1542"/>
      <c r="N114" s="1542"/>
      <c r="O114" s="1542"/>
      <c r="P114" s="1542"/>
      <c r="Q114" s="980"/>
      <c r="R114" s="972"/>
      <c r="S114" s="973"/>
      <c r="T114" s="1259"/>
      <c r="U114" s="1337"/>
      <c r="Y114" s="74"/>
      <c r="Z114" s="77"/>
      <c r="AA114" s="78"/>
      <c r="AB114" s="78">
        <f t="shared" si="1"/>
        <v>0</v>
      </c>
      <c r="AI114" s="68"/>
      <c r="AJ114" s="68"/>
      <c r="AK114" s="68"/>
    </row>
    <row r="115" spans="1:37" ht="15" customHeight="1" x14ac:dyDescent="0.25">
      <c r="A115" s="1516"/>
      <c r="B115" s="1035" t="s">
        <v>154</v>
      </c>
      <c r="C115" s="1036"/>
      <c r="D115" s="1036"/>
      <c r="E115" s="1036"/>
      <c r="F115" s="1036"/>
      <c r="G115" s="1036"/>
      <c r="H115" s="1161"/>
      <c r="I115" s="1035">
        <f>IF(N19="Kostenberechnung liegt noch nicht vor",I78,N19)</f>
        <v>33789.782639999998</v>
      </c>
      <c r="J115" s="1036"/>
      <c r="K115" s="1037"/>
      <c r="L115" s="1561">
        <f>SUM(R82:S114)</f>
        <v>0</v>
      </c>
      <c r="M115" s="1562"/>
      <c r="N115" s="1562"/>
      <c r="O115" s="1562"/>
      <c r="P115" s="1580"/>
      <c r="Q115" s="1699"/>
      <c r="R115" s="1699"/>
      <c r="S115" s="1702"/>
      <c r="T115" s="1567"/>
      <c r="U115" s="1567"/>
      <c r="Y115" s="74"/>
      <c r="Z115" s="152">
        <f>SUM(Z82:Z113)</f>
        <v>0</v>
      </c>
      <c r="AA115" s="78"/>
      <c r="AB115" s="78">
        <f t="shared" si="1"/>
        <v>0</v>
      </c>
      <c r="AI115" s="68"/>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700"/>
      <c r="R116" s="1700"/>
      <c r="S116" s="1703"/>
      <c r="T116" s="1568"/>
      <c r="U116" s="1568"/>
      <c r="AA116" s="78"/>
      <c r="AB116" s="78">
        <f t="shared" si="1"/>
        <v>0</v>
      </c>
      <c r="AI116" s="68"/>
      <c r="AJ116" s="68"/>
      <c r="AK116" s="68"/>
    </row>
    <row r="117" spans="1:37" ht="14.55" thickBot="1" x14ac:dyDescent="0.3">
      <c r="A117" s="1516"/>
      <c r="B117" s="1041"/>
      <c r="C117" s="1042"/>
      <c r="D117" s="1042"/>
      <c r="E117" s="1042"/>
      <c r="F117" s="1042"/>
      <c r="G117" s="1042"/>
      <c r="H117" s="1163"/>
      <c r="I117" s="1041"/>
      <c r="J117" s="1042"/>
      <c r="K117" s="1043"/>
      <c r="L117" s="1565"/>
      <c r="M117" s="1566"/>
      <c r="N117" s="1566"/>
      <c r="O117" s="1566"/>
      <c r="P117" s="1582"/>
      <c r="Q117" s="1701"/>
      <c r="R117" s="1701"/>
      <c r="S117" s="1704"/>
      <c r="T117" s="1568"/>
      <c r="U117" s="1569"/>
      <c r="AA117" s="78"/>
      <c r="AB117" s="78">
        <f t="shared" si="1"/>
        <v>0</v>
      </c>
      <c r="AI117" s="68"/>
      <c r="AJ117" s="68"/>
      <c r="AK117" s="68"/>
    </row>
    <row r="118" spans="1:37" ht="14.55" thickBot="1" x14ac:dyDescent="0.3">
      <c r="A118" s="1516"/>
      <c r="B118" s="1511" t="s">
        <v>198</v>
      </c>
      <c r="C118" s="1512"/>
      <c r="D118" s="1512"/>
      <c r="E118" s="1512"/>
      <c r="F118" s="1512"/>
      <c r="G118" s="1512"/>
      <c r="H118" s="337"/>
      <c r="I118" s="1361"/>
      <c r="J118" s="1362"/>
      <c r="K118" s="1576"/>
      <c r="L118" s="1536"/>
      <c r="M118" s="1302"/>
      <c r="N118" s="1302"/>
      <c r="O118" s="1302"/>
      <c r="P118" s="1302"/>
      <c r="Q118" s="346"/>
      <c r="R118" s="1694"/>
      <c r="S118" s="1695"/>
      <c r="T118" s="334"/>
      <c r="U118" s="334"/>
      <c r="AA118" s="78"/>
      <c r="AB118" s="78">
        <f t="shared" si="1"/>
        <v>0</v>
      </c>
      <c r="AI118" s="68"/>
      <c r="AJ118" s="68"/>
      <c r="AK118" s="68"/>
    </row>
    <row r="119" spans="1:37" ht="15" customHeight="1" thickBot="1" x14ac:dyDescent="0.3">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978" t="s">
        <v>100</v>
      </c>
      <c r="R119" s="972"/>
      <c r="S119" s="973"/>
      <c r="T119" s="1257" t="str">
        <f>IFERROR(IF((VLOOKUP(U119,Überblick!$M$125:$N$133,2))="ja","ja","nein"),"")</f>
        <v/>
      </c>
      <c r="U119" s="1337"/>
      <c r="V119" s="72">
        <f>IF(AND(Q119="ja",R119=""),1,0)</f>
        <v>0</v>
      </c>
      <c r="Y119" s="74">
        <v>1.7500000000000002E-2</v>
      </c>
      <c r="Z119" s="77">
        <f>IF(H119="ja",Y119,0)</f>
        <v>0</v>
      </c>
      <c r="AA119" s="78"/>
      <c r="AB119" s="78">
        <f t="shared" si="1"/>
        <v>0</v>
      </c>
      <c r="AI119" s="68"/>
      <c r="AJ119" s="68"/>
      <c r="AK119" s="68"/>
    </row>
    <row r="120" spans="1:37" ht="15" customHeight="1" thickBot="1" x14ac:dyDescent="0.3">
      <c r="A120" s="1516"/>
      <c r="B120" s="1493"/>
      <c r="C120" s="1317"/>
      <c r="D120" s="1317"/>
      <c r="E120" s="1317"/>
      <c r="F120" s="1317"/>
      <c r="G120" s="1494"/>
      <c r="H120" s="982"/>
      <c r="I120" s="1017"/>
      <c r="J120" s="1029"/>
      <c r="K120" s="1030"/>
      <c r="L120" s="984"/>
      <c r="M120" s="985"/>
      <c r="N120" s="985"/>
      <c r="O120" s="985"/>
      <c r="P120" s="985"/>
      <c r="Q120" s="978"/>
      <c r="R120" s="972"/>
      <c r="S120" s="973"/>
      <c r="T120" s="1258"/>
      <c r="U120" s="1337"/>
      <c r="V120" s="339"/>
      <c r="Y120" s="74"/>
      <c r="Z120" s="77"/>
      <c r="AA120" s="78"/>
      <c r="AB120" s="78">
        <f t="shared" si="1"/>
        <v>0</v>
      </c>
      <c r="AI120" s="68"/>
      <c r="AJ120" s="68"/>
      <c r="AK120" s="68"/>
    </row>
    <row r="121" spans="1:37" ht="15" customHeight="1" thickBot="1" x14ac:dyDescent="0.3">
      <c r="A121" s="1516"/>
      <c r="B121" s="1493"/>
      <c r="C121" s="1317"/>
      <c r="D121" s="1317"/>
      <c r="E121" s="1317"/>
      <c r="F121" s="1317"/>
      <c r="G121" s="1494"/>
      <c r="H121" s="982"/>
      <c r="I121" s="1017"/>
      <c r="J121" s="1029"/>
      <c r="K121" s="1030"/>
      <c r="L121" s="984"/>
      <c r="M121" s="985"/>
      <c r="N121" s="985"/>
      <c r="O121" s="985"/>
      <c r="P121" s="985"/>
      <c r="Q121" s="978"/>
      <c r="R121" s="972"/>
      <c r="S121" s="973"/>
      <c r="T121" s="1258"/>
      <c r="U121" s="1337"/>
      <c r="V121" s="339"/>
      <c r="Y121" s="74"/>
      <c r="Z121" s="77"/>
      <c r="AA121" s="78"/>
      <c r="AB121" s="78">
        <f t="shared" si="1"/>
        <v>0</v>
      </c>
      <c r="AI121" s="68"/>
      <c r="AJ121" s="68"/>
      <c r="AK121" s="68"/>
    </row>
    <row r="122" spans="1:37" ht="15" customHeight="1" thickBot="1" x14ac:dyDescent="0.3">
      <c r="A122" s="1516"/>
      <c r="B122" s="1493"/>
      <c r="C122" s="1317"/>
      <c r="D122" s="1317"/>
      <c r="E122" s="1317"/>
      <c r="F122" s="1317"/>
      <c r="G122" s="1494"/>
      <c r="H122" s="982"/>
      <c r="I122" s="1017"/>
      <c r="J122" s="1029"/>
      <c r="K122" s="1030"/>
      <c r="L122" s="984"/>
      <c r="M122" s="985"/>
      <c r="N122" s="985"/>
      <c r="O122" s="985"/>
      <c r="P122" s="985"/>
      <c r="Q122" s="978" t="s">
        <v>100</v>
      </c>
      <c r="R122" s="972"/>
      <c r="S122" s="973"/>
      <c r="T122" s="1258"/>
      <c r="U122" s="1337"/>
      <c r="V122" s="72">
        <f>IF(AND(Q122="ja",R122=""),1,0)</f>
        <v>0</v>
      </c>
      <c r="Y122" s="74"/>
      <c r="Z122" s="77"/>
      <c r="AA122" s="78"/>
      <c r="AB122" s="78">
        <f t="shared" si="1"/>
        <v>0</v>
      </c>
      <c r="AI122" s="68"/>
      <c r="AJ122" s="68"/>
      <c r="AK122" s="68"/>
    </row>
    <row r="123" spans="1:37" ht="15" customHeight="1" thickBot="1" x14ac:dyDescent="0.3">
      <c r="A123" s="1516"/>
      <c r="B123" s="1490"/>
      <c r="C123" s="1491"/>
      <c r="D123" s="1491"/>
      <c r="E123" s="1491"/>
      <c r="F123" s="1491"/>
      <c r="G123" s="1492"/>
      <c r="H123" s="983"/>
      <c r="I123" s="1017"/>
      <c r="J123" s="1029"/>
      <c r="K123" s="1030"/>
      <c r="L123" s="984"/>
      <c r="M123" s="985"/>
      <c r="N123" s="985"/>
      <c r="O123" s="985"/>
      <c r="P123" s="985"/>
      <c r="Q123" s="978"/>
      <c r="R123" s="972"/>
      <c r="S123" s="973"/>
      <c r="T123" s="1258"/>
      <c r="U123" s="1337"/>
      <c r="Y123" s="74"/>
      <c r="Z123" s="77"/>
      <c r="AA123" s="78"/>
      <c r="AB123" s="78">
        <f t="shared" si="1"/>
        <v>0</v>
      </c>
      <c r="AI123" s="68"/>
      <c r="AJ123" s="68"/>
      <c r="AK123" s="68"/>
    </row>
    <row r="124" spans="1:37" ht="15" customHeight="1" thickBot="1" x14ac:dyDescent="0.3">
      <c r="A124" s="1516"/>
      <c r="B124" s="1487" t="s">
        <v>403</v>
      </c>
      <c r="C124" s="1488"/>
      <c r="D124" s="1488"/>
      <c r="E124" s="1488"/>
      <c r="F124" s="1488"/>
      <c r="G124" s="1489"/>
      <c r="H124" s="981" t="s">
        <v>100</v>
      </c>
      <c r="I124" s="1017"/>
      <c r="J124" s="1029"/>
      <c r="K124" s="1030"/>
      <c r="L124" s="984"/>
      <c r="M124" s="985"/>
      <c r="N124" s="985"/>
      <c r="O124" s="985"/>
      <c r="P124" s="985"/>
      <c r="Q124" s="978"/>
      <c r="R124" s="972"/>
      <c r="S124" s="973"/>
      <c r="T124" s="1258"/>
      <c r="U124" s="1337"/>
      <c r="Y124" s="74">
        <v>2.5000000000000001E-3</v>
      </c>
      <c r="Z124" s="77">
        <f>IF(H124="ja",Y124,0)</f>
        <v>0</v>
      </c>
      <c r="AA124" s="77"/>
      <c r="AB124" s="78">
        <f t="shared" si="1"/>
        <v>0</v>
      </c>
      <c r="AI124" s="68"/>
      <c r="AJ124" s="68"/>
      <c r="AK124" s="68"/>
    </row>
    <row r="125" spans="1:37" ht="15" customHeight="1" thickBot="1" x14ac:dyDescent="0.3">
      <c r="A125" s="1516"/>
      <c r="B125" s="1493"/>
      <c r="C125" s="1317"/>
      <c r="D125" s="1317"/>
      <c r="E125" s="1317"/>
      <c r="F125" s="1317"/>
      <c r="G125" s="1494"/>
      <c r="H125" s="982"/>
      <c r="I125" s="1017"/>
      <c r="J125" s="1029"/>
      <c r="K125" s="1030"/>
      <c r="L125" s="1539"/>
      <c r="M125" s="1540"/>
      <c r="N125" s="1540"/>
      <c r="O125" s="1540"/>
      <c r="P125" s="1540"/>
      <c r="Q125" s="978" t="s">
        <v>100</v>
      </c>
      <c r="R125" s="972"/>
      <c r="S125" s="973"/>
      <c r="T125" s="1258"/>
      <c r="U125" s="1337"/>
      <c r="V125" s="72">
        <f>IF(AND(Q125="ja",R125=""),1,0)</f>
        <v>0</v>
      </c>
      <c r="Y125" s="74"/>
      <c r="Z125" s="77"/>
      <c r="AA125" s="78"/>
      <c r="AB125" s="78">
        <f t="shared" si="1"/>
        <v>0</v>
      </c>
      <c r="AI125" s="68"/>
      <c r="AJ125" s="68"/>
      <c r="AK125" s="68"/>
    </row>
    <row r="126" spans="1:37" ht="15" customHeight="1" thickBot="1" x14ac:dyDescent="0.3">
      <c r="A126" s="1516"/>
      <c r="B126" s="1490"/>
      <c r="C126" s="1491"/>
      <c r="D126" s="1491"/>
      <c r="E126" s="1491"/>
      <c r="F126" s="1491"/>
      <c r="G126" s="1492"/>
      <c r="H126" s="983"/>
      <c r="I126" s="1018"/>
      <c r="J126" s="1031"/>
      <c r="K126" s="1032"/>
      <c r="L126" s="1559"/>
      <c r="M126" s="1560"/>
      <c r="N126" s="1560"/>
      <c r="O126" s="1560"/>
      <c r="P126" s="1560"/>
      <c r="Q126" s="980"/>
      <c r="R126" s="972"/>
      <c r="S126" s="973"/>
      <c r="T126" s="1611"/>
      <c r="U126" s="1337"/>
      <c r="V126" s="339"/>
      <c r="Y126" s="74"/>
      <c r="Z126" s="77"/>
      <c r="AA126" s="78"/>
      <c r="AB126" s="78">
        <f t="shared" si="1"/>
        <v>0</v>
      </c>
      <c r="AI126" s="68"/>
      <c r="AJ126" s="68"/>
      <c r="AK126" s="68"/>
    </row>
    <row r="127" spans="1:37"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46"/>
      <c r="R127" s="1694"/>
      <c r="S127" s="1695"/>
      <c r="U127" s="334"/>
      <c r="V127" s="339"/>
      <c r="Y127" s="74"/>
      <c r="Z127" s="152">
        <f>SUM(Z119:Z124)</f>
        <v>0</v>
      </c>
      <c r="AA127" s="78"/>
      <c r="AB127" s="78">
        <f t="shared" si="1"/>
        <v>0</v>
      </c>
      <c r="AI127" s="68"/>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78">
        <f t="shared" si="1"/>
        <v>0</v>
      </c>
      <c r="AI128" s="68"/>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78">
        <f t="shared" si="1"/>
        <v>0</v>
      </c>
      <c r="AI129" s="68"/>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78">
        <f t="shared" si="1"/>
        <v>0</v>
      </c>
      <c r="AI130" s="68"/>
      <c r="AJ130" s="68"/>
      <c r="AK130" s="68"/>
    </row>
    <row r="131" spans="1:37" ht="14.25" customHeight="1" x14ac:dyDescent="0.25">
      <c r="A131" s="1523"/>
      <c r="B131" s="1493"/>
      <c r="C131" s="1317"/>
      <c r="D131" s="1317"/>
      <c r="E131" s="1317"/>
      <c r="F131" s="1317"/>
      <c r="G131" s="1494"/>
      <c r="H131" s="982"/>
      <c r="I131" s="1663"/>
      <c r="J131" s="1528"/>
      <c r="K131" s="1529"/>
      <c r="L131" s="984" t="s">
        <v>406</v>
      </c>
      <c r="M131" s="985"/>
      <c r="N131" s="985"/>
      <c r="O131" s="985"/>
      <c r="P131" s="985"/>
      <c r="Q131" s="978" t="s">
        <v>100</v>
      </c>
      <c r="R131" s="972"/>
      <c r="S131" s="973"/>
      <c r="T131" s="1621"/>
      <c r="U131" s="1372"/>
      <c r="V131" s="72">
        <f>IF(AND(Q131="ja",R131=""),1,0)</f>
        <v>0</v>
      </c>
      <c r="Y131" s="74"/>
      <c r="Z131" s="77"/>
      <c r="AA131" s="78"/>
      <c r="AB131" s="78">
        <f t="shared" si="1"/>
        <v>0</v>
      </c>
      <c r="AI131" s="68"/>
      <c r="AJ131" s="68"/>
      <c r="AK131" s="68"/>
    </row>
    <row r="132" spans="1:37" ht="14.25" customHeight="1" x14ac:dyDescent="0.25">
      <c r="A132" s="1523"/>
      <c r="B132" s="1490"/>
      <c r="C132" s="1491"/>
      <c r="D132" s="1491"/>
      <c r="E132" s="1491"/>
      <c r="F132" s="1491"/>
      <c r="G132" s="1492"/>
      <c r="H132" s="983"/>
      <c r="I132" s="1663"/>
      <c r="J132" s="1528"/>
      <c r="K132" s="1529"/>
      <c r="L132" s="984"/>
      <c r="M132" s="985"/>
      <c r="N132" s="985"/>
      <c r="O132" s="985"/>
      <c r="P132" s="985"/>
      <c r="Q132" s="978"/>
      <c r="R132" s="972"/>
      <c r="S132" s="973"/>
      <c r="T132" s="1621"/>
      <c r="U132" s="1372"/>
      <c r="Y132" s="74"/>
      <c r="Z132" s="77"/>
      <c r="AA132" s="78"/>
      <c r="AB132" s="78">
        <f t="shared" si="1"/>
        <v>0</v>
      </c>
      <c r="AI132" s="68"/>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78">
        <f t="shared" si="1"/>
        <v>0</v>
      </c>
      <c r="AI133" s="68"/>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78">
        <f t="shared" si="1"/>
        <v>0</v>
      </c>
      <c r="AI134" s="68"/>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78">
        <f t="shared" si="1"/>
        <v>0</v>
      </c>
      <c r="AI135" s="68"/>
      <c r="AJ135" s="68"/>
      <c r="AK135" s="68"/>
    </row>
    <row r="136" spans="1:37"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972"/>
      <c r="S136" s="973"/>
      <c r="T136" s="1621"/>
      <c r="U136" s="1372"/>
      <c r="V136" s="72">
        <f>IF(AND(Q136="ja",R136=""),1,0)</f>
        <v>0</v>
      </c>
      <c r="AA136" s="78"/>
      <c r="AB136" s="78">
        <f t="shared" si="1"/>
        <v>0</v>
      </c>
      <c r="AI136" s="68"/>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78">
        <f t="shared" si="1"/>
        <v>0</v>
      </c>
      <c r="AI137" s="68"/>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78">
        <f t="shared" si="1"/>
        <v>0</v>
      </c>
      <c r="AI138" s="68"/>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78">
        <f t="shared" si="1"/>
        <v>0</v>
      </c>
      <c r="AI139" s="68"/>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78">
        <f t="shared" si="1"/>
        <v>0</v>
      </c>
      <c r="AI140" s="68"/>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78">
        <f t="shared" si="1"/>
        <v>0</v>
      </c>
      <c r="AI141" s="68"/>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78">
        <f t="shared" si="1"/>
        <v>0</v>
      </c>
      <c r="AI142" s="68"/>
      <c r="AJ142" s="68"/>
      <c r="AK142" s="68"/>
    </row>
    <row r="143" spans="1:37" x14ac:dyDescent="0.25">
      <c r="A143" s="496" t="s">
        <v>210</v>
      </c>
      <c r="B143" s="1103" t="s">
        <v>409</v>
      </c>
      <c r="C143" s="1104"/>
      <c r="D143" s="1104"/>
      <c r="E143" s="1104"/>
      <c r="F143" s="1104"/>
      <c r="G143" s="1105"/>
      <c r="H143" s="314" t="s">
        <v>100</v>
      </c>
      <c r="I143" s="328">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78">
        <f t="shared" si="1"/>
        <v>0</v>
      </c>
      <c r="AI143" s="68"/>
      <c r="AJ143" s="68"/>
      <c r="AK143" s="68"/>
    </row>
    <row r="144" spans="1:37" x14ac:dyDescent="0.25">
      <c r="A144" s="496" t="s">
        <v>212</v>
      </c>
      <c r="B144" s="1103" t="s">
        <v>410</v>
      </c>
      <c r="C144" s="1104"/>
      <c r="D144" s="1104"/>
      <c r="E144" s="1104"/>
      <c r="F144" s="1104"/>
      <c r="G144" s="1105"/>
      <c r="H144" s="314" t="s">
        <v>100</v>
      </c>
      <c r="I144" s="328">
        <f>Z144</f>
        <v>0</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0</v>
      </c>
      <c r="AA144" s="78"/>
      <c r="AB144" s="78">
        <f t="shared" si="1"/>
        <v>0</v>
      </c>
      <c r="AI144" s="68"/>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78">
        <f t="shared" si="1"/>
        <v>0</v>
      </c>
      <c r="AI145" s="68"/>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78">
        <f t="shared" si="1"/>
        <v>0</v>
      </c>
      <c r="AI146" s="68"/>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78">
        <f t="shared" si="1"/>
        <v>0</v>
      </c>
      <c r="AI147" s="68"/>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78">
        <f t="shared" si="1"/>
        <v>0</v>
      </c>
      <c r="AI148" s="68"/>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78">
        <f t="shared" si="1"/>
        <v>0</v>
      </c>
      <c r="AI149" s="68"/>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78">
        <f t="shared" si="1"/>
        <v>0</v>
      </c>
      <c r="AI150" s="68"/>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78">
        <f t="shared" si="1"/>
        <v>0</v>
      </c>
      <c r="AI151" s="68"/>
      <c r="AJ151" s="68"/>
      <c r="AK151" s="68"/>
    </row>
    <row r="152" spans="1:37"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78">
        <f t="shared" si="1"/>
        <v>0</v>
      </c>
      <c r="AI152" s="68"/>
      <c r="AJ152" s="68"/>
      <c r="AK152" s="68"/>
    </row>
    <row r="153" spans="1:37" ht="14.55" thickBot="1" x14ac:dyDescent="0.3">
      <c r="A153" s="1595" t="s">
        <v>497</v>
      </c>
      <c r="B153" s="1511" t="s">
        <v>414</v>
      </c>
      <c r="C153" s="1512"/>
      <c r="D153" s="1512"/>
      <c r="E153" s="1512"/>
      <c r="F153" s="1512"/>
      <c r="G153" s="1513"/>
      <c r="H153" s="342"/>
      <c r="I153" s="1361"/>
      <c r="J153" s="1362"/>
      <c r="K153" s="1362"/>
      <c r="L153" s="1534">
        <f>SUM(Q128:R152)</f>
        <v>0</v>
      </c>
      <c r="M153" s="1535"/>
      <c r="N153" s="1535"/>
      <c r="O153" s="1535"/>
      <c r="P153" s="1535"/>
      <c r="Q153" s="346"/>
      <c r="R153" s="1694"/>
      <c r="S153" s="1695"/>
      <c r="U153" s="334"/>
      <c r="Y153" s="74"/>
      <c r="Z153" s="152">
        <f>SUM(Z128:Z150)</f>
        <v>0</v>
      </c>
      <c r="AA153" s="78"/>
      <c r="AB153" s="78">
        <f t="shared" si="1"/>
        <v>0</v>
      </c>
      <c r="AI153" s="68"/>
      <c r="AJ153" s="68"/>
      <c r="AK153" s="68"/>
    </row>
    <row r="154" spans="1:37" ht="15" customHeight="1" thickBot="1" x14ac:dyDescent="0.3">
      <c r="A154" s="1595"/>
      <c r="B154" s="1497" t="s">
        <v>415</v>
      </c>
      <c r="C154" s="1498"/>
      <c r="D154" s="1498"/>
      <c r="E154" s="1498"/>
      <c r="F154" s="1498"/>
      <c r="G154" s="1499"/>
      <c r="H154" s="1194" t="s">
        <v>100</v>
      </c>
      <c r="I154" s="1016">
        <f>Z177</f>
        <v>0</v>
      </c>
      <c r="J154" s="1027">
        <f>I115*I154</f>
        <v>0</v>
      </c>
      <c r="K154" s="1028"/>
      <c r="L154" s="1285" t="s">
        <v>416</v>
      </c>
      <c r="M154" s="1286"/>
      <c r="N154" s="1286"/>
      <c r="O154" s="1286"/>
      <c r="P154" s="1287"/>
      <c r="Q154" s="1295" t="s">
        <v>100</v>
      </c>
      <c r="R154" s="1619"/>
      <c r="S154" s="1620"/>
      <c r="T154" s="1257" t="str">
        <f>IFERROR(IF((VLOOKUP(U154,Überblick!$M$125:$N$133,2))="ja","ja","nein"),"")</f>
        <v/>
      </c>
      <c r="U154" s="1337"/>
      <c r="V154" s="72">
        <f>IF(AND(Q154="ja",R154=""),1,0)</f>
        <v>0</v>
      </c>
      <c r="Y154" s="74">
        <v>2.9000000000000001E-2</v>
      </c>
      <c r="Z154" s="77">
        <f>IF(H154="ja",Y154,0)</f>
        <v>0</v>
      </c>
      <c r="AA154" s="78"/>
      <c r="AB154" s="78">
        <f t="shared" si="1"/>
        <v>0</v>
      </c>
      <c r="AI154" s="68"/>
      <c r="AJ154" s="68"/>
      <c r="AK154" s="68"/>
    </row>
    <row r="155" spans="1:37" ht="15" customHeight="1" thickBot="1" x14ac:dyDescent="0.3">
      <c r="A155" s="1595"/>
      <c r="B155" s="1493"/>
      <c r="C155" s="1317"/>
      <c r="D155" s="1317"/>
      <c r="E155" s="1317"/>
      <c r="F155" s="1317"/>
      <c r="G155" s="1494"/>
      <c r="H155" s="982"/>
      <c r="I155" s="1017"/>
      <c r="J155" s="1029"/>
      <c r="K155" s="1030"/>
      <c r="L155" s="1288"/>
      <c r="M155" s="1289"/>
      <c r="N155" s="1289"/>
      <c r="O155" s="1289"/>
      <c r="P155" s="1290"/>
      <c r="Q155" s="978"/>
      <c r="R155" s="972"/>
      <c r="S155" s="973"/>
      <c r="T155" s="1258"/>
      <c r="U155" s="1337"/>
      <c r="Y155" s="74"/>
      <c r="Z155" s="77"/>
      <c r="AA155" s="78"/>
      <c r="AB155" s="78">
        <f t="shared" si="1"/>
        <v>0</v>
      </c>
      <c r="AI155" s="68"/>
      <c r="AJ155" s="68"/>
      <c r="AK155" s="68"/>
    </row>
    <row r="156" spans="1:37" ht="15" customHeight="1" thickBot="1" x14ac:dyDescent="0.3">
      <c r="A156" s="1595"/>
      <c r="B156" s="1490"/>
      <c r="C156" s="1491"/>
      <c r="D156" s="1491"/>
      <c r="E156" s="1491"/>
      <c r="F156" s="1491"/>
      <c r="G156" s="1492"/>
      <c r="H156" s="983"/>
      <c r="I156" s="1017"/>
      <c r="J156" s="1029"/>
      <c r="K156" s="1030"/>
      <c r="L156" s="1291"/>
      <c r="M156" s="1292"/>
      <c r="N156" s="1292"/>
      <c r="O156" s="1292"/>
      <c r="P156" s="1293"/>
      <c r="Q156" s="978"/>
      <c r="R156" s="972"/>
      <c r="S156" s="973"/>
      <c r="T156" s="1258"/>
      <c r="U156" s="1337"/>
      <c r="Y156" s="74"/>
      <c r="Z156" s="77"/>
      <c r="AA156" s="78"/>
      <c r="AB156" s="78">
        <f t="shared" si="1"/>
        <v>0</v>
      </c>
      <c r="AI156" s="68"/>
      <c r="AJ156" s="68"/>
      <c r="AK156" s="68"/>
    </row>
    <row r="157" spans="1:37" ht="15" customHeight="1" thickBot="1" x14ac:dyDescent="0.3">
      <c r="A157" s="1595"/>
      <c r="B157" s="1487" t="s">
        <v>417</v>
      </c>
      <c r="C157" s="1488"/>
      <c r="D157" s="1488"/>
      <c r="E157" s="1488"/>
      <c r="F157" s="1488"/>
      <c r="G157" s="1489"/>
      <c r="H157" s="981" t="s">
        <v>100</v>
      </c>
      <c r="I157" s="1017"/>
      <c r="J157" s="1029"/>
      <c r="K157" s="1030"/>
      <c r="L157" s="1484" t="s">
        <v>418</v>
      </c>
      <c r="M157" s="1485"/>
      <c r="N157" s="1485"/>
      <c r="O157" s="1485"/>
      <c r="P157" s="1486"/>
      <c r="Q157" s="978" t="s">
        <v>100</v>
      </c>
      <c r="R157" s="972"/>
      <c r="S157" s="973"/>
      <c r="T157" s="1258"/>
      <c r="U157" s="1337"/>
      <c r="V157" s="72">
        <f>IF(AND(Q157="ja",R157=""),1,0)</f>
        <v>0</v>
      </c>
      <c r="Y157" s="74">
        <v>3.0499999999999999E-2</v>
      </c>
      <c r="Z157" s="77">
        <f>IF(H157="ja",Y157,0)</f>
        <v>0</v>
      </c>
      <c r="AA157" s="78"/>
      <c r="AB157" s="78">
        <f t="shared" si="1"/>
        <v>0</v>
      </c>
      <c r="AI157" s="68"/>
      <c r="AJ157" s="68"/>
      <c r="AK157" s="68"/>
    </row>
    <row r="158" spans="1:37" ht="15" customHeight="1" thickBot="1" x14ac:dyDescent="0.3">
      <c r="A158" s="1595"/>
      <c r="B158" s="1493"/>
      <c r="C158" s="1317"/>
      <c r="D158" s="1317"/>
      <c r="E158" s="1317"/>
      <c r="F158" s="1317"/>
      <c r="G158" s="1494"/>
      <c r="H158" s="982"/>
      <c r="I158" s="1017"/>
      <c r="J158" s="1029"/>
      <c r="K158" s="1030"/>
      <c r="L158" s="1288"/>
      <c r="M158" s="1289"/>
      <c r="N158" s="1289"/>
      <c r="O158" s="1289"/>
      <c r="P158" s="1290"/>
      <c r="Q158" s="978"/>
      <c r="R158" s="972"/>
      <c r="S158" s="973"/>
      <c r="T158" s="1258"/>
      <c r="U158" s="1337"/>
      <c r="Y158" s="74"/>
      <c r="Z158" s="77"/>
      <c r="AA158" s="78"/>
      <c r="AB158" s="78">
        <f t="shared" si="1"/>
        <v>0</v>
      </c>
      <c r="AI158" s="68"/>
      <c r="AJ158" s="68"/>
      <c r="AK158" s="68"/>
    </row>
    <row r="159" spans="1:37" ht="15" customHeight="1" thickBot="1" x14ac:dyDescent="0.3">
      <c r="A159" s="1595"/>
      <c r="B159" s="1493"/>
      <c r="C159" s="1317"/>
      <c r="D159" s="1317"/>
      <c r="E159" s="1317"/>
      <c r="F159" s="1317"/>
      <c r="G159" s="1494"/>
      <c r="H159" s="982"/>
      <c r="I159" s="1017"/>
      <c r="J159" s="1029"/>
      <c r="K159" s="1030"/>
      <c r="L159" s="1288"/>
      <c r="M159" s="1289"/>
      <c r="N159" s="1289"/>
      <c r="O159" s="1289"/>
      <c r="P159" s="1290"/>
      <c r="Q159" s="978"/>
      <c r="R159" s="972"/>
      <c r="S159" s="973"/>
      <c r="T159" s="1258"/>
      <c r="U159" s="1337"/>
      <c r="Y159" s="74"/>
      <c r="Z159" s="77"/>
      <c r="AA159" s="78"/>
      <c r="AB159" s="78">
        <f t="shared" si="1"/>
        <v>0</v>
      </c>
      <c r="AI159" s="68"/>
      <c r="AJ159" s="68"/>
      <c r="AK159" s="68"/>
    </row>
    <row r="160" spans="1:37" ht="15" customHeight="1" thickBot="1" x14ac:dyDescent="0.3">
      <c r="A160" s="1595"/>
      <c r="B160" s="1493"/>
      <c r="C160" s="1317"/>
      <c r="D160" s="1317"/>
      <c r="E160" s="1317"/>
      <c r="F160" s="1317"/>
      <c r="G160" s="1494"/>
      <c r="H160" s="982"/>
      <c r="I160" s="1017"/>
      <c r="J160" s="1029"/>
      <c r="K160" s="1030"/>
      <c r="L160" s="1288"/>
      <c r="M160" s="1289"/>
      <c r="N160" s="1289"/>
      <c r="O160" s="1289"/>
      <c r="P160" s="1290"/>
      <c r="Q160" s="978"/>
      <c r="R160" s="972"/>
      <c r="S160" s="973"/>
      <c r="T160" s="1258"/>
      <c r="U160" s="1337"/>
      <c r="Y160" s="74"/>
      <c r="Z160" s="77"/>
      <c r="AA160" s="78"/>
      <c r="AB160" s="78">
        <f t="shared" si="1"/>
        <v>0</v>
      </c>
      <c r="AI160" s="68"/>
      <c r="AJ160" s="68"/>
      <c r="AK160" s="68"/>
    </row>
    <row r="161" spans="1:37" ht="15" customHeight="1" thickBot="1" x14ac:dyDescent="0.3">
      <c r="A161" s="1595"/>
      <c r="B161" s="1493"/>
      <c r="C161" s="1317"/>
      <c r="D161" s="1317"/>
      <c r="E161" s="1317"/>
      <c r="F161" s="1317"/>
      <c r="G161" s="1494"/>
      <c r="H161" s="982"/>
      <c r="I161" s="1017"/>
      <c r="J161" s="1029"/>
      <c r="K161" s="1030"/>
      <c r="L161" s="1288"/>
      <c r="M161" s="1289"/>
      <c r="N161" s="1289"/>
      <c r="O161" s="1289"/>
      <c r="P161" s="1290"/>
      <c r="Q161" s="978"/>
      <c r="R161" s="972"/>
      <c r="S161" s="973"/>
      <c r="T161" s="1258"/>
      <c r="U161" s="1337"/>
      <c r="Y161" s="74"/>
      <c r="Z161" s="77"/>
      <c r="AA161" s="78"/>
      <c r="AB161" s="78">
        <f t="shared" si="1"/>
        <v>0</v>
      </c>
      <c r="AI161" s="68"/>
      <c r="AJ161" s="68"/>
      <c r="AK161" s="68"/>
    </row>
    <row r="162" spans="1:37" ht="15" customHeight="1" thickBot="1" x14ac:dyDescent="0.3">
      <c r="A162" s="1595"/>
      <c r="B162" s="1493"/>
      <c r="C162" s="1317"/>
      <c r="D162" s="1317"/>
      <c r="E162" s="1317"/>
      <c r="F162" s="1317"/>
      <c r="G162" s="1494"/>
      <c r="H162" s="982"/>
      <c r="I162" s="1017"/>
      <c r="J162" s="1029"/>
      <c r="K162" s="1030"/>
      <c r="L162" s="1288"/>
      <c r="M162" s="1289"/>
      <c r="N162" s="1289"/>
      <c r="O162" s="1289"/>
      <c r="P162" s="1290"/>
      <c r="Q162" s="978"/>
      <c r="R162" s="972"/>
      <c r="S162" s="973"/>
      <c r="T162" s="1258"/>
      <c r="U162" s="1337"/>
      <c r="Y162" s="74"/>
      <c r="Z162" s="77"/>
      <c r="AA162" s="78"/>
      <c r="AB162" s="78">
        <f t="shared" si="1"/>
        <v>0</v>
      </c>
      <c r="AI162" s="68"/>
      <c r="AJ162" s="68"/>
      <c r="AK162" s="68"/>
    </row>
    <row r="163" spans="1:37" ht="15" customHeight="1" thickBot="1" x14ac:dyDescent="0.3">
      <c r="A163" s="1595"/>
      <c r="B163" s="1493"/>
      <c r="C163" s="1317"/>
      <c r="D163" s="1317"/>
      <c r="E163" s="1317"/>
      <c r="F163" s="1317"/>
      <c r="G163" s="1494"/>
      <c r="H163" s="982"/>
      <c r="I163" s="1017"/>
      <c r="J163" s="1029"/>
      <c r="K163" s="1030"/>
      <c r="L163" s="1288"/>
      <c r="M163" s="1289"/>
      <c r="N163" s="1289"/>
      <c r="O163" s="1289"/>
      <c r="P163" s="1290"/>
      <c r="Q163" s="978"/>
      <c r="R163" s="972"/>
      <c r="S163" s="973"/>
      <c r="T163" s="1258"/>
      <c r="U163" s="1337"/>
      <c r="Y163" s="74"/>
      <c r="Z163" s="77"/>
      <c r="AA163" s="78"/>
      <c r="AB163" s="78">
        <f t="shared" si="1"/>
        <v>0</v>
      </c>
      <c r="AI163" s="68"/>
      <c r="AJ163" s="68"/>
      <c r="AK163" s="68"/>
    </row>
    <row r="164" spans="1:37" ht="15" customHeight="1" thickBot="1" x14ac:dyDescent="0.3">
      <c r="A164" s="1595"/>
      <c r="B164" s="1493"/>
      <c r="C164" s="1317"/>
      <c r="D164" s="1317"/>
      <c r="E164" s="1317"/>
      <c r="F164" s="1317"/>
      <c r="G164" s="1494"/>
      <c r="H164" s="982"/>
      <c r="I164" s="1017"/>
      <c r="J164" s="1029"/>
      <c r="K164" s="1030"/>
      <c r="L164" s="1288"/>
      <c r="M164" s="1289"/>
      <c r="N164" s="1289"/>
      <c r="O164" s="1289"/>
      <c r="P164" s="1290"/>
      <c r="Q164" s="978"/>
      <c r="R164" s="972"/>
      <c r="S164" s="973"/>
      <c r="T164" s="1258"/>
      <c r="U164" s="1337"/>
      <c r="Y164" s="74"/>
      <c r="Z164" s="77"/>
      <c r="AA164" s="78"/>
      <c r="AB164" s="78">
        <f t="shared" si="1"/>
        <v>0</v>
      </c>
      <c r="AI164" s="68"/>
      <c r="AJ164" s="68"/>
      <c r="AK164" s="68"/>
    </row>
    <row r="165" spans="1:37" ht="15" customHeight="1" thickBot="1" x14ac:dyDescent="0.3">
      <c r="A165" s="1595"/>
      <c r="B165" s="1493"/>
      <c r="C165" s="1317"/>
      <c r="D165" s="1317"/>
      <c r="E165" s="1317"/>
      <c r="F165" s="1317"/>
      <c r="G165" s="1494"/>
      <c r="H165" s="982"/>
      <c r="I165" s="1017"/>
      <c r="J165" s="1029"/>
      <c r="K165" s="1030"/>
      <c r="L165" s="1291"/>
      <c r="M165" s="1292"/>
      <c r="N165" s="1292"/>
      <c r="O165" s="1292"/>
      <c r="P165" s="1293"/>
      <c r="Q165" s="978"/>
      <c r="R165" s="972"/>
      <c r="S165" s="973"/>
      <c r="T165" s="1258"/>
      <c r="U165" s="1337"/>
      <c r="Y165" s="74"/>
      <c r="Z165" s="77"/>
      <c r="AA165" s="78"/>
      <c r="AB165" s="78">
        <f t="shared" si="1"/>
        <v>0</v>
      </c>
      <c r="AI165" s="68"/>
      <c r="AJ165" s="68"/>
      <c r="AK165" s="68"/>
    </row>
    <row r="166" spans="1:37" ht="15" customHeight="1" thickBot="1" x14ac:dyDescent="0.3">
      <c r="A166" s="1595"/>
      <c r="B166" s="1490"/>
      <c r="C166" s="1491"/>
      <c r="D166" s="1491"/>
      <c r="E166" s="1491"/>
      <c r="F166" s="1491"/>
      <c r="G166" s="1492"/>
      <c r="H166" s="983"/>
      <c r="I166" s="1017"/>
      <c r="J166" s="1029"/>
      <c r="K166" s="1030"/>
      <c r="L166" s="1484" t="s">
        <v>419</v>
      </c>
      <c r="M166" s="1485"/>
      <c r="N166" s="1485"/>
      <c r="O166" s="1485"/>
      <c r="P166" s="1486"/>
      <c r="Q166" s="978" t="s">
        <v>100</v>
      </c>
      <c r="R166" s="972"/>
      <c r="S166" s="973"/>
      <c r="T166" s="1258"/>
      <c r="U166" s="1337"/>
      <c r="V166" s="72">
        <f>IF(AND(Q166="ja",R166=""),1,0)</f>
        <v>0</v>
      </c>
      <c r="Y166" s="74"/>
      <c r="Z166" s="77"/>
      <c r="AA166" s="78"/>
      <c r="AB166" s="78">
        <f t="shared" si="1"/>
        <v>0</v>
      </c>
      <c r="AI166" s="68"/>
      <c r="AJ166" s="68"/>
      <c r="AK166" s="68"/>
    </row>
    <row r="167" spans="1:37" ht="15" customHeight="1" thickBot="1" x14ac:dyDescent="0.3">
      <c r="A167" s="1595"/>
      <c r="B167" s="1487" t="s">
        <v>420</v>
      </c>
      <c r="C167" s="1488"/>
      <c r="D167" s="1488"/>
      <c r="E167" s="1488"/>
      <c r="F167" s="1488"/>
      <c r="G167" s="1489"/>
      <c r="H167" s="981" t="s">
        <v>100</v>
      </c>
      <c r="I167" s="1017"/>
      <c r="J167" s="1029"/>
      <c r="K167" s="1030"/>
      <c r="L167" s="1288"/>
      <c r="M167" s="1289"/>
      <c r="N167" s="1289"/>
      <c r="O167" s="1289"/>
      <c r="P167" s="1290"/>
      <c r="Q167" s="978"/>
      <c r="R167" s="972"/>
      <c r="S167" s="973"/>
      <c r="T167" s="1258"/>
      <c r="U167" s="1337"/>
      <c r="Y167" s="74">
        <v>1E-3</v>
      </c>
      <c r="Z167" s="77">
        <f>IF(H167="ja",Y167,0)</f>
        <v>0</v>
      </c>
      <c r="AA167" s="78"/>
      <c r="AB167" s="78">
        <f t="shared" si="1"/>
        <v>0</v>
      </c>
      <c r="AI167" s="68"/>
      <c r="AJ167" s="68"/>
      <c r="AK167" s="68"/>
    </row>
    <row r="168" spans="1:37" ht="15" customHeight="1" thickBot="1" x14ac:dyDescent="0.3">
      <c r="A168" s="1595"/>
      <c r="B168" s="1493"/>
      <c r="C168" s="1317"/>
      <c r="D168" s="1317"/>
      <c r="E168" s="1317"/>
      <c r="F168" s="1317"/>
      <c r="G168" s="1494"/>
      <c r="H168" s="982"/>
      <c r="I168" s="1017"/>
      <c r="J168" s="1029"/>
      <c r="K168" s="1030"/>
      <c r="L168" s="1291"/>
      <c r="M168" s="1292"/>
      <c r="N168" s="1292"/>
      <c r="O168" s="1292"/>
      <c r="P168" s="1293"/>
      <c r="Q168" s="978"/>
      <c r="R168" s="972"/>
      <c r="S168" s="973"/>
      <c r="T168" s="1258"/>
      <c r="U168" s="1337"/>
      <c r="Y168" s="74"/>
      <c r="Z168" s="77"/>
      <c r="AA168" s="78"/>
      <c r="AB168" s="78">
        <f t="shared" ref="AB168:AB231" si="2">IF(Q168="ja",1,0)</f>
        <v>0</v>
      </c>
      <c r="AI168" s="68"/>
      <c r="AJ168" s="68"/>
      <c r="AK168" s="68"/>
    </row>
    <row r="169" spans="1:37" ht="15" customHeight="1" thickBot="1" x14ac:dyDescent="0.3">
      <c r="A169" s="1595"/>
      <c r="B169" s="1490"/>
      <c r="C169" s="1491"/>
      <c r="D169" s="1491"/>
      <c r="E169" s="1491"/>
      <c r="F169" s="1491"/>
      <c r="G169" s="1492"/>
      <c r="H169" s="983"/>
      <c r="I169" s="1017"/>
      <c r="J169" s="1029"/>
      <c r="K169" s="1030"/>
      <c r="L169" s="1484" t="s">
        <v>228</v>
      </c>
      <c r="M169" s="1485"/>
      <c r="N169" s="1485"/>
      <c r="O169" s="1485"/>
      <c r="P169" s="1486"/>
      <c r="Q169" s="978" t="s">
        <v>100</v>
      </c>
      <c r="R169" s="972"/>
      <c r="S169" s="973"/>
      <c r="T169" s="1258"/>
      <c r="U169" s="1337"/>
      <c r="V169" s="72">
        <f>IF(AND(Q169="ja",R169=""),1,0)</f>
        <v>0</v>
      </c>
      <c r="Y169" s="74"/>
      <c r="Z169" s="77"/>
      <c r="AA169" s="78"/>
      <c r="AB169" s="78">
        <f t="shared" si="2"/>
        <v>0</v>
      </c>
      <c r="AI169" s="68"/>
      <c r="AJ169" s="68"/>
      <c r="AK169" s="68"/>
    </row>
    <row r="170" spans="1:37" ht="15" customHeight="1" thickBot="1" x14ac:dyDescent="0.3">
      <c r="A170" s="1595"/>
      <c r="B170" s="1487" t="s">
        <v>421</v>
      </c>
      <c r="C170" s="1488"/>
      <c r="D170" s="1488"/>
      <c r="E170" s="1488"/>
      <c r="F170" s="1488"/>
      <c r="G170" s="1489"/>
      <c r="H170" s="981" t="s">
        <v>100</v>
      </c>
      <c r="I170" s="1017"/>
      <c r="J170" s="1029"/>
      <c r="K170" s="1030"/>
      <c r="L170" s="1288"/>
      <c r="M170" s="1289"/>
      <c r="N170" s="1289"/>
      <c r="O170" s="1289"/>
      <c r="P170" s="1290"/>
      <c r="Q170" s="978"/>
      <c r="R170" s="972"/>
      <c r="S170" s="973"/>
      <c r="T170" s="1258"/>
      <c r="U170" s="1337"/>
      <c r="Y170" s="74">
        <v>7.4999999999999997E-3</v>
      </c>
      <c r="Z170" s="77">
        <f>IF(H170="ja",Y170,0)</f>
        <v>0</v>
      </c>
      <c r="AA170" s="78"/>
      <c r="AB170" s="78">
        <f t="shared" si="2"/>
        <v>0</v>
      </c>
      <c r="AI170" s="68"/>
      <c r="AJ170" s="68"/>
      <c r="AK170" s="68"/>
    </row>
    <row r="171" spans="1:37" ht="15" customHeight="1" thickBot="1" x14ac:dyDescent="0.3">
      <c r="A171" s="1595"/>
      <c r="B171" s="1493"/>
      <c r="C171" s="1317"/>
      <c r="D171" s="1317"/>
      <c r="E171" s="1317"/>
      <c r="F171" s="1317"/>
      <c r="G171" s="1494"/>
      <c r="H171" s="982"/>
      <c r="I171" s="1017"/>
      <c r="J171" s="1029"/>
      <c r="K171" s="1030"/>
      <c r="L171" s="1288"/>
      <c r="M171" s="1289"/>
      <c r="N171" s="1289"/>
      <c r="O171" s="1289"/>
      <c r="P171" s="1290"/>
      <c r="Q171" s="978"/>
      <c r="R171" s="972"/>
      <c r="S171" s="973"/>
      <c r="T171" s="1258"/>
      <c r="U171" s="1337"/>
      <c r="Y171" s="74"/>
      <c r="Z171" s="77"/>
      <c r="AA171" s="78"/>
      <c r="AB171" s="78">
        <f t="shared" si="2"/>
        <v>0</v>
      </c>
      <c r="AI171" s="68"/>
      <c r="AJ171" s="68"/>
      <c r="AK171" s="68"/>
    </row>
    <row r="172" spans="1:37" ht="15" customHeight="1" thickBot="1" x14ac:dyDescent="0.3">
      <c r="A172" s="1595"/>
      <c r="B172" s="1490"/>
      <c r="C172" s="1491"/>
      <c r="D172" s="1491"/>
      <c r="E172" s="1491"/>
      <c r="F172" s="1491"/>
      <c r="G172" s="1492"/>
      <c r="H172" s="983"/>
      <c r="I172" s="1017"/>
      <c r="J172" s="1029"/>
      <c r="K172" s="1030"/>
      <c r="L172" s="1291"/>
      <c r="M172" s="1292"/>
      <c r="N172" s="1292"/>
      <c r="O172" s="1292"/>
      <c r="P172" s="1293"/>
      <c r="Q172" s="978"/>
      <c r="R172" s="972"/>
      <c r="S172" s="973"/>
      <c r="T172" s="1258"/>
      <c r="U172" s="1337"/>
      <c r="Y172" s="74"/>
      <c r="Z172" s="77"/>
      <c r="AA172" s="78"/>
      <c r="AB172" s="78">
        <f t="shared" si="2"/>
        <v>0</v>
      </c>
      <c r="AI172" s="68"/>
      <c r="AJ172" s="68"/>
      <c r="AK172" s="68"/>
    </row>
    <row r="173" spans="1:37" ht="15" customHeight="1" thickBot="1" x14ac:dyDescent="0.3">
      <c r="A173" s="1595"/>
      <c r="B173" s="1487" t="s">
        <v>226</v>
      </c>
      <c r="C173" s="1488"/>
      <c r="D173" s="1488"/>
      <c r="E173" s="1488"/>
      <c r="F173" s="1488"/>
      <c r="G173" s="1489"/>
      <c r="H173" s="981" t="s">
        <v>100</v>
      </c>
      <c r="I173" s="1017"/>
      <c r="J173" s="1029"/>
      <c r="K173" s="1030"/>
      <c r="L173" s="1484"/>
      <c r="M173" s="1485"/>
      <c r="N173" s="1485"/>
      <c r="O173" s="1485"/>
      <c r="P173" s="1486"/>
      <c r="Q173" s="978" t="s">
        <v>100</v>
      </c>
      <c r="R173" s="972"/>
      <c r="S173" s="973"/>
      <c r="T173" s="1258"/>
      <c r="U173" s="1337"/>
      <c r="V173" s="72">
        <f>IF(AND(Q173="ja",R173=""),1,0)</f>
        <v>0</v>
      </c>
      <c r="Y173" s="74">
        <v>1E-3</v>
      </c>
      <c r="Z173" s="77">
        <f>IF(H173="ja",Y173,0)</f>
        <v>0</v>
      </c>
      <c r="AA173" s="78"/>
      <c r="AB173" s="78">
        <f t="shared" si="2"/>
        <v>0</v>
      </c>
      <c r="AI173" s="68"/>
      <c r="AJ173" s="68"/>
      <c r="AK173" s="68"/>
    </row>
    <row r="174" spans="1:37" ht="15" customHeight="1" thickBot="1" x14ac:dyDescent="0.3">
      <c r="A174" s="1595"/>
      <c r="B174" s="1493"/>
      <c r="C174" s="1317"/>
      <c r="D174" s="1317"/>
      <c r="E174" s="1317"/>
      <c r="F174" s="1317"/>
      <c r="G174" s="1494"/>
      <c r="H174" s="982"/>
      <c r="I174" s="1017"/>
      <c r="J174" s="1029"/>
      <c r="K174" s="1030"/>
      <c r="L174" s="1288"/>
      <c r="M174" s="1289"/>
      <c r="N174" s="1289"/>
      <c r="O174" s="1289"/>
      <c r="P174" s="1290"/>
      <c r="Q174" s="978"/>
      <c r="R174" s="972"/>
      <c r="S174" s="973"/>
      <c r="T174" s="1258"/>
      <c r="U174" s="1337"/>
      <c r="Y174" s="74"/>
      <c r="Z174" s="77"/>
      <c r="AA174" s="77"/>
      <c r="AB174" s="78">
        <f t="shared" si="2"/>
        <v>0</v>
      </c>
      <c r="AI174" s="68"/>
      <c r="AJ174" s="68"/>
      <c r="AK174" s="68"/>
    </row>
    <row r="175" spans="1:37" ht="15" customHeight="1" thickBot="1" x14ac:dyDescent="0.3">
      <c r="A175" s="1595"/>
      <c r="B175" s="1490"/>
      <c r="C175" s="1491"/>
      <c r="D175" s="1491"/>
      <c r="E175" s="1491"/>
      <c r="F175" s="1491"/>
      <c r="G175" s="1492"/>
      <c r="H175" s="983"/>
      <c r="I175" s="1017"/>
      <c r="J175" s="1029"/>
      <c r="K175" s="1030"/>
      <c r="L175" s="1291"/>
      <c r="M175" s="1292"/>
      <c r="N175" s="1292"/>
      <c r="O175" s="1292"/>
      <c r="P175" s="1293"/>
      <c r="Q175" s="978"/>
      <c r="R175" s="972"/>
      <c r="S175" s="973"/>
      <c r="T175" s="1258"/>
      <c r="U175" s="1337"/>
      <c r="Y175" s="74"/>
      <c r="Z175" s="77"/>
      <c r="AA175" s="78"/>
      <c r="AB175" s="78">
        <f t="shared" si="2"/>
        <v>0</v>
      </c>
      <c r="AI175" s="68"/>
      <c r="AJ175" s="68"/>
      <c r="AK175" s="68"/>
    </row>
    <row r="176" spans="1:37" ht="15" customHeight="1" thickBot="1" x14ac:dyDescent="0.3">
      <c r="A176" s="1595"/>
      <c r="B176" s="1103" t="s">
        <v>422</v>
      </c>
      <c r="C176" s="1104"/>
      <c r="D176" s="1104"/>
      <c r="E176" s="1104"/>
      <c r="F176" s="1104"/>
      <c r="G176" s="1105"/>
      <c r="H176" s="314" t="s">
        <v>100</v>
      </c>
      <c r="I176" s="1018"/>
      <c r="J176" s="1031"/>
      <c r="K176" s="1032"/>
      <c r="L176" s="1577"/>
      <c r="M176" s="1578"/>
      <c r="N176" s="1578"/>
      <c r="O176" s="1578"/>
      <c r="P176" s="1579"/>
      <c r="Q176" s="329" t="s">
        <v>100</v>
      </c>
      <c r="R176" s="972"/>
      <c r="S176" s="973"/>
      <c r="T176" s="1259"/>
      <c r="U176" s="1337"/>
      <c r="V176" s="72">
        <f>IF(AND(Q176="ja",R176=""),1,0)</f>
        <v>0</v>
      </c>
      <c r="Y176" s="74">
        <v>1E-3</v>
      </c>
      <c r="Z176" s="77">
        <f>IF(H176="ja",Y176,0)</f>
        <v>0</v>
      </c>
      <c r="AA176" s="78"/>
      <c r="AB176" s="78">
        <f t="shared" si="2"/>
        <v>0</v>
      </c>
      <c r="AI176" s="68"/>
      <c r="AJ176" s="68"/>
      <c r="AK176" s="68"/>
    </row>
    <row r="177" spans="1:37" ht="14.55" thickBot="1" x14ac:dyDescent="0.3">
      <c r="A177" s="1595"/>
      <c r="B177" s="1511" t="s">
        <v>229</v>
      </c>
      <c r="C177" s="1512"/>
      <c r="D177" s="1512"/>
      <c r="E177" s="1512"/>
      <c r="F177" s="1512"/>
      <c r="G177" s="1513"/>
      <c r="H177" s="342"/>
      <c r="I177" s="1361"/>
      <c r="J177" s="1362"/>
      <c r="K177" s="1576"/>
      <c r="L177" s="1534">
        <f>SUM(R154:S176)</f>
        <v>0</v>
      </c>
      <c r="M177" s="1535"/>
      <c r="N177" s="1535"/>
      <c r="O177" s="1535"/>
      <c r="P177" s="1535"/>
      <c r="Q177" s="346"/>
      <c r="R177" s="1694"/>
      <c r="S177" s="1695"/>
      <c r="U177" s="334"/>
      <c r="Y177" s="74"/>
      <c r="Z177" s="152">
        <f>SUM(Z154:Z176)</f>
        <v>0</v>
      </c>
      <c r="AA177" s="78"/>
      <c r="AB177" s="78">
        <f t="shared" si="2"/>
        <v>0</v>
      </c>
      <c r="AI177" s="68"/>
      <c r="AJ177" s="68"/>
      <c r="AK177" s="68"/>
    </row>
    <row r="178" spans="1:37" ht="15" customHeight="1" thickBot="1" x14ac:dyDescent="0.3">
      <c r="A178" s="1595"/>
      <c r="B178" s="1103" t="s">
        <v>233</v>
      </c>
      <c r="C178" s="1104"/>
      <c r="D178" s="1104"/>
      <c r="E178" s="1104"/>
      <c r="F178" s="1104"/>
      <c r="G178" s="1105"/>
      <c r="H178" s="314" t="s">
        <v>100</v>
      </c>
      <c r="I178" s="1016">
        <f>Z192</f>
        <v>0</v>
      </c>
      <c r="J178" s="1027">
        <f>I115*I178</f>
        <v>0</v>
      </c>
      <c r="K178" s="1028"/>
      <c r="L178" s="984" t="s">
        <v>423</v>
      </c>
      <c r="M178" s="985"/>
      <c r="N178" s="985"/>
      <c r="O178" s="985"/>
      <c r="P178" s="985"/>
      <c r="Q178" s="978" t="s">
        <v>100</v>
      </c>
      <c r="R178" s="972"/>
      <c r="S178" s="973"/>
      <c r="T178" s="1257" t="str">
        <f>IFERROR(IF((VLOOKUP(U178,Überblick!$M$125:$N$133,2))="ja","ja","nein"),"")</f>
        <v/>
      </c>
      <c r="U178" s="1337"/>
      <c r="V178" s="72">
        <f>IF(AND(Q178="ja",R178=""),1,0)</f>
        <v>0</v>
      </c>
      <c r="Y178" s="74">
        <v>1E-3</v>
      </c>
      <c r="Z178" s="77">
        <f>IF(H178="ja",Y178,0)</f>
        <v>0</v>
      </c>
      <c r="AA178" s="78"/>
      <c r="AB178" s="78">
        <f t="shared" si="2"/>
        <v>0</v>
      </c>
      <c r="AI178" s="68"/>
      <c r="AJ178" s="68"/>
      <c r="AK178" s="68"/>
    </row>
    <row r="179" spans="1:37" ht="15" customHeight="1" thickBot="1" x14ac:dyDescent="0.3">
      <c r="A179" s="1595"/>
      <c r="B179" s="1487" t="s">
        <v>424</v>
      </c>
      <c r="C179" s="1488"/>
      <c r="D179" s="1488"/>
      <c r="E179" s="1488"/>
      <c r="F179" s="1488"/>
      <c r="G179" s="1489"/>
      <c r="H179" s="981" t="s">
        <v>100</v>
      </c>
      <c r="I179" s="1017"/>
      <c r="J179" s="1029"/>
      <c r="K179" s="1030"/>
      <c r="L179" s="984"/>
      <c r="M179" s="985"/>
      <c r="N179" s="985"/>
      <c r="O179" s="985"/>
      <c r="P179" s="985"/>
      <c r="Q179" s="978"/>
      <c r="R179" s="972"/>
      <c r="S179" s="973"/>
      <c r="T179" s="1258"/>
      <c r="U179" s="1337"/>
      <c r="Y179" s="74">
        <v>3.5000000000000003E-2</v>
      </c>
      <c r="Z179" s="77">
        <f>IF(H179="ja",Y179,0)</f>
        <v>0</v>
      </c>
      <c r="AA179" s="78"/>
      <c r="AB179" s="78">
        <f t="shared" si="2"/>
        <v>0</v>
      </c>
      <c r="AI179" s="68"/>
      <c r="AJ179" s="68"/>
      <c r="AK179" s="68"/>
    </row>
    <row r="180" spans="1:37" ht="15" customHeight="1" thickBot="1" x14ac:dyDescent="0.3">
      <c r="A180" s="1595"/>
      <c r="B180" s="1493"/>
      <c r="C180" s="1317"/>
      <c r="D180" s="1317"/>
      <c r="E180" s="1317"/>
      <c r="F180" s="1317"/>
      <c r="G180" s="1494"/>
      <c r="H180" s="982"/>
      <c r="I180" s="1017"/>
      <c r="J180" s="1029"/>
      <c r="K180" s="1030"/>
      <c r="L180" s="984"/>
      <c r="M180" s="985"/>
      <c r="N180" s="985"/>
      <c r="O180" s="985"/>
      <c r="P180" s="985"/>
      <c r="Q180" s="978"/>
      <c r="R180" s="972"/>
      <c r="S180" s="973"/>
      <c r="T180" s="1258"/>
      <c r="U180" s="1337"/>
      <c r="Y180" s="74"/>
      <c r="Z180" s="77"/>
      <c r="AA180" s="78"/>
      <c r="AB180" s="78">
        <f t="shared" si="2"/>
        <v>0</v>
      </c>
      <c r="AI180" s="68"/>
      <c r="AJ180" s="68"/>
      <c r="AK180" s="68"/>
    </row>
    <row r="181" spans="1:37" ht="15" customHeight="1" thickBot="1" x14ac:dyDescent="0.3">
      <c r="A181" s="1595"/>
      <c r="B181" s="1493"/>
      <c r="C181" s="1317"/>
      <c r="D181" s="1317"/>
      <c r="E181" s="1317"/>
      <c r="F181" s="1317"/>
      <c r="G181" s="1494"/>
      <c r="H181" s="982"/>
      <c r="I181" s="1017"/>
      <c r="J181" s="1029"/>
      <c r="K181" s="1030"/>
      <c r="L181" s="984"/>
      <c r="M181" s="985"/>
      <c r="N181" s="985"/>
      <c r="O181" s="985"/>
      <c r="P181" s="985"/>
      <c r="Q181" s="978" t="s">
        <v>100</v>
      </c>
      <c r="R181" s="972"/>
      <c r="S181" s="973"/>
      <c r="T181" s="1258"/>
      <c r="U181" s="1337"/>
      <c r="V181" s="72">
        <f>IF(AND(Q181="ja",R181=""),1,0)</f>
        <v>0</v>
      </c>
      <c r="Y181" s="74"/>
      <c r="Z181" s="77"/>
      <c r="AA181" s="78"/>
      <c r="AB181" s="78">
        <f t="shared" si="2"/>
        <v>0</v>
      </c>
      <c r="AI181" s="68"/>
      <c r="AJ181" s="68"/>
      <c r="AK181" s="68"/>
    </row>
    <row r="182" spans="1:37" ht="15" customHeight="1" thickBot="1" x14ac:dyDescent="0.3">
      <c r="A182" s="1595"/>
      <c r="B182" s="1493"/>
      <c r="C182" s="1317"/>
      <c r="D182" s="1317"/>
      <c r="E182" s="1317"/>
      <c r="F182" s="1317"/>
      <c r="G182" s="1494"/>
      <c r="H182" s="982"/>
      <c r="I182" s="1017"/>
      <c r="J182" s="1029"/>
      <c r="K182" s="1030"/>
      <c r="L182" s="984"/>
      <c r="M182" s="985"/>
      <c r="N182" s="985"/>
      <c r="O182" s="985"/>
      <c r="P182" s="985"/>
      <c r="Q182" s="978"/>
      <c r="R182" s="972"/>
      <c r="S182" s="973"/>
      <c r="T182" s="1258"/>
      <c r="U182" s="1337"/>
      <c r="Y182" s="74"/>
      <c r="Z182" s="77"/>
      <c r="AA182" s="78"/>
      <c r="AB182" s="78">
        <f t="shared" si="2"/>
        <v>0</v>
      </c>
      <c r="AI182" s="68"/>
      <c r="AJ182" s="68"/>
      <c r="AK182" s="68"/>
    </row>
    <row r="183" spans="1:37" ht="15" customHeight="1" thickBot="1" x14ac:dyDescent="0.3">
      <c r="A183" s="1595"/>
      <c r="B183" s="1490"/>
      <c r="C183" s="1491"/>
      <c r="D183" s="1491"/>
      <c r="E183" s="1491"/>
      <c r="F183" s="1491"/>
      <c r="G183" s="1492"/>
      <c r="H183" s="983"/>
      <c r="I183" s="1017"/>
      <c r="J183" s="1029"/>
      <c r="K183" s="1030"/>
      <c r="L183" s="984"/>
      <c r="M183" s="985"/>
      <c r="N183" s="985"/>
      <c r="O183" s="985"/>
      <c r="P183" s="985"/>
      <c r="Q183" s="978"/>
      <c r="R183" s="972"/>
      <c r="S183" s="973"/>
      <c r="T183" s="1258"/>
      <c r="U183" s="1337"/>
      <c r="Y183" s="74"/>
      <c r="Z183" s="77"/>
      <c r="AA183" s="78"/>
      <c r="AB183" s="78">
        <f t="shared" si="2"/>
        <v>0</v>
      </c>
      <c r="AI183" s="68"/>
      <c r="AJ183" s="68"/>
      <c r="AK183" s="68"/>
    </row>
    <row r="184" spans="1:37" ht="15" customHeight="1" thickBot="1" x14ac:dyDescent="0.3">
      <c r="A184" s="1595"/>
      <c r="B184" s="1103" t="s">
        <v>237</v>
      </c>
      <c r="C184" s="1104"/>
      <c r="D184" s="1104"/>
      <c r="E184" s="1104"/>
      <c r="F184" s="1104"/>
      <c r="G184" s="1105"/>
      <c r="H184" s="314" t="s">
        <v>100</v>
      </c>
      <c r="I184" s="1017"/>
      <c r="J184" s="1029"/>
      <c r="K184" s="1030"/>
      <c r="L184" s="984" t="s">
        <v>236</v>
      </c>
      <c r="M184" s="985"/>
      <c r="N184" s="985"/>
      <c r="O184" s="985"/>
      <c r="P184" s="985"/>
      <c r="Q184" s="978" t="s">
        <v>100</v>
      </c>
      <c r="R184" s="972"/>
      <c r="S184" s="973"/>
      <c r="T184" s="1258"/>
      <c r="U184" s="1337"/>
      <c r="V184" s="72">
        <f>IF(AND(Q184="ja",R184=""),1,0)</f>
        <v>0</v>
      </c>
      <c r="Y184" s="74">
        <v>5.0000000000000001E-3</v>
      </c>
      <c r="Z184" s="77">
        <f>IF(H184="ja",Y184,0)</f>
        <v>0</v>
      </c>
      <c r="AA184" s="78"/>
      <c r="AB184" s="78">
        <f t="shared" si="2"/>
        <v>0</v>
      </c>
      <c r="AI184" s="68"/>
      <c r="AJ184" s="68"/>
      <c r="AK184" s="68"/>
    </row>
    <row r="185" spans="1:37" ht="15" customHeight="1" thickBot="1" x14ac:dyDescent="0.3">
      <c r="A185" s="1595"/>
      <c r="B185" s="1487" t="s">
        <v>425</v>
      </c>
      <c r="C185" s="1488"/>
      <c r="D185" s="1488"/>
      <c r="E185" s="1488"/>
      <c r="F185" s="1488"/>
      <c r="G185" s="1489"/>
      <c r="H185" s="981" t="s">
        <v>100</v>
      </c>
      <c r="I185" s="1017"/>
      <c r="J185" s="1029"/>
      <c r="K185" s="1030"/>
      <c r="L185" s="984"/>
      <c r="M185" s="985"/>
      <c r="N185" s="985"/>
      <c r="O185" s="985"/>
      <c r="P185" s="985"/>
      <c r="Q185" s="978"/>
      <c r="R185" s="972"/>
      <c r="S185" s="973"/>
      <c r="T185" s="1258"/>
      <c r="U185" s="1337"/>
      <c r="Y185" s="74">
        <v>2.5000000000000001E-3</v>
      </c>
      <c r="Z185" s="77">
        <f>IF(H185="ja",Y185,0)</f>
        <v>0</v>
      </c>
      <c r="AA185" s="78"/>
      <c r="AB185" s="78">
        <f t="shared" si="2"/>
        <v>0</v>
      </c>
      <c r="AI185" s="68"/>
      <c r="AJ185" s="68"/>
      <c r="AK185" s="68"/>
    </row>
    <row r="186" spans="1:37" ht="15" customHeight="1" thickBot="1" x14ac:dyDescent="0.3">
      <c r="A186" s="1595"/>
      <c r="B186" s="1493"/>
      <c r="C186" s="1317"/>
      <c r="D186" s="1317"/>
      <c r="E186" s="1317"/>
      <c r="F186" s="1317"/>
      <c r="G186" s="1494"/>
      <c r="H186" s="982"/>
      <c r="I186" s="1017"/>
      <c r="J186" s="1029"/>
      <c r="K186" s="1030"/>
      <c r="L186" s="984"/>
      <c r="M186" s="985"/>
      <c r="N186" s="985"/>
      <c r="O186" s="985"/>
      <c r="P186" s="985"/>
      <c r="Q186" s="978"/>
      <c r="R186" s="972"/>
      <c r="S186" s="973"/>
      <c r="T186" s="1258"/>
      <c r="U186" s="1337"/>
      <c r="Y186" s="74"/>
      <c r="Z186" s="77"/>
      <c r="AA186" s="78"/>
      <c r="AB186" s="78">
        <f t="shared" si="2"/>
        <v>0</v>
      </c>
      <c r="AI186" s="68"/>
      <c r="AJ186" s="68"/>
      <c r="AK186" s="68"/>
    </row>
    <row r="187" spans="1:37" ht="15" customHeight="1" thickBot="1" x14ac:dyDescent="0.3">
      <c r="A187" s="1595"/>
      <c r="B187" s="1490"/>
      <c r="C187" s="1491"/>
      <c r="D187" s="1491"/>
      <c r="E187" s="1491"/>
      <c r="F187" s="1491"/>
      <c r="G187" s="1492"/>
      <c r="H187" s="983"/>
      <c r="I187" s="1017"/>
      <c r="J187" s="1029"/>
      <c r="K187" s="1030"/>
      <c r="L187" s="984"/>
      <c r="M187" s="985"/>
      <c r="N187" s="985"/>
      <c r="O187" s="985"/>
      <c r="P187" s="985"/>
      <c r="Q187" s="978" t="s">
        <v>100</v>
      </c>
      <c r="R187" s="972"/>
      <c r="S187" s="973"/>
      <c r="T187" s="1258"/>
      <c r="U187" s="1337"/>
      <c r="V187" s="72">
        <f>IF(AND(Q187="ja",R187=""),1,0)</f>
        <v>0</v>
      </c>
      <c r="Y187" s="74"/>
      <c r="Z187" s="77"/>
      <c r="AA187" s="78"/>
      <c r="AB187" s="78">
        <f t="shared" si="2"/>
        <v>0</v>
      </c>
      <c r="AI187" s="68"/>
      <c r="AJ187" s="68"/>
      <c r="AK187" s="68"/>
    </row>
    <row r="188" spans="1:37" ht="15" customHeight="1" thickBot="1" x14ac:dyDescent="0.3">
      <c r="A188" s="1595"/>
      <c r="B188" s="1487" t="s">
        <v>426</v>
      </c>
      <c r="C188" s="1488"/>
      <c r="D188" s="1488"/>
      <c r="E188" s="1488"/>
      <c r="F188" s="1488"/>
      <c r="G188" s="1489"/>
      <c r="H188" s="981" t="s">
        <v>100</v>
      </c>
      <c r="I188" s="1017"/>
      <c r="J188" s="1029"/>
      <c r="K188" s="1030"/>
      <c r="L188" s="984"/>
      <c r="M188" s="985"/>
      <c r="N188" s="985"/>
      <c r="O188" s="985"/>
      <c r="P188" s="985"/>
      <c r="Q188" s="978"/>
      <c r="R188" s="972"/>
      <c r="S188" s="973"/>
      <c r="T188" s="1258"/>
      <c r="U188" s="1337"/>
      <c r="Y188" s="74">
        <v>5.0000000000000001E-3</v>
      </c>
      <c r="Z188" s="77">
        <f>IF(H188="ja",Y188,0)</f>
        <v>0</v>
      </c>
      <c r="AA188" s="78"/>
      <c r="AB188" s="78">
        <f t="shared" si="2"/>
        <v>0</v>
      </c>
      <c r="AI188" s="68"/>
      <c r="AJ188" s="68"/>
      <c r="AK188" s="68"/>
    </row>
    <row r="189" spans="1:37" ht="15" customHeight="1" thickBot="1" x14ac:dyDescent="0.3">
      <c r="A189" s="1595"/>
      <c r="B189" s="1490"/>
      <c r="C189" s="1491"/>
      <c r="D189" s="1491"/>
      <c r="E189" s="1491"/>
      <c r="F189" s="1491"/>
      <c r="G189" s="1492"/>
      <c r="H189" s="983"/>
      <c r="I189" s="1017"/>
      <c r="J189" s="1029"/>
      <c r="K189" s="1030"/>
      <c r="L189" s="984"/>
      <c r="M189" s="985"/>
      <c r="N189" s="985"/>
      <c r="O189" s="985"/>
      <c r="P189" s="985"/>
      <c r="Q189" s="978"/>
      <c r="R189" s="972"/>
      <c r="S189" s="973"/>
      <c r="T189" s="1258"/>
      <c r="U189" s="1337"/>
      <c r="Y189" s="74"/>
      <c r="Z189" s="77"/>
      <c r="AA189" s="77"/>
      <c r="AB189" s="78">
        <f t="shared" si="2"/>
        <v>0</v>
      </c>
      <c r="AI189" s="68"/>
      <c r="AJ189" s="68"/>
      <c r="AK189" s="68"/>
    </row>
    <row r="190" spans="1:37" ht="15" customHeight="1" thickBot="1" x14ac:dyDescent="0.3">
      <c r="A190" s="1595"/>
      <c r="B190" s="1487" t="s">
        <v>427</v>
      </c>
      <c r="C190" s="1488"/>
      <c r="D190" s="1488"/>
      <c r="E190" s="1488"/>
      <c r="F190" s="1488"/>
      <c r="G190" s="1489"/>
      <c r="H190" s="981" t="s">
        <v>100</v>
      </c>
      <c r="I190" s="1017"/>
      <c r="J190" s="1029"/>
      <c r="K190" s="1030"/>
      <c r="L190" s="1539"/>
      <c r="M190" s="1540"/>
      <c r="N190" s="1540"/>
      <c r="O190" s="1540"/>
      <c r="P190" s="1540"/>
      <c r="Q190" s="978" t="s">
        <v>100</v>
      </c>
      <c r="R190" s="972"/>
      <c r="S190" s="973"/>
      <c r="T190" s="1258"/>
      <c r="U190" s="1337"/>
      <c r="V190" s="72">
        <f>IF(AND(Q190="ja",R190=""),1,0)</f>
        <v>0</v>
      </c>
      <c r="Y190" s="74">
        <v>1.5E-3</v>
      </c>
      <c r="Z190" s="77">
        <f>IF(H190="ja",Y190,0)</f>
        <v>0</v>
      </c>
      <c r="AA190" s="78"/>
      <c r="AB190" s="78">
        <f t="shared" si="2"/>
        <v>0</v>
      </c>
      <c r="AI190" s="68"/>
      <c r="AJ190" s="68"/>
      <c r="AK190" s="68"/>
    </row>
    <row r="191" spans="1:37" ht="15" customHeight="1" thickBot="1" x14ac:dyDescent="0.3">
      <c r="A191" s="1595"/>
      <c r="B191" s="1490"/>
      <c r="C191" s="1491"/>
      <c r="D191" s="1491"/>
      <c r="E191" s="1491"/>
      <c r="F191" s="1491"/>
      <c r="G191" s="1492"/>
      <c r="H191" s="983"/>
      <c r="I191" s="1018"/>
      <c r="J191" s="1031"/>
      <c r="K191" s="1032"/>
      <c r="L191" s="1541"/>
      <c r="M191" s="1542"/>
      <c r="N191" s="1542"/>
      <c r="O191" s="1542"/>
      <c r="P191" s="1542"/>
      <c r="Q191" s="979"/>
      <c r="R191" s="974"/>
      <c r="S191" s="975"/>
      <c r="T191" s="1259"/>
      <c r="U191" s="1337"/>
      <c r="Y191" s="74"/>
      <c r="Z191" s="77"/>
      <c r="AA191" s="78"/>
      <c r="AB191" s="78">
        <f t="shared" si="2"/>
        <v>0</v>
      </c>
      <c r="AI191" s="68"/>
      <c r="AJ191" s="68"/>
      <c r="AK191" s="68"/>
    </row>
    <row r="192" spans="1:37" ht="14.55" thickBot="1" x14ac:dyDescent="0.3">
      <c r="A192" s="1595"/>
      <c r="B192" s="1511" t="s">
        <v>428</v>
      </c>
      <c r="C192" s="1512"/>
      <c r="D192" s="1512"/>
      <c r="E192" s="1512"/>
      <c r="F192" s="1512"/>
      <c r="G192" s="1513"/>
      <c r="H192" s="342"/>
      <c r="I192" s="1361"/>
      <c r="J192" s="1362"/>
      <c r="K192" s="1576"/>
      <c r="L192" s="1534">
        <f>SUM(R178:S191)</f>
        <v>0</v>
      </c>
      <c r="M192" s="1535"/>
      <c r="N192" s="1535"/>
      <c r="O192" s="1535"/>
      <c r="P192" s="1535"/>
      <c r="Q192" s="347"/>
      <c r="R192" s="1705"/>
      <c r="S192" s="1706"/>
      <c r="U192" s="334"/>
      <c r="Y192" s="74"/>
      <c r="Z192" s="152">
        <f>SUM(Z178:Z190)</f>
        <v>0</v>
      </c>
      <c r="AA192" s="78"/>
      <c r="AB192" s="78">
        <f t="shared" si="2"/>
        <v>0</v>
      </c>
      <c r="AI192" s="68"/>
      <c r="AJ192" s="68"/>
      <c r="AK192" s="68"/>
    </row>
    <row r="193" spans="1:37" ht="15" customHeight="1" thickBot="1" x14ac:dyDescent="0.3">
      <c r="A193" s="1595"/>
      <c r="B193" s="1497" t="s">
        <v>429</v>
      </c>
      <c r="C193" s="1498"/>
      <c r="D193" s="1498"/>
      <c r="E193" s="1498"/>
      <c r="F193" s="1498"/>
      <c r="G193" s="1499"/>
      <c r="H193" s="1194" t="s">
        <v>100</v>
      </c>
      <c r="I193" s="1016">
        <f>Z234</f>
        <v>0</v>
      </c>
      <c r="J193" s="1027">
        <f>I115</f>
        <v>33789.782639999998</v>
      </c>
      <c r="K193" s="1028"/>
      <c r="L193" s="1285" t="s">
        <v>430</v>
      </c>
      <c r="M193" s="1286"/>
      <c r="N193" s="1286"/>
      <c r="O193" s="1286"/>
      <c r="P193" s="1287"/>
      <c r="Q193" s="1677" t="s">
        <v>100</v>
      </c>
      <c r="R193" s="1296"/>
      <c r="S193" s="1297"/>
      <c r="T193" s="1257" t="str">
        <f>IFERROR(IF((VLOOKUP(U193,Überblick!$M$125:$N$133,2))="ja","ja","nein"),"")</f>
        <v/>
      </c>
      <c r="U193" s="1337"/>
      <c r="V193" s="72">
        <f>IF(AND(Q193="ja",R193=""),1,0)</f>
        <v>0</v>
      </c>
      <c r="Y193" s="74">
        <v>0.17499999999999999</v>
      </c>
      <c r="Z193" s="77">
        <f>IF(H193="ja",Y193,0)</f>
        <v>0</v>
      </c>
      <c r="AA193" s="78"/>
      <c r="AB193" s="78">
        <f t="shared" si="2"/>
        <v>0</v>
      </c>
      <c r="AI193" s="68"/>
      <c r="AJ193" s="68"/>
      <c r="AK193" s="68"/>
    </row>
    <row r="194" spans="1:37" ht="15" customHeight="1" thickBot="1" x14ac:dyDescent="0.3">
      <c r="A194" s="1595"/>
      <c r="B194" s="1493"/>
      <c r="C194" s="1317"/>
      <c r="D194" s="1317"/>
      <c r="E194" s="1317"/>
      <c r="F194" s="1317"/>
      <c r="G194" s="1494"/>
      <c r="H194" s="982"/>
      <c r="I194" s="1017"/>
      <c r="J194" s="1029"/>
      <c r="K194" s="1030"/>
      <c r="L194" s="1288"/>
      <c r="M194" s="1289"/>
      <c r="N194" s="1289"/>
      <c r="O194" s="1289"/>
      <c r="P194" s="1290"/>
      <c r="Q194" s="1678"/>
      <c r="R194" s="1007"/>
      <c r="S194" s="1008"/>
      <c r="T194" s="1258"/>
      <c r="U194" s="1337"/>
      <c r="Y194" s="74"/>
      <c r="Z194" s="77"/>
      <c r="AA194" s="78"/>
      <c r="AB194" s="78">
        <f t="shared" si="2"/>
        <v>0</v>
      </c>
      <c r="AI194" s="68"/>
      <c r="AJ194" s="68"/>
      <c r="AK194" s="68"/>
    </row>
    <row r="195" spans="1:37" ht="15" customHeight="1" thickBot="1" x14ac:dyDescent="0.3">
      <c r="A195" s="1595"/>
      <c r="B195" s="1493"/>
      <c r="C195" s="1317"/>
      <c r="D195" s="1317"/>
      <c r="E195" s="1317"/>
      <c r="F195" s="1317"/>
      <c r="G195" s="1494"/>
      <c r="H195" s="982"/>
      <c r="I195" s="1017"/>
      <c r="J195" s="1029"/>
      <c r="K195" s="1030"/>
      <c r="L195" s="1288"/>
      <c r="M195" s="1289"/>
      <c r="N195" s="1289"/>
      <c r="O195" s="1289"/>
      <c r="P195" s="1290"/>
      <c r="Q195" s="1678"/>
      <c r="R195" s="1007"/>
      <c r="S195" s="1008"/>
      <c r="T195" s="1258"/>
      <c r="U195" s="1337"/>
      <c r="Y195" s="74"/>
      <c r="Z195" s="77"/>
      <c r="AA195" s="78"/>
      <c r="AB195" s="78">
        <f t="shared" si="2"/>
        <v>0</v>
      </c>
      <c r="AI195" s="68"/>
      <c r="AJ195" s="68"/>
      <c r="AK195" s="68"/>
    </row>
    <row r="196" spans="1:37" ht="15" customHeight="1" thickBot="1" x14ac:dyDescent="0.3">
      <c r="A196" s="1595"/>
      <c r="B196" s="1493"/>
      <c r="C196" s="1317"/>
      <c r="D196" s="1317"/>
      <c r="E196" s="1317"/>
      <c r="F196" s="1317"/>
      <c r="G196" s="1494"/>
      <c r="H196" s="982"/>
      <c r="I196" s="1017"/>
      <c r="J196" s="1029"/>
      <c r="K196" s="1030"/>
      <c r="L196" s="1288"/>
      <c r="M196" s="1289"/>
      <c r="N196" s="1289"/>
      <c r="O196" s="1289"/>
      <c r="P196" s="1290"/>
      <c r="Q196" s="1678"/>
      <c r="R196" s="1007"/>
      <c r="S196" s="1008"/>
      <c r="T196" s="1258"/>
      <c r="U196" s="1337"/>
      <c r="V196" s="72">
        <f>IF(AND(Q196="ja",R196=""),1,0)</f>
        <v>0</v>
      </c>
      <c r="Y196" s="74"/>
      <c r="Z196" s="77"/>
      <c r="AA196" s="78"/>
      <c r="AB196" s="78">
        <f t="shared" si="2"/>
        <v>0</v>
      </c>
      <c r="AI196" s="68"/>
      <c r="AJ196" s="68"/>
      <c r="AK196" s="68"/>
    </row>
    <row r="197" spans="1:37" ht="15" customHeight="1" thickBot="1" x14ac:dyDescent="0.3">
      <c r="A197" s="1595"/>
      <c r="B197" s="1493"/>
      <c r="C197" s="1317"/>
      <c r="D197" s="1317"/>
      <c r="E197" s="1317"/>
      <c r="F197" s="1317"/>
      <c r="G197" s="1494"/>
      <c r="H197" s="982"/>
      <c r="I197" s="1017"/>
      <c r="J197" s="1029"/>
      <c r="K197" s="1030"/>
      <c r="L197" s="1288"/>
      <c r="M197" s="1289"/>
      <c r="N197" s="1289"/>
      <c r="O197" s="1289"/>
      <c r="P197" s="1290"/>
      <c r="Q197" s="1678"/>
      <c r="R197" s="1007"/>
      <c r="S197" s="1008"/>
      <c r="T197" s="1258"/>
      <c r="U197" s="1337"/>
      <c r="Y197" s="74"/>
      <c r="Z197" s="77"/>
      <c r="AA197" s="78"/>
      <c r="AB197" s="78">
        <f t="shared" si="2"/>
        <v>0</v>
      </c>
      <c r="AI197" s="68"/>
      <c r="AJ197" s="68"/>
      <c r="AK197" s="68"/>
    </row>
    <row r="198" spans="1:37" ht="15" customHeight="1" thickBot="1" x14ac:dyDescent="0.3">
      <c r="A198" s="1595"/>
      <c r="B198" s="1493"/>
      <c r="C198" s="1317"/>
      <c r="D198" s="1317"/>
      <c r="E198" s="1317"/>
      <c r="F198" s="1317"/>
      <c r="G198" s="1494"/>
      <c r="H198" s="982"/>
      <c r="I198" s="1017"/>
      <c r="J198" s="1029"/>
      <c r="K198" s="1030"/>
      <c r="L198" s="1288"/>
      <c r="M198" s="1289"/>
      <c r="N198" s="1289"/>
      <c r="O198" s="1289"/>
      <c r="P198" s="1290"/>
      <c r="Q198" s="1678"/>
      <c r="R198" s="1007"/>
      <c r="S198" s="1008"/>
      <c r="T198" s="1258"/>
      <c r="U198" s="1337"/>
      <c r="Y198" s="74"/>
      <c r="Z198" s="77"/>
      <c r="AA198" s="78"/>
      <c r="AB198" s="78">
        <f t="shared" si="2"/>
        <v>0</v>
      </c>
      <c r="AI198" s="68"/>
      <c r="AJ198" s="68"/>
      <c r="AK198" s="68"/>
    </row>
    <row r="199" spans="1:37" ht="15" customHeight="1" thickBot="1" x14ac:dyDescent="0.3">
      <c r="A199" s="1595"/>
      <c r="B199" s="1490"/>
      <c r="C199" s="1491"/>
      <c r="D199" s="1491"/>
      <c r="E199" s="1491"/>
      <c r="F199" s="1491"/>
      <c r="G199" s="1492"/>
      <c r="H199" s="983"/>
      <c r="I199" s="1017"/>
      <c r="J199" s="1029"/>
      <c r="K199" s="1030"/>
      <c r="L199" s="1288"/>
      <c r="M199" s="1289"/>
      <c r="N199" s="1289"/>
      <c r="O199" s="1289"/>
      <c r="P199" s="1290"/>
      <c r="Q199" s="1678"/>
      <c r="R199" s="1007"/>
      <c r="S199" s="1008"/>
      <c r="T199" s="1258"/>
      <c r="U199" s="1337"/>
      <c r="V199" s="72">
        <f>IF(AND(Q199="ja",R199=""),1,0)</f>
        <v>0</v>
      </c>
      <c r="Y199" s="74"/>
      <c r="Z199" s="77"/>
      <c r="AA199" s="78"/>
      <c r="AB199" s="78">
        <f t="shared" si="2"/>
        <v>0</v>
      </c>
      <c r="AI199" s="68"/>
      <c r="AJ199" s="68"/>
      <c r="AK199" s="68"/>
    </row>
    <row r="200" spans="1:37" ht="15" customHeight="1" thickBot="1" x14ac:dyDescent="0.3">
      <c r="A200" s="1595"/>
      <c r="B200" s="1103" t="s">
        <v>431</v>
      </c>
      <c r="C200" s="1104"/>
      <c r="D200" s="1104"/>
      <c r="E200" s="1104"/>
      <c r="F200" s="1104"/>
      <c r="G200" s="1105"/>
      <c r="H200" s="314" t="s">
        <v>100</v>
      </c>
      <c r="I200" s="1017"/>
      <c r="J200" s="1029"/>
      <c r="K200" s="1030"/>
      <c r="L200" s="1288"/>
      <c r="M200" s="1289"/>
      <c r="N200" s="1289"/>
      <c r="O200" s="1289"/>
      <c r="P200" s="1290"/>
      <c r="Q200" s="1678"/>
      <c r="R200" s="1007"/>
      <c r="S200" s="1008"/>
      <c r="T200" s="1258"/>
      <c r="U200" s="1337"/>
      <c r="Y200" s="74">
        <v>3.0000000000000001E-3</v>
      </c>
      <c r="Z200" s="77">
        <f>IF(H200="ja",Y200,0)</f>
        <v>0</v>
      </c>
      <c r="AA200" s="78"/>
      <c r="AB200" s="78">
        <f t="shared" si="2"/>
        <v>0</v>
      </c>
      <c r="AI200" s="68"/>
      <c r="AJ200" s="68"/>
      <c r="AK200" s="68"/>
    </row>
    <row r="201" spans="1:37" ht="15" customHeight="1" thickBot="1" x14ac:dyDescent="0.3">
      <c r="A201" s="1595"/>
      <c r="B201" s="1487" t="s">
        <v>432</v>
      </c>
      <c r="C201" s="1488"/>
      <c r="D201" s="1488"/>
      <c r="E201" s="1488"/>
      <c r="F201" s="1488"/>
      <c r="G201" s="1489"/>
      <c r="H201" s="981" t="s">
        <v>100</v>
      </c>
      <c r="I201" s="1017"/>
      <c r="J201" s="1029"/>
      <c r="K201" s="1030"/>
      <c r="L201" s="1288"/>
      <c r="M201" s="1289"/>
      <c r="N201" s="1289"/>
      <c r="O201" s="1289"/>
      <c r="P201" s="1290"/>
      <c r="Q201" s="1678"/>
      <c r="R201" s="1007"/>
      <c r="S201" s="1008"/>
      <c r="T201" s="1258"/>
      <c r="U201" s="1337"/>
      <c r="Y201" s="74">
        <v>6.4999999999999997E-3</v>
      </c>
      <c r="Z201" s="77">
        <f>IF(H201="ja",Y201,0)</f>
        <v>0</v>
      </c>
      <c r="AA201" s="78"/>
      <c r="AB201" s="78">
        <f t="shared" si="2"/>
        <v>0</v>
      </c>
      <c r="AI201" s="68"/>
      <c r="AJ201" s="68"/>
      <c r="AK201" s="68"/>
    </row>
    <row r="202" spans="1:37" ht="15" customHeight="1" thickBot="1" x14ac:dyDescent="0.3">
      <c r="A202" s="1595"/>
      <c r="B202" s="1490"/>
      <c r="C202" s="1491"/>
      <c r="D202" s="1491"/>
      <c r="E202" s="1491"/>
      <c r="F202" s="1491"/>
      <c r="G202" s="1492"/>
      <c r="H202" s="983"/>
      <c r="I202" s="1017"/>
      <c r="J202" s="1029"/>
      <c r="K202" s="1030"/>
      <c r="L202" s="1288"/>
      <c r="M202" s="1289"/>
      <c r="N202" s="1289"/>
      <c r="O202" s="1289"/>
      <c r="P202" s="1290"/>
      <c r="Q202" s="1679"/>
      <c r="R202" s="1269"/>
      <c r="S202" s="1270"/>
      <c r="T202" s="1258"/>
      <c r="U202" s="1337"/>
      <c r="V202" s="72">
        <f>IF(AND(Q203="ja",R203=""),1,0)</f>
        <v>0</v>
      </c>
      <c r="Y202" s="74"/>
      <c r="Z202" s="77"/>
      <c r="AA202" s="78"/>
      <c r="AB202" s="78">
        <f>IF(Q203="ja",1,0)</f>
        <v>0</v>
      </c>
      <c r="AI202" s="68"/>
      <c r="AJ202" s="68"/>
      <c r="AK202" s="68"/>
    </row>
    <row r="203" spans="1:37" ht="15" customHeight="1" thickBot="1" x14ac:dyDescent="0.3">
      <c r="A203" s="1595"/>
      <c r="B203" s="1103" t="s">
        <v>433</v>
      </c>
      <c r="C203" s="1104"/>
      <c r="D203" s="1104"/>
      <c r="E203" s="1104"/>
      <c r="F203" s="1104"/>
      <c r="G203" s="1105"/>
      <c r="H203" s="314" t="s">
        <v>100</v>
      </c>
      <c r="I203" s="1017"/>
      <c r="J203" s="1029"/>
      <c r="K203" s="1030"/>
      <c r="L203" s="1484" t="s">
        <v>247</v>
      </c>
      <c r="M203" s="1485"/>
      <c r="N203" s="1485"/>
      <c r="O203" s="1485"/>
      <c r="P203" s="1486"/>
      <c r="Q203" s="979" t="s">
        <v>100</v>
      </c>
      <c r="R203" s="1005"/>
      <c r="S203" s="1006"/>
      <c r="T203" s="1258"/>
      <c r="U203" s="1337"/>
      <c r="Y203" s="74">
        <v>5.0000000000000001E-3</v>
      </c>
      <c r="Z203" s="77">
        <f>IF(H203="ja",Y203,0)</f>
        <v>0</v>
      </c>
      <c r="AA203" s="78"/>
      <c r="AB203" s="78">
        <f>IF(Q204="ja",1,0)</f>
        <v>0</v>
      </c>
      <c r="AI203" s="68"/>
      <c r="AJ203" s="68"/>
      <c r="AK203" s="68"/>
    </row>
    <row r="204" spans="1:37" ht="15" customHeight="1" thickBot="1" x14ac:dyDescent="0.3">
      <c r="A204" s="1595"/>
      <c r="B204" s="1487" t="s">
        <v>434</v>
      </c>
      <c r="C204" s="1488"/>
      <c r="D204" s="1488"/>
      <c r="E204" s="1488"/>
      <c r="F204" s="1488"/>
      <c r="G204" s="1489"/>
      <c r="H204" s="981" t="s">
        <v>100</v>
      </c>
      <c r="I204" s="1017"/>
      <c r="J204" s="1029"/>
      <c r="K204" s="1030"/>
      <c r="L204" s="1291"/>
      <c r="M204" s="1292"/>
      <c r="N204" s="1292"/>
      <c r="O204" s="1292"/>
      <c r="P204" s="1293"/>
      <c r="Q204" s="1295"/>
      <c r="R204" s="1269"/>
      <c r="S204" s="1270"/>
      <c r="T204" s="1258"/>
      <c r="U204" s="1337"/>
      <c r="Y204" s="74">
        <v>1E-3</v>
      </c>
      <c r="Z204" s="77">
        <f>IF(H204="ja",Y204,0)</f>
        <v>0</v>
      </c>
      <c r="AA204" s="78"/>
      <c r="AB204" s="78">
        <f t="shared" si="2"/>
        <v>0</v>
      </c>
      <c r="AI204" s="68"/>
      <c r="AJ204" s="68"/>
      <c r="AK204" s="68"/>
    </row>
    <row r="205" spans="1:37" ht="15" customHeight="1" thickBot="1" x14ac:dyDescent="0.3">
      <c r="A205" s="1595"/>
      <c r="B205" s="1493"/>
      <c r="C205" s="1317"/>
      <c r="D205" s="1317"/>
      <c r="E205" s="1317"/>
      <c r="F205" s="1317"/>
      <c r="G205" s="1494"/>
      <c r="H205" s="982"/>
      <c r="I205" s="1017"/>
      <c r="J205" s="1029"/>
      <c r="K205" s="1030"/>
      <c r="L205" s="984"/>
      <c r="M205" s="985"/>
      <c r="N205" s="985"/>
      <c r="O205" s="985"/>
      <c r="P205" s="985"/>
      <c r="Q205" s="978" t="s">
        <v>100</v>
      </c>
      <c r="R205" s="972"/>
      <c r="S205" s="973"/>
      <c r="T205" s="1258"/>
      <c r="U205" s="1337"/>
      <c r="V205" s="72">
        <f>IF(AND(Q205="ja",R205=""),1,0)</f>
        <v>0</v>
      </c>
      <c r="Y205" s="74"/>
      <c r="Z205" s="77"/>
      <c r="AA205" s="78"/>
      <c r="AB205" s="78">
        <f t="shared" si="2"/>
        <v>0</v>
      </c>
      <c r="AI205" s="68"/>
      <c r="AJ205" s="68"/>
      <c r="AK205" s="68"/>
    </row>
    <row r="206" spans="1:37" ht="15" customHeight="1" thickBot="1" x14ac:dyDescent="0.3">
      <c r="A206" s="1595"/>
      <c r="B206" s="1490"/>
      <c r="C206" s="1491"/>
      <c r="D206" s="1491"/>
      <c r="E206" s="1491"/>
      <c r="F206" s="1491"/>
      <c r="G206" s="1492"/>
      <c r="H206" s="983"/>
      <c r="I206" s="1017"/>
      <c r="J206" s="1029"/>
      <c r="K206" s="1030"/>
      <c r="L206" s="984"/>
      <c r="M206" s="985"/>
      <c r="N206" s="985"/>
      <c r="O206" s="985"/>
      <c r="P206" s="985"/>
      <c r="Q206" s="978"/>
      <c r="R206" s="972"/>
      <c r="S206" s="973"/>
      <c r="T206" s="1258"/>
      <c r="U206" s="1337"/>
      <c r="Y206" s="74"/>
      <c r="Z206" s="77"/>
      <c r="AA206" s="78"/>
      <c r="AB206" s="78">
        <f t="shared" si="2"/>
        <v>0</v>
      </c>
      <c r="AI206" s="68"/>
      <c r="AJ206" s="68"/>
      <c r="AK206" s="68"/>
    </row>
    <row r="207" spans="1:37" ht="15" customHeight="1" thickBot="1" x14ac:dyDescent="0.3">
      <c r="A207" s="1595"/>
      <c r="B207" s="1103" t="s">
        <v>435</v>
      </c>
      <c r="C207" s="1104"/>
      <c r="D207" s="1104"/>
      <c r="E207" s="1104"/>
      <c r="F207" s="1104"/>
      <c r="G207" s="1105"/>
      <c r="H207" s="314" t="s">
        <v>100</v>
      </c>
      <c r="I207" s="1017"/>
      <c r="J207" s="1029"/>
      <c r="K207" s="1030"/>
      <c r="L207" s="984"/>
      <c r="M207" s="985"/>
      <c r="N207" s="985"/>
      <c r="O207" s="985"/>
      <c r="P207" s="985"/>
      <c r="Q207" s="978"/>
      <c r="R207" s="972"/>
      <c r="S207" s="973"/>
      <c r="T207" s="1258"/>
      <c r="U207" s="1337"/>
      <c r="Y207" s="74">
        <v>2.2499999999999999E-2</v>
      </c>
      <c r="Z207" s="77">
        <f>IF(H207="ja",Y207,0)</f>
        <v>0</v>
      </c>
      <c r="AA207" s="78"/>
      <c r="AB207" s="78">
        <f t="shared" si="2"/>
        <v>0</v>
      </c>
      <c r="AI207" s="68"/>
      <c r="AJ207" s="68"/>
      <c r="AK207" s="68"/>
    </row>
    <row r="208" spans="1:37" ht="15" customHeight="1" thickBot="1" x14ac:dyDescent="0.3">
      <c r="A208" s="1595"/>
      <c r="B208" s="1487" t="s">
        <v>436</v>
      </c>
      <c r="C208" s="1488"/>
      <c r="D208" s="1488"/>
      <c r="E208" s="1488"/>
      <c r="F208" s="1488"/>
      <c r="G208" s="1489"/>
      <c r="H208" s="981" t="s">
        <v>100</v>
      </c>
      <c r="I208" s="1017"/>
      <c r="J208" s="1029"/>
      <c r="K208" s="1030"/>
      <c r="L208" s="984" t="s">
        <v>437</v>
      </c>
      <c r="M208" s="985"/>
      <c r="N208" s="985"/>
      <c r="O208" s="985"/>
      <c r="P208" s="985"/>
      <c r="Q208" s="978" t="s">
        <v>100</v>
      </c>
      <c r="R208" s="972"/>
      <c r="S208" s="973"/>
      <c r="T208" s="1258"/>
      <c r="U208" s="1337"/>
      <c r="V208" s="72">
        <f>IF(AND(Q208="ja",R208=""),1,0)</f>
        <v>0</v>
      </c>
      <c r="Y208" s="74">
        <v>6.5000000000000002E-2</v>
      </c>
      <c r="Z208" s="77">
        <f>IF(H208="ja",Y208,0)</f>
        <v>0</v>
      </c>
      <c r="AA208" s="78"/>
      <c r="AB208" s="78">
        <f t="shared" si="2"/>
        <v>0</v>
      </c>
      <c r="AI208" s="68"/>
      <c r="AJ208" s="68"/>
      <c r="AK208" s="68"/>
    </row>
    <row r="209" spans="1:37" ht="15" customHeight="1" thickBot="1" x14ac:dyDescent="0.3">
      <c r="A209" s="1595"/>
      <c r="B209" s="1493"/>
      <c r="C209" s="1317"/>
      <c r="D209" s="1317"/>
      <c r="E209" s="1317"/>
      <c r="F209" s="1317"/>
      <c r="G209" s="1494"/>
      <c r="H209" s="982"/>
      <c r="I209" s="1017"/>
      <c r="J209" s="1029"/>
      <c r="K209" s="1030"/>
      <c r="L209" s="984"/>
      <c r="M209" s="985"/>
      <c r="N209" s="985"/>
      <c r="O209" s="985"/>
      <c r="P209" s="985"/>
      <c r="Q209" s="978"/>
      <c r="R209" s="972"/>
      <c r="S209" s="973"/>
      <c r="T209" s="1258"/>
      <c r="U209" s="1337"/>
      <c r="Y209" s="74"/>
      <c r="Z209" s="77"/>
      <c r="AA209" s="78"/>
      <c r="AB209" s="78">
        <f t="shared" si="2"/>
        <v>0</v>
      </c>
      <c r="AI209" s="68"/>
      <c r="AJ209" s="68"/>
      <c r="AK209" s="68"/>
    </row>
    <row r="210" spans="1:37" ht="15" customHeight="1" thickBot="1" x14ac:dyDescent="0.3">
      <c r="A210" s="159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78">
        <f t="shared" si="2"/>
        <v>0</v>
      </c>
      <c r="AI210" s="68"/>
      <c r="AJ210" s="68"/>
      <c r="AK210" s="68"/>
    </row>
    <row r="211" spans="1:37" ht="15" customHeight="1" thickBot="1" x14ac:dyDescent="0.3">
      <c r="A211" s="1595"/>
      <c r="B211" s="1490"/>
      <c r="C211" s="1491"/>
      <c r="D211" s="1491"/>
      <c r="E211" s="1491"/>
      <c r="F211" s="1491"/>
      <c r="G211" s="1492"/>
      <c r="H211" s="983"/>
      <c r="I211" s="1017"/>
      <c r="J211" s="1029"/>
      <c r="K211" s="1030"/>
      <c r="L211" s="1484" t="s">
        <v>438</v>
      </c>
      <c r="M211" s="1485"/>
      <c r="N211" s="1485"/>
      <c r="O211" s="1485"/>
      <c r="P211" s="1486"/>
      <c r="Q211" s="979" t="s">
        <v>100</v>
      </c>
      <c r="R211" s="1005"/>
      <c r="S211" s="1006"/>
      <c r="T211" s="1258"/>
      <c r="U211" s="1337"/>
      <c r="V211" s="72">
        <f>IF(AND(Q211="ja",R211=""),1,0)</f>
        <v>0</v>
      </c>
      <c r="Y211" s="74"/>
      <c r="Z211" s="77"/>
      <c r="AA211" s="78"/>
      <c r="AB211" s="78">
        <f t="shared" si="2"/>
        <v>0</v>
      </c>
      <c r="AI211" s="68"/>
      <c r="AJ211" s="68"/>
      <c r="AK211" s="68"/>
    </row>
    <row r="212" spans="1:37" ht="15" customHeight="1" thickBot="1" x14ac:dyDescent="0.3">
      <c r="A212" s="1595"/>
      <c r="B212" s="1487" t="s">
        <v>439</v>
      </c>
      <c r="C212" s="1488"/>
      <c r="D212" s="1488"/>
      <c r="E212" s="1488"/>
      <c r="F212" s="1488"/>
      <c r="G212" s="1489"/>
      <c r="H212" s="981" t="s">
        <v>100</v>
      </c>
      <c r="I212" s="1017"/>
      <c r="J212" s="1029"/>
      <c r="K212" s="1030"/>
      <c r="L212" s="1288"/>
      <c r="M212" s="1289"/>
      <c r="N212" s="1289"/>
      <c r="O212" s="1289"/>
      <c r="P212" s="1290"/>
      <c r="Q212" s="1003"/>
      <c r="R212" s="1007"/>
      <c r="S212" s="1008"/>
      <c r="T212" s="1258"/>
      <c r="U212" s="1337"/>
      <c r="Y212" s="74">
        <v>8.5000000000000006E-3</v>
      </c>
      <c r="Z212" s="77">
        <f>IF(H212="ja",Y212,0)</f>
        <v>0</v>
      </c>
      <c r="AA212" s="78"/>
      <c r="AB212" s="78">
        <f t="shared" si="2"/>
        <v>0</v>
      </c>
      <c r="AI212" s="68"/>
      <c r="AJ212" s="68"/>
      <c r="AK212" s="68"/>
    </row>
    <row r="213" spans="1:37" ht="15" customHeight="1" thickBot="1" x14ac:dyDescent="0.3">
      <c r="A213" s="1595"/>
      <c r="B213" s="1493"/>
      <c r="C213" s="1317"/>
      <c r="D213" s="1317"/>
      <c r="E213" s="1317"/>
      <c r="F213" s="1317"/>
      <c r="G213" s="1494"/>
      <c r="H213" s="982"/>
      <c r="I213" s="1017"/>
      <c r="J213" s="1029"/>
      <c r="K213" s="1030"/>
      <c r="L213" s="1288"/>
      <c r="M213" s="1289"/>
      <c r="N213" s="1289"/>
      <c r="O213" s="1289"/>
      <c r="P213" s="1290"/>
      <c r="Q213" s="1003"/>
      <c r="R213" s="1007"/>
      <c r="S213" s="1008"/>
      <c r="T213" s="1258"/>
      <c r="U213" s="1337"/>
      <c r="Y213" s="74"/>
      <c r="Z213" s="77"/>
      <c r="AA213" s="78"/>
      <c r="AB213" s="78">
        <f t="shared" si="2"/>
        <v>0</v>
      </c>
      <c r="AI213" s="68"/>
      <c r="AJ213" s="68"/>
      <c r="AK213" s="68"/>
    </row>
    <row r="214" spans="1:37" ht="15" customHeight="1" thickBot="1" x14ac:dyDescent="0.3">
      <c r="A214" s="1595"/>
      <c r="B214" s="1493"/>
      <c r="C214" s="1317"/>
      <c r="D214" s="1317"/>
      <c r="E214" s="1317"/>
      <c r="F214" s="1317"/>
      <c r="G214" s="1494"/>
      <c r="H214" s="982"/>
      <c r="I214" s="1017"/>
      <c r="J214" s="1029"/>
      <c r="K214" s="1030"/>
      <c r="L214" s="1288"/>
      <c r="M214" s="1289"/>
      <c r="N214" s="1289"/>
      <c r="O214" s="1289"/>
      <c r="P214" s="1290"/>
      <c r="Q214" s="1003"/>
      <c r="R214" s="1007"/>
      <c r="S214" s="1008"/>
      <c r="T214" s="1258"/>
      <c r="U214" s="1337"/>
      <c r="V214" s="72">
        <f>IF(AND(Q214="ja",R214=""),1,0)</f>
        <v>0</v>
      </c>
      <c r="Y214" s="74"/>
      <c r="Z214" s="77"/>
      <c r="AA214" s="78"/>
      <c r="AB214" s="78">
        <f t="shared" si="2"/>
        <v>0</v>
      </c>
      <c r="AI214" s="68"/>
      <c r="AJ214" s="68"/>
      <c r="AK214" s="68"/>
    </row>
    <row r="215" spans="1:37" ht="15" customHeight="1" thickBot="1" x14ac:dyDescent="0.3">
      <c r="A215" s="1595"/>
      <c r="B215" s="1490"/>
      <c r="C215" s="1491"/>
      <c r="D215" s="1491"/>
      <c r="E215" s="1491"/>
      <c r="F215" s="1491"/>
      <c r="G215" s="1492"/>
      <c r="H215" s="983"/>
      <c r="I215" s="1017"/>
      <c r="J215" s="1029"/>
      <c r="K215" s="1030"/>
      <c r="L215" s="1288"/>
      <c r="M215" s="1289"/>
      <c r="N215" s="1289"/>
      <c r="O215" s="1289"/>
      <c r="P215" s="1290"/>
      <c r="Q215" s="1003"/>
      <c r="R215" s="1007"/>
      <c r="S215" s="1008"/>
      <c r="T215" s="1258"/>
      <c r="U215" s="1337"/>
      <c r="Y215" s="74"/>
      <c r="Z215" s="77"/>
      <c r="AA215" s="78"/>
      <c r="AB215" s="78">
        <f t="shared" si="2"/>
        <v>0</v>
      </c>
      <c r="AI215" s="68"/>
      <c r="AJ215" s="68"/>
      <c r="AK215" s="68"/>
    </row>
    <row r="216" spans="1:37" ht="15" customHeight="1" thickBot="1" x14ac:dyDescent="0.3">
      <c r="A216" s="1595"/>
      <c r="B216" s="1103" t="s">
        <v>440</v>
      </c>
      <c r="C216" s="1104"/>
      <c r="D216" s="1104"/>
      <c r="E216" s="1104"/>
      <c r="F216" s="1104"/>
      <c r="G216" s="1105"/>
      <c r="H216" s="314" t="s">
        <v>100</v>
      </c>
      <c r="I216" s="1017"/>
      <c r="J216" s="1029"/>
      <c r="K216" s="1030"/>
      <c r="L216" s="1291"/>
      <c r="M216" s="1292"/>
      <c r="N216" s="1292"/>
      <c r="O216" s="1292"/>
      <c r="P216" s="1293"/>
      <c r="Q216" s="1295"/>
      <c r="R216" s="1269"/>
      <c r="S216" s="1270"/>
      <c r="T216" s="1258"/>
      <c r="U216" s="1337"/>
      <c r="Y216" s="74">
        <v>8.0000000000000002E-3</v>
      </c>
      <c r="Z216" s="77">
        <f>IF(H216="ja",Y216,0)</f>
        <v>0</v>
      </c>
      <c r="AA216" s="78"/>
      <c r="AB216" s="78">
        <f t="shared" si="2"/>
        <v>0</v>
      </c>
      <c r="AI216" s="68"/>
      <c r="AJ216" s="68"/>
      <c r="AK216" s="68"/>
    </row>
    <row r="217" spans="1:37" ht="15" customHeight="1" thickBot="1" x14ac:dyDescent="0.3">
      <c r="A217" s="1595"/>
      <c r="B217" s="1103" t="s">
        <v>441</v>
      </c>
      <c r="C217" s="1104"/>
      <c r="D217" s="1104"/>
      <c r="E217" s="1104"/>
      <c r="F217" s="1104"/>
      <c r="G217" s="1105"/>
      <c r="H217" s="314" t="s">
        <v>100</v>
      </c>
      <c r="I217" s="1017"/>
      <c r="J217" s="1029"/>
      <c r="K217" s="1030"/>
      <c r="L217" s="1484" t="s">
        <v>442</v>
      </c>
      <c r="M217" s="1485"/>
      <c r="N217" s="1485"/>
      <c r="O217" s="1485"/>
      <c r="P217" s="1486"/>
      <c r="Q217" s="979" t="s">
        <v>100</v>
      </c>
      <c r="R217" s="1005"/>
      <c r="S217" s="1006"/>
      <c r="T217" s="1258"/>
      <c r="U217" s="1337"/>
      <c r="V217" s="72">
        <f>IF(AND(Q217="ja",R217=""),1,0)</f>
        <v>0</v>
      </c>
      <c r="Y217" s="74">
        <v>5.0000000000000001E-3</v>
      </c>
      <c r="Z217" s="77">
        <f>IF(H217="ja",Y217,0)</f>
        <v>0</v>
      </c>
      <c r="AA217" s="78"/>
      <c r="AB217" s="78">
        <f t="shared" si="2"/>
        <v>0</v>
      </c>
      <c r="AI217" s="68"/>
      <c r="AJ217" s="68"/>
      <c r="AK217" s="68"/>
    </row>
    <row r="218" spans="1:37" ht="15" customHeight="1" thickBot="1" x14ac:dyDescent="0.3">
      <c r="A218" s="1595"/>
      <c r="B218" s="1487" t="s">
        <v>443</v>
      </c>
      <c r="C218" s="1488"/>
      <c r="D218" s="1488"/>
      <c r="E218" s="1488"/>
      <c r="F218" s="1488"/>
      <c r="G218" s="1489"/>
      <c r="H218" s="981" t="s">
        <v>100</v>
      </c>
      <c r="I218" s="1017"/>
      <c r="J218" s="1029"/>
      <c r="K218" s="1030"/>
      <c r="L218" s="1288"/>
      <c r="M218" s="1289"/>
      <c r="N218" s="1289"/>
      <c r="O218" s="1289"/>
      <c r="P218" s="1290"/>
      <c r="Q218" s="1003"/>
      <c r="R218" s="1007"/>
      <c r="S218" s="1008"/>
      <c r="T218" s="1258"/>
      <c r="U218" s="1337"/>
      <c r="Y218" s="74">
        <v>2.5000000000000001E-2</v>
      </c>
      <c r="Z218" s="77">
        <f>IF(H218="ja",Y218,0)</f>
        <v>0</v>
      </c>
      <c r="AA218" s="78"/>
      <c r="AB218" s="78">
        <f t="shared" si="2"/>
        <v>0</v>
      </c>
      <c r="AI218" s="68"/>
      <c r="AJ218" s="68"/>
      <c r="AK218" s="68"/>
    </row>
    <row r="219" spans="1:37" ht="15" customHeight="1" thickBot="1" x14ac:dyDescent="0.3">
      <c r="A219" s="1595"/>
      <c r="B219" s="1493"/>
      <c r="C219" s="1317"/>
      <c r="D219" s="1317"/>
      <c r="E219" s="1317"/>
      <c r="F219" s="1317"/>
      <c r="G219" s="1494"/>
      <c r="H219" s="982"/>
      <c r="I219" s="1017"/>
      <c r="J219" s="1029"/>
      <c r="K219" s="1030"/>
      <c r="L219" s="1288"/>
      <c r="M219" s="1289"/>
      <c r="N219" s="1289"/>
      <c r="O219" s="1289"/>
      <c r="P219" s="1290"/>
      <c r="Q219" s="1003"/>
      <c r="R219" s="1007"/>
      <c r="S219" s="1008"/>
      <c r="T219" s="1258"/>
      <c r="U219" s="1337"/>
      <c r="Y219" s="74"/>
      <c r="Z219" s="77"/>
      <c r="AA219" s="78"/>
      <c r="AB219" s="78">
        <f t="shared" si="2"/>
        <v>0</v>
      </c>
      <c r="AI219" s="68"/>
      <c r="AJ219" s="68"/>
      <c r="AK219" s="68"/>
    </row>
    <row r="220" spans="1:37" ht="15" customHeight="1" thickBot="1" x14ac:dyDescent="0.3">
      <c r="A220" s="159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V220" s="72">
        <f>IF(AND(Q220="ja",R220=""),1,0)</f>
        <v>0</v>
      </c>
      <c r="Y220" s="74"/>
      <c r="Z220" s="77"/>
      <c r="AA220" s="78"/>
      <c r="AB220" s="78">
        <f t="shared" si="2"/>
        <v>0</v>
      </c>
      <c r="AI220" s="68"/>
      <c r="AJ220" s="68"/>
      <c r="AK220" s="68"/>
    </row>
    <row r="221" spans="1:37" ht="15" customHeight="1" thickBot="1" x14ac:dyDescent="0.3">
      <c r="A221" s="1595"/>
      <c r="B221" s="1490"/>
      <c r="C221" s="1491"/>
      <c r="D221" s="1491"/>
      <c r="E221" s="1491"/>
      <c r="F221" s="1491"/>
      <c r="G221" s="1492"/>
      <c r="H221" s="983"/>
      <c r="I221" s="1017"/>
      <c r="J221" s="1029"/>
      <c r="K221" s="1030"/>
      <c r="L221" s="1288"/>
      <c r="M221" s="1289"/>
      <c r="N221" s="1289"/>
      <c r="O221" s="1289"/>
      <c r="P221" s="1290"/>
      <c r="Q221" s="1003"/>
      <c r="R221" s="1007"/>
      <c r="S221" s="1008"/>
      <c r="T221" s="1258"/>
      <c r="U221" s="1337"/>
      <c r="Y221" s="74"/>
      <c r="Z221" s="77"/>
      <c r="AA221" s="78"/>
      <c r="AB221" s="78">
        <f t="shared" si="2"/>
        <v>0</v>
      </c>
      <c r="AI221" s="68"/>
      <c r="AJ221" s="68"/>
      <c r="AK221" s="68"/>
    </row>
    <row r="222" spans="1:37" ht="15" customHeight="1" thickBot="1" x14ac:dyDescent="0.3">
      <c r="A222" s="1595"/>
      <c r="B222" s="1103" t="s">
        <v>444</v>
      </c>
      <c r="C222" s="1104"/>
      <c r="D222" s="1104"/>
      <c r="E222" s="1104"/>
      <c r="F222" s="1104"/>
      <c r="G222" s="1105"/>
      <c r="H222" s="314" t="s">
        <v>100</v>
      </c>
      <c r="I222" s="1017"/>
      <c r="J222" s="1029"/>
      <c r="K222" s="1030"/>
      <c r="L222" s="1288"/>
      <c r="M222" s="1289"/>
      <c r="N222" s="1289"/>
      <c r="O222" s="1289"/>
      <c r="P222" s="1290"/>
      <c r="Q222" s="1003"/>
      <c r="R222" s="1007"/>
      <c r="S222" s="1008"/>
      <c r="T222" s="1258"/>
      <c r="U222" s="1337"/>
      <c r="Y222" s="74">
        <v>1E-3</v>
      </c>
      <c r="Z222" s="77">
        <f>IF(H222="ja",Y222,0)</f>
        <v>0</v>
      </c>
      <c r="AA222" s="78"/>
      <c r="AB222" s="78">
        <f t="shared" si="2"/>
        <v>0</v>
      </c>
      <c r="AI222" s="68"/>
      <c r="AJ222" s="68"/>
      <c r="AK222" s="68"/>
    </row>
    <row r="223" spans="1:37" ht="15" customHeight="1" thickBot="1" x14ac:dyDescent="0.3">
      <c r="A223" s="1595"/>
      <c r="B223" s="1487" t="s">
        <v>445</v>
      </c>
      <c r="C223" s="1488"/>
      <c r="D223" s="1488"/>
      <c r="E223" s="1488"/>
      <c r="F223" s="1488"/>
      <c r="G223" s="1489"/>
      <c r="H223" s="981" t="s">
        <v>100</v>
      </c>
      <c r="I223" s="1017"/>
      <c r="J223" s="1029"/>
      <c r="K223" s="1030"/>
      <c r="L223" s="1288"/>
      <c r="M223" s="1289"/>
      <c r="N223" s="1289"/>
      <c r="O223" s="1289"/>
      <c r="P223" s="1290"/>
      <c r="Q223" s="1003"/>
      <c r="R223" s="1007"/>
      <c r="S223" s="1008"/>
      <c r="T223" s="1258"/>
      <c r="U223" s="1337"/>
      <c r="V223" s="72">
        <f>IF(AND(Q223="ja",R223=""),1,0)</f>
        <v>0</v>
      </c>
      <c r="Y223" s="74">
        <v>7.4999999999999997E-3</v>
      </c>
      <c r="Z223" s="77">
        <f>IF(H223="ja",Y223,0)</f>
        <v>0</v>
      </c>
      <c r="AA223" s="78"/>
      <c r="AB223" s="78">
        <f t="shared" si="2"/>
        <v>0</v>
      </c>
      <c r="AI223" s="68"/>
      <c r="AJ223" s="68"/>
      <c r="AK223" s="68"/>
    </row>
    <row r="224" spans="1:37" ht="15" customHeight="1" thickBot="1" x14ac:dyDescent="0.3">
      <c r="A224" s="1595"/>
      <c r="B224" s="1493"/>
      <c r="C224" s="1317"/>
      <c r="D224" s="1317"/>
      <c r="E224" s="1317"/>
      <c r="F224" s="1317"/>
      <c r="G224" s="1494"/>
      <c r="H224" s="982"/>
      <c r="I224" s="1017"/>
      <c r="J224" s="1029"/>
      <c r="K224" s="1030"/>
      <c r="L224" s="1288"/>
      <c r="M224" s="1289"/>
      <c r="N224" s="1289"/>
      <c r="O224" s="1289"/>
      <c r="P224" s="1290"/>
      <c r="Q224" s="1003"/>
      <c r="R224" s="1007"/>
      <c r="S224" s="1008"/>
      <c r="T224" s="1258"/>
      <c r="U224" s="1337"/>
      <c r="Y224" s="74"/>
      <c r="Z224" s="77"/>
      <c r="AA224" s="78"/>
      <c r="AB224" s="78">
        <f t="shared" si="2"/>
        <v>0</v>
      </c>
      <c r="AI224" s="68"/>
      <c r="AJ224" s="68"/>
      <c r="AK224" s="68"/>
    </row>
    <row r="225" spans="1:37" ht="15" customHeight="1" thickBot="1" x14ac:dyDescent="0.3">
      <c r="A225" s="1595"/>
      <c r="B225" s="1493"/>
      <c r="C225" s="1317"/>
      <c r="D225" s="1317"/>
      <c r="E225" s="1317"/>
      <c r="F225" s="1317"/>
      <c r="G225" s="1494"/>
      <c r="H225" s="982"/>
      <c r="I225" s="1017"/>
      <c r="J225" s="1029"/>
      <c r="K225" s="1030"/>
      <c r="L225" s="1291"/>
      <c r="M225" s="1292"/>
      <c r="N225" s="1292"/>
      <c r="O225" s="1292"/>
      <c r="P225" s="1293"/>
      <c r="Q225" s="1295"/>
      <c r="R225" s="1269"/>
      <c r="S225" s="1270"/>
      <c r="T225" s="1258"/>
      <c r="U225" s="1337"/>
      <c r="Y225" s="74"/>
      <c r="Z225" s="77"/>
      <c r="AA225" s="78"/>
      <c r="AB225" s="78">
        <f t="shared" si="2"/>
        <v>0</v>
      </c>
      <c r="AI225" s="68"/>
      <c r="AJ225" s="68"/>
      <c r="AK225" s="68"/>
    </row>
    <row r="226" spans="1:37" ht="15" customHeight="1" thickBot="1" x14ac:dyDescent="0.3">
      <c r="A226" s="1595"/>
      <c r="B226" s="1490"/>
      <c r="C226" s="1491"/>
      <c r="D226" s="1491"/>
      <c r="E226" s="1491"/>
      <c r="F226" s="1491"/>
      <c r="G226" s="1492"/>
      <c r="H226" s="983"/>
      <c r="I226" s="1017"/>
      <c r="J226" s="1029"/>
      <c r="K226" s="1030"/>
      <c r="L226" s="984" t="s">
        <v>254</v>
      </c>
      <c r="M226" s="985"/>
      <c r="N226" s="985"/>
      <c r="O226" s="985"/>
      <c r="P226" s="985"/>
      <c r="Q226" s="978" t="s">
        <v>100</v>
      </c>
      <c r="R226" s="972"/>
      <c r="S226" s="973"/>
      <c r="T226" s="1258"/>
      <c r="U226" s="1337"/>
      <c r="V226" s="72">
        <f>IF(AND(Q226="ja",R226=""),1,0)</f>
        <v>0</v>
      </c>
      <c r="Y226" s="74"/>
      <c r="Z226" s="77"/>
      <c r="AA226" s="78"/>
      <c r="AB226" s="78">
        <f t="shared" si="2"/>
        <v>0</v>
      </c>
      <c r="AI226" s="68"/>
      <c r="AJ226" s="68"/>
      <c r="AK226" s="68"/>
    </row>
    <row r="227" spans="1:37" ht="15" customHeight="1" thickBot="1" x14ac:dyDescent="0.3">
      <c r="A227" s="1595"/>
      <c r="B227" s="1487" t="s">
        <v>446</v>
      </c>
      <c r="C227" s="1488"/>
      <c r="D227" s="1488"/>
      <c r="E227" s="1488"/>
      <c r="F227" s="1488"/>
      <c r="G227" s="1489"/>
      <c r="H227" s="981" t="s">
        <v>100</v>
      </c>
      <c r="I227" s="1017"/>
      <c r="J227" s="1029"/>
      <c r="K227" s="1030"/>
      <c r="L227" s="984"/>
      <c r="M227" s="985"/>
      <c r="N227" s="985"/>
      <c r="O227" s="985"/>
      <c r="P227" s="985"/>
      <c r="Q227" s="978"/>
      <c r="R227" s="972"/>
      <c r="S227" s="973"/>
      <c r="T227" s="1258"/>
      <c r="U227" s="1337"/>
      <c r="Y227" s="74">
        <v>1E-3</v>
      </c>
      <c r="Z227" s="77">
        <f>IF(H227="ja",Y227,0)</f>
        <v>0</v>
      </c>
      <c r="AA227" s="78"/>
      <c r="AB227" s="78">
        <f t="shared" si="2"/>
        <v>0</v>
      </c>
      <c r="AI227" s="68"/>
      <c r="AJ227" s="68"/>
      <c r="AK227" s="68"/>
    </row>
    <row r="228" spans="1:37" ht="15" customHeight="1" thickBot="1" x14ac:dyDescent="0.3">
      <c r="A228" s="1595"/>
      <c r="B228" s="1490"/>
      <c r="C228" s="1491"/>
      <c r="D228" s="1491"/>
      <c r="E228" s="1491"/>
      <c r="F228" s="1491"/>
      <c r="G228" s="1492"/>
      <c r="H228" s="983"/>
      <c r="I228" s="1017"/>
      <c r="J228" s="1029"/>
      <c r="K228" s="1030"/>
      <c r="L228" s="984"/>
      <c r="M228" s="985"/>
      <c r="N228" s="985"/>
      <c r="O228" s="985"/>
      <c r="P228" s="985"/>
      <c r="Q228" s="978"/>
      <c r="R228" s="972"/>
      <c r="S228" s="973"/>
      <c r="T228" s="1258"/>
      <c r="U228" s="1337"/>
      <c r="Y228" s="74"/>
      <c r="Z228" s="77"/>
      <c r="AA228" s="78"/>
      <c r="AB228" s="78">
        <f t="shared" si="2"/>
        <v>0</v>
      </c>
      <c r="AI228" s="68"/>
      <c r="AJ228" s="68"/>
      <c r="AK228" s="68"/>
    </row>
    <row r="229" spans="1:37" ht="15" customHeight="1" thickBot="1" x14ac:dyDescent="0.3">
      <c r="A229" s="1595"/>
      <c r="B229" s="1487" t="s">
        <v>270</v>
      </c>
      <c r="C229" s="1488"/>
      <c r="D229" s="1488"/>
      <c r="E229" s="1488"/>
      <c r="F229" s="1488"/>
      <c r="G229" s="1489"/>
      <c r="H229" s="981" t="s">
        <v>100</v>
      </c>
      <c r="I229" s="1017"/>
      <c r="J229" s="1029"/>
      <c r="K229" s="1030"/>
      <c r="L229" s="1484" t="s">
        <v>263</v>
      </c>
      <c r="M229" s="1485"/>
      <c r="N229" s="1485"/>
      <c r="O229" s="1485"/>
      <c r="P229" s="1486"/>
      <c r="Q229" s="979" t="s">
        <v>100</v>
      </c>
      <c r="R229" s="1005"/>
      <c r="S229" s="1006"/>
      <c r="T229" s="1258"/>
      <c r="U229" s="1337"/>
      <c r="V229" s="72">
        <f>IF(AND(Q229="ja",R229=""),1,0)</f>
        <v>0</v>
      </c>
      <c r="Y229" s="74">
        <v>1.4999999999999999E-2</v>
      </c>
      <c r="Z229" s="77">
        <f>IF(H229="ja",Y229,0)</f>
        <v>0</v>
      </c>
      <c r="AA229" s="78"/>
      <c r="AB229" s="78">
        <f t="shared" si="2"/>
        <v>0</v>
      </c>
      <c r="AI229" s="68"/>
      <c r="AJ229" s="68"/>
      <c r="AK229" s="68"/>
    </row>
    <row r="230" spans="1:37" ht="15" customHeight="1" thickBot="1" x14ac:dyDescent="0.3">
      <c r="A230" s="1595"/>
      <c r="B230" s="1490"/>
      <c r="C230" s="1491"/>
      <c r="D230" s="1491"/>
      <c r="E230" s="1491"/>
      <c r="F230" s="1491"/>
      <c r="G230" s="1492"/>
      <c r="H230" s="983"/>
      <c r="I230" s="1017"/>
      <c r="J230" s="1029"/>
      <c r="K230" s="1030"/>
      <c r="L230" s="1288"/>
      <c r="M230" s="1289"/>
      <c r="N230" s="1289"/>
      <c r="O230" s="1289"/>
      <c r="P230" s="1290"/>
      <c r="Q230" s="1003"/>
      <c r="R230" s="1007"/>
      <c r="S230" s="1008"/>
      <c r="T230" s="1258"/>
      <c r="U230" s="1337"/>
      <c r="Y230" s="74"/>
      <c r="Z230" s="77"/>
      <c r="AA230" s="78"/>
      <c r="AB230" s="78">
        <f t="shared" si="2"/>
        <v>0</v>
      </c>
      <c r="AI230" s="68"/>
      <c r="AJ230" s="68"/>
      <c r="AK230" s="68"/>
    </row>
    <row r="231" spans="1:37" ht="15" customHeight="1" thickBot="1" x14ac:dyDescent="0.3">
      <c r="A231" s="1595"/>
      <c r="B231" s="1487" t="s">
        <v>447</v>
      </c>
      <c r="C231" s="1488"/>
      <c r="D231" s="1488"/>
      <c r="E231" s="1488"/>
      <c r="F231" s="1488"/>
      <c r="G231" s="1489"/>
      <c r="H231" s="981" t="s">
        <v>100</v>
      </c>
      <c r="I231" s="1017"/>
      <c r="J231" s="1029"/>
      <c r="K231" s="1030"/>
      <c r="L231" s="1288"/>
      <c r="M231" s="1289"/>
      <c r="N231" s="1289"/>
      <c r="O231" s="1289"/>
      <c r="P231" s="1290"/>
      <c r="Q231" s="1003"/>
      <c r="R231" s="1007"/>
      <c r="S231" s="1008"/>
      <c r="T231" s="1258"/>
      <c r="U231" s="1337"/>
      <c r="Y231" s="74">
        <v>1E-3</v>
      </c>
      <c r="Z231" s="77">
        <f>IF(H231="ja",Y231,0)</f>
        <v>0</v>
      </c>
      <c r="AA231" s="77"/>
      <c r="AB231" s="78">
        <f t="shared" si="2"/>
        <v>0</v>
      </c>
      <c r="AI231" s="68"/>
      <c r="AJ231" s="68"/>
      <c r="AK231" s="68"/>
    </row>
    <row r="232" spans="1:37" ht="15" customHeight="1" thickBot="1" x14ac:dyDescent="0.3">
      <c r="A232" s="1595"/>
      <c r="B232" s="1493"/>
      <c r="C232" s="1317"/>
      <c r="D232" s="1317"/>
      <c r="E232" s="1317"/>
      <c r="F232" s="1317"/>
      <c r="G232" s="1494"/>
      <c r="H232" s="982"/>
      <c r="I232" s="1017"/>
      <c r="J232" s="1029"/>
      <c r="K232" s="1030"/>
      <c r="L232" s="1288"/>
      <c r="M232" s="1289"/>
      <c r="N232" s="1289"/>
      <c r="O232" s="1289"/>
      <c r="P232" s="1290"/>
      <c r="Q232" s="1003"/>
      <c r="R232" s="1007"/>
      <c r="S232" s="1008"/>
      <c r="T232" s="1258"/>
      <c r="U232" s="1337"/>
      <c r="V232" s="72">
        <f>IF(AND(Q232="ja",R232=""),1,0)</f>
        <v>0</v>
      </c>
      <c r="Y232" s="74"/>
      <c r="Z232" s="77"/>
      <c r="AA232" s="78"/>
      <c r="AB232" s="78">
        <f t="shared" ref="AB232:AB243" si="3">IF(Q232="ja",1,0)</f>
        <v>0</v>
      </c>
      <c r="AI232" s="68"/>
      <c r="AJ232" s="68"/>
      <c r="AK232" s="68"/>
    </row>
    <row r="233" spans="1:37" ht="15" customHeight="1" thickBot="1" x14ac:dyDescent="0.3">
      <c r="A233" s="1595"/>
      <c r="B233" s="1490"/>
      <c r="C233" s="1491"/>
      <c r="D233" s="1491"/>
      <c r="E233" s="1491"/>
      <c r="F233" s="1491"/>
      <c r="G233" s="1492"/>
      <c r="H233" s="983"/>
      <c r="I233" s="1018"/>
      <c r="J233" s="1031"/>
      <c r="K233" s="1032"/>
      <c r="L233" s="1508"/>
      <c r="M233" s="1509"/>
      <c r="N233" s="1509"/>
      <c r="O233" s="1509"/>
      <c r="P233" s="1510"/>
      <c r="Q233" s="1004"/>
      <c r="R233" s="1009"/>
      <c r="S233" s="1010"/>
      <c r="T233" s="1259"/>
      <c r="U233" s="1337"/>
      <c r="Y233" s="74"/>
      <c r="Z233" s="77"/>
      <c r="AA233" s="78"/>
      <c r="AB233" s="78">
        <f t="shared" si="3"/>
        <v>0</v>
      </c>
      <c r="AI233" s="68"/>
      <c r="AJ233" s="68"/>
      <c r="AK233" s="68"/>
    </row>
    <row r="234" spans="1:37" ht="14.55" thickBot="1" x14ac:dyDescent="0.3">
      <c r="A234" s="1595"/>
      <c r="B234" s="1511" t="s">
        <v>272</v>
      </c>
      <c r="C234" s="1512"/>
      <c r="D234" s="1512"/>
      <c r="E234" s="1512"/>
      <c r="F234" s="1512"/>
      <c r="G234" s="1513"/>
      <c r="H234" s="342"/>
      <c r="I234" s="1361"/>
      <c r="J234" s="1362"/>
      <c r="K234" s="1362"/>
      <c r="L234" s="1534">
        <f>SUM(R193:S233)</f>
        <v>0</v>
      </c>
      <c r="M234" s="1535"/>
      <c r="N234" s="1535"/>
      <c r="O234" s="1535"/>
      <c r="P234" s="1535"/>
      <c r="Q234" s="347"/>
      <c r="R234" s="1705"/>
      <c r="S234" s="1706"/>
      <c r="U234" s="334"/>
      <c r="Y234" s="74"/>
      <c r="Z234" s="152">
        <f>SUM(Z193:Z231)</f>
        <v>0</v>
      </c>
      <c r="AA234" s="78"/>
      <c r="AB234" s="78">
        <f t="shared" si="3"/>
        <v>0</v>
      </c>
      <c r="AI234" s="68"/>
      <c r="AJ234" s="68"/>
      <c r="AK234" s="68"/>
    </row>
    <row r="235" spans="1:37" ht="15" customHeight="1" thickBot="1" x14ac:dyDescent="0.3">
      <c r="A235" s="1595"/>
      <c r="B235" s="1497" t="s">
        <v>274</v>
      </c>
      <c r="C235" s="1498"/>
      <c r="D235" s="1498"/>
      <c r="E235" s="1498"/>
      <c r="F235" s="1498"/>
      <c r="G235" s="1499"/>
      <c r="H235" s="1194" t="s">
        <v>100</v>
      </c>
      <c r="I235" s="1016">
        <f>Z244</f>
        <v>0</v>
      </c>
      <c r="J235" s="1027">
        <f>I235*I115</f>
        <v>0</v>
      </c>
      <c r="K235" s="1028"/>
      <c r="L235" s="984"/>
      <c r="M235" s="985"/>
      <c r="N235" s="985"/>
      <c r="O235" s="985"/>
      <c r="P235" s="985"/>
      <c r="Q235" s="978" t="s">
        <v>100</v>
      </c>
      <c r="R235" s="972"/>
      <c r="S235" s="973"/>
      <c r="T235" s="1257" t="str">
        <f>IFERROR(IF((VLOOKUP(U235,Überblick!$M$125:$N$133,2))="ja","ja","nein"),"")</f>
        <v/>
      </c>
      <c r="U235" s="1337"/>
      <c r="V235" s="72">
        <f>IF(AND(Q235="ja",R235=""),1,0)</f>
        <v>0</v>
      </c>
      <c r="Y235" s="74">
        <v>5.0000000000000001E-3</v>
      </c>
      <c r="Z235" s="77">
        <f>IF(H235="ja",Y235,0)</f>
        <v>0</v>
      </c>
      <c r="AA235" s="78"/>
      <c r="AB235" s="78">
        <f t="shared" si="3"/>
        <v>0</v>
      </c>
      <c r="AI235" s="68"/>
      <c r="AJ235" s="68"/>
      <c r="AK235" s="68"/>
    </row>
    <row r="236" spans="1:37" ht="15" customHeight="1" thickBot="1" x14ac:dyDescent="0.3">
      <c r="A236" s="1595"/>
      <c r="B236" s="1493"/>
      <c r="C236" s="1317"/>
      <c r="D236" s="1317"/>
      <c r="E236" s="1317"/>
      <c r="F236" s="1317"/>
      <c r="G236" s="1494"/>
      <c r="H236" s="982"/>
      <c r="I236" s="1017"/>
      <c r="J236" s="1029"/>
      <c r="K236" s="1030"/>
      <c r="L236" s="984"/>
      <c r="M236" s="985"/>
      <c r="N236" s="985"/>
      <c r="O236" s="985"/>
      <c r="P236" s="985"/>
      <c r="Q236" s="978"/>
      <c r="R236" s="972"/>
      <c r="S236" s="973"/>
      <c r="T236" s="1258"/>
      <c r="U236" s="1337"/>
      <c r="Y236" s="74"/>
      <c r="Z236" s="77"/>
      <c r="AA236" s="78"/>
      <c r="AB236" s="78">
        <f t="shared" si="3"/>
        <v>0</v>
      </c>
      <c r="AI236" s="68"/>
      <c r="AJ236" s="68"/>
      <c r="AK236" s="68"/>
    </row>
    <row r="237" spans="1:37" ht="15" customHeight="1" thickBot="1" x14ac:dyDescent="0.3">
      <c r="A237" s="159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78">
        <f t="shared" si="3"/>
        <v>0</v>
      </c>
      <c r="AI237" s="68"/>
      <c r="AJ237" s="68"/>
      <c r="AK237" s="68"/>
    </row>
    <row r="238" spans="1:37" ht="15" customHeight="1" thickBot="1" x14ac:dyDescent="0.3">
      <c r="A238" s="1595"/>
      <c r="B238" s="1493"/>
      <c r="C238" s="1317"/>
      <c r="D238" s="1317"/>
      <c r="E238" s="1317"/>
      <c r="F238" s="1317"/>
      <c r="G238" s="1494"/>
      <c r="H238" s="982"/>
      <c r="I238" s="1017"/>
      <c r="J238" s="1029"/>
      <c r="K238" s="1030"/>
      <c r="L238" s="984"/>
      <c r="M238" s="985"/>
      <c r="N238" s="985"/>
      <c r="O238" s="985"/>
      <c r="P238" s="985"/>
      <c r="Q238" s="978" t="s">
        <v>100</v>
      </c>
      <c r="R238" s="972"/>
      <c r="S238" s="973"/>
      <c r="T238" s="1258"/>
      <c r="U238" s="1337"/>
      <c r="V238" s="72">
        <f>IF(AND(Q238="ja",R238=""),1,0)</f>
        <v>0</v>
      </c>
      <c r="Y238" s="74"/>
      <c r="Z238" s="77"/>
      <c r="AA238" s="78"/>
      <c r="AB238" s="78">
        <f t="shared" si="3"/>
        <v>0</v>
      </c>
      <c r="AI238" s="68"/>
      <c r="AJ238" s="68"/>
      <c r="AK238" s="68"/>
    </row>
    <row r="239" spans="1:37" ht="15" customHeight="1" thickBot="1" x14ac:dyDescent="0.3">
      <c r="A239" s="1595"/>
      <c r="B239" s="1490"/>
      <c r="C239" s="1491"/>
      <c r="D239" s="1491"/>
      <c r="E239" s="1491"/>
      <c r="F239" s="1491"/>
      <c r="G239" s="1492"/>
      <c r="H239" s="983"/>
      <c r="I239" s="1017"/>
      <c r="J239" s="1029"/>
      <c r="K239" s="1030"/>
      <c r="L239" s="984"/>
      <c r="M239" s="985"/>
      <c r="N239" s="985"/>
      <c r="O239" s="985"/>
      <c r="P239" s="985"/>
      <c r="Q239" s="978"/>
      <c r="R239" s="972"/>
      <c r="S239" s="973"/>
      <c r="T239" s="1258"/>
      <c r="U239" s="1337"/>
      <c r="Y239" s="74"/>
      <c r="Z239" s="77"/>
      <c r="AA239" s="78"/>
      <c r="AB239" s="78">
        <f t="shared" si="3"/>
        <v>0</v>
      </c>
      <c r="AI239" s="68"/>
      <c r="AJ239" s="68"/>
      <c r="AK239" s="68"/>
    </row>
    <row r="240" spans="1:37" ht="15" customHeight="1" thickBot="1" x14ac:dyDescent="0.3">
      <c r="A240" s="1595"/>
      <c r="B240" s="1487" t="s">
        <v>275</v>
      </c>
      <c r="C240" s="1488"/>
      <c r="D240" s="1488"/>
      <c r="E240" s="1488"/>
      <c r="F240" s="1488"/>
      <c r="G240" s="1489"/>
      <c r="H240" s="981" t="s">
        <v>100</v>
      </c>
      <c r="I240" s="1017"/>
      <c r="J240" s="1029"/>
      <c r="K240" s="1030"/>
      <c r="L240" s="984"/>
      <c r="M240" s="985"/>
      <c r="N240" s="985"/>
      <c r="O240" s="985"/>
      <c r="P240" s="985"/>
      <c r="Q240" s="978"/>
      <c r="R240" s="972"/>
      <c r="S240" s="973"/>
      <c r="T240" s="1258"/>
      <c r="U240" s="1337"/>
      <c r="Y240" s="74">
        <v>4.0000000000000001E-3</v>
      </c>
      <c r="Z240" s="77">
        <f>IF(H240="ja",Y240,0)</f>
        <v>0</v>
      </c>
      <c r="AA240" s="78"/>
      <c r="AB240" s="78">
        <f t="shared" si="3"/>
        <v>0</v>
      </c>
      <c r="AI240" s="68"/>
      <c r="AJ240" s="68"/>
      <c r="AK240" s="68"/>
    </row>
    <row r="241" spans="1:37" ht="15" customHeight="1" thickBot="1" x14ac:dyDescent="0.3">
      <c r="A241" s="1595"/>
      <c r="B241" s="1493"/>
      <c r="C241" s="1317"/>
      <c r="D241" s="1317"/>
      <c r="E241" s="1317"/>
      <c r="F241" s="1317"/>
      <c r="G241" s="1494"/>
      <c r="H241" s="982"/>
      <c r="I241" s="1017"/>
      <c r="J241" s="1029"/>
      <c r="K241" s="1030"/>
      <c r="L241" s="984"/>
      <c r="M241" s="985"/>
      <c r="N241" s="985"/>
      <c r="O241" s="985"/>
      <c r="P241" s="985"/>
      <c r="Q241" s="978" t="s">
        <v>100</v>
      </c>
      <c r="R241" s="972"/>
      <c r="S241" s="973"/>
      <c r="T241" s="1258"/>
      <c r="U241" s="1337"/>
      <c r="V241" s="72">
        <f>IF(AND(Q241="ja",R241=""),1,0)</f>
        <v>0</v>
      </c>
      <c r="Y241" s="74"/>
      <c r="Z241" s="77"/>
      <c r="AB241" s="78">
        <f t="shared" si="3"/>
        <v>0</v>
      </c>
      <c r="AI241" s="68"/>
      <c r="AJ241" s="68"/>
      <c r="AK241" s="68"/>
    </row>
    <row r="242" spans="1:37" ht="15" customHeight="1" thickBot="1" x14ac:dyDescent="0.3">
      <c r="A242" s="1595"/>
      <c r="B242" s="1490"/>
      <c r="C242" s="1491"/>
      <c r="D242" s="1491"/>
      <c r="E242" s="1491"/>
      <c r="F242" s="1491"/>
      <c r="G242" s="1492"/>
      <c r="H242" s="983"/>
      <c r="I242" s="1017"/>
      <c r="J242" s="1029"/>
      <c r="K242" s="1030"/>
      <c r="L242" s="984"/>
      <c r="M242" s="985"/>
      <c r="N242" s="985"/>
      <c r="O242" s="985"/>
      <c r="P242" s="985"/>
      <c r="Q242" s="978"/>
      <c r="R242" s="972"/>
      <c r="S242" s="973"/>
      <c r="T242" s="1258"/>
      <c r="U242" s="1337"/>
      <c r="Y242" s="74"/>
      <c r="Z242" s="77"/>
      <c r="AB242" s="78">
        <f t="shared" si="3"/>
        <v>0</v>
      </c>
      <c r="AI242" s="68"/>
      <c r="AJ242" s="68"/>
      <c r="AK242" s="68"/>
    </row>
    <row r="243" spans="1:37" ht="15" customHeight="1" thickBot="1" x14ac:dyDescent="0.3">
      <c r="A243" s="1595"/>
      <c r="B243" s="1184" t="s">
        <v>276</v>
      </c>
      <c r="C243" s="1185"/>
      <c r="D243" s="1185"/>
      <c r="E243" s="1185"/>
      <c r="F243" s="1185"/>
      <c r="G243" s="1186"/>
      <c r="H243" s="315" t="s">
        <v>100</v>
      </c>
      <c r="I243" s="1018"/>
      <c r="J243" s="1031"/>
      <c r="K243" s="1032"/>
      <c r="L243" s="1369"/>
      <c r="M243" s="1370"/>
      <c r="N243" s="1370"/>
      <c r="O243" s="1370"/>
      <c r="P243" s="1370"/>
      <c r="Q243" s="979"/>
      <c r="R243" s="972"/>
      <c r="S243" s="973"/>
      <c r="T243" s="1259"/>
      <c r="U243" s="1337"/>
      <c r="Y243" s="74">
        <v>1E-3</v>
      </c>
      <c r="Z243" s="77">
        <f>IF(H243="ja",Y243,0)</f>
        <v>0</v>
      </c>
      <c r="AB243" s="78">
        <f t="shared" si="3"/>
        <v>0</v>
      </c>
      <c r="AI243" s="68"/>
      <c r="AJ243" s="68"/>
      <c r="AK243" s="68"/>
    </row>
    <row r="244" spans="1:37" ht="14.55" thickBot="1" x14ac:dyDescent="0.3">
      <c r="B244" s="1502" t="s">
        <v>277</v>
      </c>
      <c r="C244" s="1503"/>
      <c r="D244" s="1503"/>
      <c r="E244" s="1503"/>
      <c r="F244" s="1503"/>
      <c r="G244" s="1503"/>
      <c r="H244" s="1503"/>
      <c r="I244" s="1500">
        <f>I235+I193+I178+I154+I128+I119+I82+I55+I39+I133+I143+I144+I145+I150</f>
        <v>0</v>
      </c>
      <c r="J244" s="1506">
        <f>J235+J193+J178+J154+J128+J119+J82+J55+J39+J133+J143+J144+J145+J150</f>
        <v>33789.782639999998</v>
      </c>
      <c r="K244" s="1161"/>
      <c r="L244" s="1355">
        <f>SUM(R235:S243)</f>
        <v>0</v>
      </c>
      <c r="M244" s="1356"/>
      <c r="N244" s="1356"/>
      <c r="O244" s="1356"/>
      <c r="P244" s="1666"/>
      <c r="Q244" s="1329"/>
      <c r="R244" s="1506">
        <f>SUM(R235:S243)+SUM(R193:S233)+SUM(R178:S191)+SUM(R154:S176)+SUM(R128:S152)+SUM(R119:S126)+SUM(R82:S114)+SUM(R55:R77)+SUM(Q39:R53)</f>
        <v>0</v>
      </c>
      <c r="S244" s="1161"/>
      <c r="T244" s="1567"/>
      <c r="U244" s="1610"/>
      <c r="Z244" s="152">
        <f>SUM(Z235:Z243)</f>
        <v>0</v>
      </c>
      <c r="AI244" s="68"/>
      <c r="AJ244" s="68"/>
      <c r="AK244" s="68"/>
    </row>
    <row r="245" spans="1:37" ht="15" customHeight="1" thickBot="1" x14ac:dyDescent="0.3">
      <c r="B245" s="1504"/>
      <c r="C245" s="1505"/>
      <c r="D245" s="1505"/>
      <c r="E245" s="1505"/>
      <c r="F245" s="1505"/>
      <c r="G245" s="1505"/>
      <c r="H245" s="1505"/>
      <c r="I245" s="1501"/>
      <c r="J245" s="1507"/>
      <c r="K245" s="1163"/>
      <c r="L245" s="1359"/>
      <c r="M245" s="1360"/>
      <c r="N245" s="1360"/>
      <c r="O245" s="1360"/>
      <c r="P245" s="1667"/>
      <c r="Q245" s="1330"/>
      <c r="R245" s="1507"/>
      <c r="S245" s="1163"/>
      <c r="T245" s="1569"/>
      <c r="U245" s="1610"/>
      <c r="V245" s="72">
        <f>SUM(V39:V244)+R23</f>
        <v>1</v>
      </c>
      <c r="AB245" s="72">
        <f>SUM(AB39:AB243)</f>
        <v>0</v>
      </c>
      <c r="AI245" s="68"/>
      <c r="AJ245" s="68"/>
      <c r="AK245" s="68"/>
    </row>
    <row r="247" spans="1:37" x14ac:dyDescent="0.25">
      <c r="A247" s="491" t="s">
        <v>279</v>
      </c>
      <c r="B247" s="40" t="str">
        <f>IF(B1=Q1,"Honorarangebot für die zunächst beauftragten und für die optionalen Leistungen","Honorarvereinbarung für die zunächst beauftragten und für die optionalen Leistungen ")</f>
        <v>Honorarangebot für die zunächst beauftragten und für die optionalen Leistungen</v>
      </c>
      <c r="Q247" s="40"/>
      <c r="AA247" s="151"/>
    </row>
    <row r="248" spans="1:37" ht="14.55" thickBot="1" x14ac:dyDescent="0.3">
      <c r="A248" s="491"/>
    </row>
    <row r="249" spans="1:37" x14ac:dyDescent="0.25">
      <c r="A249" s="491"/>
      <c r="B249" s="941" t="s">
        <v>55</v>
      </c>
      <c r="C249" s="942"/>
      <c r="D249" s="942"/>
      <c r="E249" s="942"/>
      <c r="F249" s="943"/>
      <c r="G249" s="99"/>
      <c r="H249" s="944">
        <f>J244</f>
        <v>33789.782639999998</v>
      </c>
      <c r="I249" s="944"/>
      <c r="J249" s="945"/>
    </row>
    <row r="250" spans="1:37" x14ac:dyDescent="0.25">
      <c r="A250" s="491"/>
      <c r="B250" s="301"/>
      <c r="C250" s="41"/>
      <c r="D250" s="41"/>
      <c r="E250" s="41"/>
      <c r="F250" s="302"/>
      <c r="G250" s="101"/>
      <c r="H250" s="303"/>
      <c r="I250" s="303"/>
      <c r="J250" s="304"/>
    </row>
    <row r="251" spans="1:37" ht="15.95" customHeight="1" thickBot="1" x14ac:dyDescent="0.3">
      <c r="A251" s="491"/>
      <c r="B251" s="1298" t="s">
        <v>280</v>
      </c>
      <c r="C251" s="1299"/>
      <c r="D251" s="1299"/>
      <c r="E251" s="1299"/>
      <c r="F251" s="1300"/>
      <c r="G251" s="102">
        <f>F23</f>
        <v>0</v>
      </c>
      <c r="H251" s="956">
        <f>H249*G251</f>
        <v>0</v>
      </c>
      <c r="I251" s="956"/>
      <c r="J251" s="957"/>
      <c r="K251" s="96">
        <f>H249+H251</f>
        <v>33789.782639999998</v>
      </c>
    </row>
    <row r="252" spans="1:37" x14ac:dyDescent="0.25">
      <c r="A252" s="491"/>
      <c r="B252" s="90"/>
      <c r="C252" s="91"/>
      <c r="D252" s="91"/>
      <c r="E252" s="91"/>
      <c r="F252" s="92"/>
      <c r="G252" s="88"/>
      <c r="J252" s="89"/>
    </row>
    <row r="253" spans="1:37" x14ac:dyDescent="0.25">
      <c r="A253" s="491"/>
      <c r="B253" s="926" t="s">
        <v>57</v>
      </c>
      <c r="C253" s="927"/>
      <c r="D253" s="927"/>
      <c r="E253" s="927"/>
      <c r="F253" s="928"/>
      <c r="G253" s="101"/>
      <c r="H253" s="954">
        <f>R244</f>
        <v>0</v>
      </c>
      <c r="I253" s="954"/>
      <c r="J253" s="955"/>
    </row>
    <row r="254" spans="1:37" ht="14.55" thickBot="1" x14ac:dyDescent="0.3">
      <c r="A254" s="491"/>
      <c r="B254" s="296"/>
      <c r="C254" s="297"/>
      <c r="D254" s="297"/>
      <c r="E254" s="297"/>
      <c r="F254" s="298"/>
      <c r="G254" s="1333"/>
      <c r="H254" s="1334"/>
      <c r="I254" s="1334"/>
      <c r="J254" s="1335"/>
    </row>
    <row r="255" spans="1:37" ht="15.95" customHeight="1" thickBot="1" x14ac:dyDescent="0.3">
      <c r="A255" s="491"/>
      <c r="B255" s="929" t="s">
        <v>59</v>
      </c>
      <c r="C255" s="930"/>
      <c r="D255" s="930"/>
      <c r="E255" s="930"/>
      <c r="F255" s="931"/>
      <c r="G255" s="107"/>
      <c r="H255" s="935">
        <f>SUM(H249:J253)</f>
        <v>33789.782639999998</v>
      </c>
      <c r="I255" s="935"/>
      <c r="J255" s="936"/>
    </row>
    <row r="256" spans="1:37" x14ac:dyDescent="0.25">
      <c r="A256" s="491"/>
      <c r="B256" s="320"/>
      <c r="C256" s="321"/>
      <c r="D256" s="321"/>
      <c r="E256" s="321"/>
      <c r="F256" s="322"/>
      <c r="G256" s="45"/>
      <c r="H256" s="93"/>
      <c r="I256" s="93"/>
      <c r="J256" s="94"/>
    </row>
    <row r="257" spans="1:26" ht="15" customHeight="1" x14ac:dyDescent="0.25">
      <c r="A257" s="491"/>
      <c r="B257" s="917" t="s">
        <v>60</v>
      </c>
      <c r="C257" s="918"/>
      <c r="D257" s="918"/>
      <c r="E257" s="918"/>
      <c r="F257" s="919"/>
      <c r="G257" s="100">
        <f>Überblick!$G$98</f>
        <v>0.19</v>
      </c>
      <c r="H257" s="954">
        <f>H255*G257</f>
        <v>6420.0587015999999</v>
      </c>
      <c r="I257" s="954"/>
      <c r="J257" s="955"/>
    </row>
    <row r="258" spans="1:26" ht="14.55" thickBot="1" x14ac:dyDescent="0.3">
      <c r="A258" s="491"/>
      <c r="B258" s="305"/>
      <c r="C258" s="306"/>
      <c r="D258" s="306"/>
      <c r="E258" s="306"/>
      <c r="F258" s="307"/>
      <c r="G258" s="102"/>
      <c r="H258" s="299"/>
      <c r="I258" s="299"/>
      <c r="J258" s="300"/>
    </row>
    <row r="259" spans="1:26" ht="15" customHeight="1" x14ac:dyDescent="0.25">
      <c r="A259" s="491"/>
      <c r="B259" s="920" t="s">
        <v>281</v>
      </c>
      <c r="C259" s="921"/>
      <c r="D259" s="921"/>
      <c r="E259" s="921"/>
      <c r="F259" s="922"/>
      <c r="G259" s="97"/>
      <c r="H259" s="937">
        <f>H255+H257</f>
        <v>40209.841341599997</v>
      </c>
      <c r="I259" s="937"/>
      <c r="J259" s="938"/>
    </row>
    <row r="260" spans="1:26" ht="14.55" thickBot="1" x14ac:dyDescent="0.3">
      <c r="A260" s="491"/>
      <c r="B260" s="923"/>
      <c r="C260" s="924"/>
      <c r="D260" s="924"/>
      <c r="E260" s="924"/>
      <c r="F260" s="925"/>
      <c r="G260" s="98"/>
      <c r="H260" s="939"/>
      <c r="I260" s="939"/>
      <c r="J260" s="940"/>
    </row>
    <row r="261" spans="1:26" x14ac:dyDescent="0.25">
      <c r="A261" s="491"/>
    </row>
    <row r="262" spans="1:26" x14ac:dyDescent="0.25">
      <c r="A262" s="491" t="s">
        <v>282</v>
      </c>
      <c r="B262" s="60" t="str">
        <f>IF(B1=Q1,"Honorangebot für die zunächst beauftragenden Leistungen","Honorarvereinbarung für die zunächst beauftragenden Leistungen")</f>
        <v>Honorangebot für die zunächst beauftragenden Leistungen</v>
      </c>
      <c r="C262" s="60"/>
      <c r="D262" s="60"/>
      <c r="E262" s="60"/>
      <c r="F262" s="65"/>
      <c r="G262" s="65"/>
      <c r="H262" s="65"/>
      <c r="I262" s="66"/>
      <c r="J262" s="66"/>
      <c r="K262" s="66"/>
      <c r="L262" s="66"/>
      <c r="M262" s="66"/>
      <c r="N262" s="66"/>
      <c r="O262" s="66"/>
      <c r="P262" s="67"/>
      <c r="Q262" s="60"/>
      <c r="R262" s="67"/>
      <c r="S262" s="67"/>
      <c r="T262" s="67"/>
      <c r="U262" s="67"/>
      <c r="Z262" s="461"/>
    </row>
    <row r="263" spans="1:26" ht="14.55" thickBot="1" x14ac:dyDescent="0.3">
      <c r="A263" s="491"/>
      <c r="B263" s="60"/>
      <c r="C263" s="60"/>
      <c r="D263" s="60"/>
      <c r="E263" s="60"/>
      <c r="F263" s="65"/>
      <c r="G263" s="65"/>
      <c r="H263" s="65"/>
      <c r="I263" s="66"/>
      <c r="J263" s="66"/>
      <c r="K263" s="66"/>
      <c r="L263" s="66"/>
      <c r="M263" s="66"/>
      <c r="N263" s="66"/>
      <c r="O263" s="66"/>
      <c r="P263" s="67"/>
      <c r="Q263" s="67"/>
      <c r="R263" s="67"/>
      <c r="S263" s="67"/>
      <c r="T263" s="67"/>
      <c r="U263" s="67"/>
    </row>
    <row r="264" spans="1:26" x14ac:dyDescent="0.25">
      <c r="A264" s="491"/>
      <c r="B264" s="941" t="s">
        <v>55</v>
      </c>
      <c r="C264" s="942"/>
      <c r="D264" s="942"/>
      <c r="E264" s="942"/>
      <c r="F264" s="943"/>
      <c r="G264" s="99"/>
      <c r="H264" s="944">
        <f>'Berechnung - Nutzeranlagen'!C123</f>
        <v>0</v>
      </c>
      <c r="I264" s="944"/>
      <c r="J264" s="945"/>
      <c r="K264" s="66"/>
      <c r="L264" s="66"/>
      <c r="M264" s="66"/>
      <c r="N264" s="66"/>
      <c r="O264" s="66"/>
      <c r="P264" s="67"/>
      <c r="Q264" s="67"/>
      <c r="R264" s="67"/>
      <c r="S264" s="67"/>
      <c r="T264" s="67"/>
      <c r="U264" s="67"/>
    </row>
    <row r="265" spans="1:26" x14ac:dyDescent="0.25">
      <c r="A265" s="491"/>
      <c r="B265" s="301"/>
      <c r="C265" s="41"/>
      <c r="D265" s="41"/>
      <c r="E265" s="41"/>
      <c r="F265" s="302"/>
      <c r="G265" s="101"/>
      <c r="H265" s="303"/>
      <c r="I265" s="303"/>
      <c r="J265" s="304"/>
      <c r="K265" s="66"/>
      <c r="L265" s="66"/>
      <c r="M265" s="66"/>
      <c r="N265" s="66"/>
      <c r="O265" s="66"/>
      <c r="P265" s="67"/>
      <c r="Q265" s="67"/>
      <c r="R265" s="67"/>
      <c r="S265" s="67"/>
      <c r="T265" s="67"/>
      <c r="U265" s="67"/>
    </row>
    <row r="266" spans="1:26" ht="15" customHeight="1" thickBot="1" x14ac:dyDescent="0.3">
      <c r="A266" s="491"/>
      <c r="B266" s="1298" t="s">
        <v>280</v>
      </c>
      <c r="C266" s="1299"/>
      <c r="D266" s="1299"/>
      <c r="E266" s="1299"/>
      <c r="F266" s="1300"/>
      <c r="G266" s="102">
        <f>F23</f>
        <v>0</v>
      </c>
      <c r="H266" s="956">
        <f>H264*G266</f>
        <v>0</v>
      </c>
      <c r="I266" s="956"/>
      <c r="J266" s="957"/>
      <c r="K266" s="66"/>
      <c r="L266" s="66"/>
      <c r="M266" s="66"/>
      <c r="N266" s="66"/>
      <c r="O266" s="66"/>
      <c r="P266" s="67"/>
      <c r="Q266" s="67"/>
      <c r="R266" s="67"/>
      <c r="S266" s="67"/>
      <c r="T266" s="67"/>
      <c r="U266" s="67"/>
    </row>
    <row r="267" spans="1:26" x14ac:dyDescent="0.25">
      <c r="A267" s="491"/>
      <c r="B267" s="90"/>
      <c r="C267" s="91"/>
      <c r="D267" s="91"/>
      <c r="E267" s="91"/>
      <c r="F267" s="92"/>
      <c r="G267" s="45"/>
      <c r="H267" s="46"/>
      <c r="I267" s="46"/>
      <c r="J267" s="105"/>
      <c r="K267" s="66"/>
      <c r="L267" s="66"/>
      <c r="M267" s="66"/>
      <c r="N267" s="66"/>
      <c r="O267" s="66"/>
      <c r="P267" s="67"/>
      <c r="Q267" s="67"/>
      <c r="R267" s="67"/>
      <c r="S267" s="67"/>
      <c r="T267" s="67"/>
      <c r="U267" s="67"/>
    </row>
    <row r="268" spans="1:26" x14ac:dyDescent="0.25">
      <c r="A268" s="491"/>
      <c r="B268" s="926" t="s">
        <v>57</v>
      </c>
      <c r="C268" s="927"/>
      <c r="D268" s="927"/>
      <c r="E268" s="927"/>
      <c r="F268" s="928"/>
      <c r="G268" s="101"/>
      <c r="H268" s="954">
        <f>'Berechnung - Nutzeranlagen'!E123</f>
        <v>0</v>
      </c>
      <c r="I268" s="954"/>
      <c r="J268" s="955"/>
      <c r="K268" s="66"/>
      <c r="L268" s="66"/>
      <c r="M268" s="66"/>
      <c r="N268" s="66"/>
      <c r="O268" s="66"/>
      <c r="P268" s="67"/>
      <c r="Q268" s="67"/>
      <c r="R268" s="67"/>
      <c r="S268" s="67"/>
      <c r="T268" s="67"/>
      <c r="U268" s="67"/>
    </row>
    <row r="269" spans="1:26" ht="14.55" thickBot="1" x14ac:dyDescent="0.3">
      <c r="A269" s="491"/>
      <c r="B269" s="90"/>
      <c r="C269" s="91"/>
      <c r="D269" s="91"/>
      <c r="E269" s="91"/>
      <c r="F269" s="92"/>
      <c r="G269" s="1333"/>
      <c r="H269" s="1334"/>
      <c r="I269" s="1334"/>
      <c r="J269" s="1335"/>
      <c r="K269" s="66"/>
      <c r="L269" s="66"/>
      <c r="M269" s="66"/>
      <c r="N269" s="66"/>
      <c r="O269" s="66"/>
      <c r="P269" s="67"/>
      <c r="Q269" s="67"/>
      <c r="R269" s="67"/>
      <c r="S269" s="67"/>
      <c r="T269" s="67"/>
      <c r="U269" s="67"/>
    </row>
    <row r="270" spans="1:26" ht="15.95" customHeight="1" thickBot="1" x14ac:dyDescent="0.3">
      <c r="A270" s="491"/>
      <c r="B270" s="929" t="s">
        <v>59</v>
      </c>
      <c r="C270" s="930"/>
      <c r="D270" s="930"/>
      <c r="E270" s="930"/>
      <c r="F270" s="931"/>
      <c r="G270" s="107"/>
      <c r="H270" s="1689">
        <f>SUM(H264:J268)</f>
        <v>0</v>
      </c>
      <c r="I270" s="1689"/>
      <c r="J270" s="1690"/>
      <c r="K270" s="66"/>
      <c r="L270" s="66"/>
      <c r="M270" s="66"/>
      <c r="N270" s="66"/>
      <c r="O270" s="66"/>
      <c r="P270" s="67"/>
      <c r="Q270" s="67"/>
      <c r="R270" s="67"/>
      <c r="S270" s="67"/>
      <c r="T270" s="67"/>
      <c r="U270" s="67"/>
    </row>
    <row r="271" spans="1:26" x14ac:dyDescent="0.25">
      <c r="A271" s="491"/>
      <c r="B271" s="320"/>
      <c r="C271" s="321"/>
      <c r="D271" s="321"/>
      <c r="E271" s="321"/>
      <c r="F271" s="322"/>
      <c r="G271" s="45"/>
      <c r="H271" s="93"/>
      <c r="I271" s="93"/>
      <c r="J271" s="94"/>
      <c r="K271" s="66"/>
      <c r="L271" s="66"/>
      <c r="M271" s="66"/>
      <c r="N271" s="66"/>
      <c r="O271" s="66"/>
      <c r="P271" s="67"/>
      <c r="Q271" s="67"/>
      <c r="R271" s="67"/>
      <c r="S271" s="67"/>
      <c r="T271" s="67"/>
      <c r="U271" s="67"/>
    </row>
    <row r="272" spans="1:26" ht="15" customHeight="1" x14ac:dyDescent="0.25">
      <c r="A272" s="491"/>
      <c r="B272" s="917" t="s">
        <v>94</v>
      </c>
      <c r="C272" s="918"/>
      <c r="D272" s="918"/>
      <c r="E272" s="918"/>
      <c r="F272" s="919"/>
      <c r="G272" s="100">
        <f>Überblick!$G$98</f>
        <v>0.19</v>
      </c>
      <c r="H272" s="954">
        <f>H270*G272</f>
        <v>0</v>
      </c>
      <c r="I272" s="954"/>
      <c r="J272" s="955"/>
      <c r="K272" s="66"/>
      <c r="L272" s="66"/>
      <c r="M272" s="66"/>
      <c r="N272" s="66"/>
      <c r="O272" s="66"/>
      <c r="P272" s="67"/>
      <c r="Q272" s="67"/>
      <c r="R272" s="67"/>
      <c r="S272" s="67"/>
      <c r="T272" s="67"/>
      <c r="U272" s="67"/>
    </row>
    <row r="273" spans="1:21" ht="14.55" thickBot="1" x14ac:dyDescent="0.3">
      <c r="A273" s="491"/>
      <c r="B273" s="305"/>
      <c r="C273" s="306"/>
      <c r="D273" s="306"/>
      <c r="E273" s="306"/>
      <c r="F273" s="307"/>
      <c r="G273" s="102"/>
      <c r="H273" s="299"/>
      <c r="I273" s="299"/>
      <c r="J273" s="300"/>
      <c r="K273" s="66"/>
      <c r="L273" s="66"/>
      <c r="M273" s="66"/>
      <c r="N273" s="66"/>
      <c r="O273" s="66"/>
      <c r="P273" s="67"/>
      <c r="Q273" s="67"/>
      <c r="R273" s="67"/>
      <c r="S273" s="67"/>
      <c r="T273" s="67"/>
      <c r="U273" s="67"/>
    </row>
    <row r="274" spans="1:21" ht="15" customHeight="1" x14ac:dyDescent="0.25">
      <c r="A274" s="491"/>
      <c r="B274" s="920" t="s">
        <v>98</v>
      </c>
      <c r="C274" s="921"/>
      <c r="D274" s="921"/>
      <c r="E274" s="921"/>
      <c r="F274" s="922"/>
      <c r="G274" s="172"/>
      <c r="H274" s="937">
        <f>H270+H272</f>
        <v>0</v>
      </c>
      <c r="I274" s="937"/>
      <c r="J274" s="938"/>
      <c r="K274" s="66"/>
      <c r="L274" s="66"/>
      <c r="M274" s="66"/>
      <c r="N274" s="66"/>
      <c r="O274" s="66"/>
      <c r="P274" s="67"/>
      <c r="Q274" s="67"/>
      <c r="R274" s="67"/>
      <c r="S274" s="67"/>
      <c r="T274" s="67"/>
      <c r="U274" s="67"/>
    </row>
    <row r="275" spans="1:21" ht="14.55" thickBot="1" x14ac:dyDescent="0.3">
      <c r="A275" s="491"/>
      <c r="B275" s="923"/>
      <c r="C275" s="924"/>
      <c r="D275" s="924"/>
      <c r="E275" s="924"/>
      <c r="F275" s="925"/>
      <c r="G275" s="98"/>
      <c r="H275" s="939"/>
      <c r="I275" s="939"/>
      <c r="J275" s="940"/>
      <c r="K275" s="66"/>
      <c r="L275" s="66"/>
      <c r="M275" s="66"/>
      <c r="N275" s="66"/>
      <c r="O275" s="66"/>
      <c r="P275" s="67"/>
      <c r="Q275" s="67"/>
      <c r="R275" s="67"/>
      <c r="S275" s="67"/>
      <c r="T275" s="67"/>
      <c r="U275" s="67"/>
    </row>
    <row r="276" spans="1:21" x14ac:dyDescent="0.25">
      <c r="A276" s="491"/>
      <c r="B276" s="60"/>
      <c r="C276" s="60"/>
      <c r="D276" s="60"/>
      <c r="E276" s="60"/>
      <c r="F276" s="65"/>
      <c r="G276" s="65"/>
      <c r="H276" s="65"/>
      <c r="I276" s="66"/>
      <c r="J276" s="66"/>
      <c r="K276" s="66"/>
      <c r="L276" s="66"/>
      <c r="M276" s="66"/>
      <c r="N276" s="66"/>
      <c r="O276" s="66"/>
      <c r="P276" s="67"/>
      <c r="Q276" s="67"/>
      <c r="R276" s="67"/>
      <c r="S276" s="67"/>
      <c r="T276" s="67"/>
      <c r="U276" s="67"/>
    </row>
    <row r="277" spans="1:21" x14ac:dyDescent="0.25">
      <c r="A277" s="491" t="s">
        <v>284</v>
      </c>
      <c r="B277" s="40" t="str">
        <f>IF(B1=Q1,"Gemäß des Honorarangebotes werden die Stufen wie folgt vergütet (netto):","Gemäß der Honorarvereinbarung werden die Stufen wie folgt vergütet (netto): ")</f>
        <v>Gemäß des Honorarangebotes werden die Stufen wie folgt vergütet (netto):</v>
      </c>
      <c r="C277" s="40"/>
      <c r="D277" s="40"/>
      <c r="E277" s="40"/>
      <c r="F277" s="40"/>
      <c r="G277" s="40"/>
      <c r="H277" s="40"/>
      <c r="I277" s="40"/>
      <c r="J277" s="40"/>
      <c r="K277" s="40"/>
      <c r="L277" s="60"/>
      <c r="M277" s="66"/>
      <c r="N277" s="66"/>
      <c r="O277" s="40"/>
      <c r="P277" s="67"/>
      <c r="Q277" s="67"/>
      <c r="R277" s="67"/>
      <c r="S277" s="67"/>
      <c r="T277" s="67"/>
      <c r="U277" s="67"/>
    </row>
    <row r="278" spans="1:21" ht="14.55" thickBot="1" x14ac:dyDescent="0.3">
      <c r="A278" s="491"/>
      <c r="B278" s="60"/>
      <c r="C278" s="60"/>
      <c r="D278" s="60"/>
      <c r="E278" s="60"/>
      <c r="F278" s="65"/>
      <c r="G278" s="65"/>
      <c r="H278" s="65"/>
      <c r="I278" s="66"/>
      <c r="J278" s="66"/>
      <c r="K278" s="66"/>
      <c r="L278" s="66"/>
      <c r="M278" s="66"/>
      <c r="N278" s="66"/>
      <c r="O278" s="40"/>
      <c r="P278" s="67"/>
      <c r="Q278" s="67"/>
      <c r="R278" s="67"/>
      <c r="S278" s="67"/>
      <c r="T278" s="67"/>
      <c r="U278" s="67"/>
    </row>
    <row r="279" spans="1:21" ht="15.2" thickTop="1" thickBot="1" x14ac:dyDescent="0.3">
      <c r="A279" s="491"/>
      <c r="B279" s="357" t="s">
        <v>105</v>
      </c>
      <c r="C279" s="358" t="s">
        <v>285</v>
      </c>
      <c r="D279" s="359" t="s">
        <v>286</v>
      </c>
      <c r="E279" s="360" t="s">
        <v>287</v>
      </c>
      <c r="F279" s="360" t="s">
        <v>288</v>
      </c>
      <c r="G279" s="361" t="s">
        <v>289</v>
      </c>
      <c r="H279" s="361" t="s">
        <v>290</v>
      </c>
      <c r="I279" s="362" t="s">
        <v>291</v>
      </c>
      <c r="J279" s="362" t="s">
        <v>292</v>
      </c>
      <c r="K279" s="362" t="s">
        <v>293</v>
      </c>
      <c r="L279" s="362" t="s">
        <v>294</v>
      </c>
      <c r="M279" s="362" t="s">
        <v>295</v>
      </c>
      <c r="N279" s="362" t="s">
        <v>296</v>
      </c>
      <c r="O279" s="362" t="s">
        <v>297</v>
      </c>
      <c r="P279" s="363" t="s">
        <v>298</v>
      </c>
      <c r="Q279" s="67"/>
      <c r="R279" s="67"/>
      <c r="S279" s="67"/>
      <c r="T279" s="67"/>
      <c r="U279" s="67"/>
    </row>
    <row r="280" spans="1:21" x14ac:dyDescent="0.25">
      <c r="A280" s="492"/>
      <c r="B280" s="153" t="str">
        <f>IF(Überblick!$H$53&gt;=1,"1:",0)</f>
        <v>1:</v>
      </c>
      <c r="C280" s="481">
        <f>'Berechnung - Nutzeranlagen'!C135</f>
        <v>0</v>
      </c>
      <c r="D280" s="481">
        <f>'Berechnung - Nutzeranlagen'!D135</f>
        <v>0</v>
      </c>
      <c r="E280" s="481">
        <f>'Berechnung - Nutzeranlagen'!E135</f>
        <v>0</v>
      </c>
      <c r="F280" s="481">
        <f>'Berechnung - Nutzeranlagen'!F135</f>
        <v>0</v>
      </c>
      <c r="G280" s="481">
        <f>'Berechnung - Nutzeranlagen'!G135</f>
        <v>0</v>
      </c>
      <c r="H280" s="481">
        <f>'Berechnung - Nutzeranlagen'!H135</f>
        <v>0</v>
      </c>
      <c r="I280" s="481">
        <f>'Berechnung - Nutzeranlagen'!I135</f>
        <v>0</v>
      </c>
      <c r="J280" s="481">
        <f>'Berechnung - Nutzeranlagen'!J135</f>
        <v>0</v>
      </c>
      <c r="K280" s="481">
        <f>'Berechnung - Nutzeranlagen'!K135</f>
        <v>0</v>
      </c>
      <c r="L280" s="481">
        <f>'Berechnung - Nutzeranlagen'!L135</f>
        <v>0</v>
      </c>
      <c r="M280" s="481">
        <f>'Berechnung - Nutzeranlagen'!M135</f>
        <v>0</v>
      </c>
      <c r="N280" s="481">
        <f>'Berechnung - Nutzeranlagen'!N135</f>
        <v>0</v>
      </c>
      <c r="O280" s="481">
        <f>'Berechnung - Nutzeranlagen'!O135</f>
        <v>0</v>
      </c>
      <c r="P280" s="481">
        <f>'Berechnung - Nutzeranlagen'!P135</f>
        <v>0</v>
      </c>
      <c r="Q280" s="96">
        <f>SUM(C280:P280)</f>
        <v>0</v>
      </c>
      <c r="S280" s="63"/>
      <c r="T280" s="63"/>
      <c r="U280" s="63"/>
    </row>
    <row r="281" spans="1:21" ht="15.95" customHeight="1" x14ac:dyDescent="0.25">
      <c r="A281" s="492"/>
      <c r="B281" s="153" t="str">
        <f>IF(Überblick!$H$53&gt;=2,"2:",0)</f>
        <v>2:</v>
      </c>
      <c r="C281" s="481">
        <f>'Berechnung - Nutzeranlagen'!C136</f>
        <v>0</v>
      </c>
      <c r="D281" s="481">
        <f>'Berechnung - Nutzeranlagen'!D136</f>
        <v>0</v>
      </c>
      <c r="E281" s="481">
        <f>'Berechnung - Nutzeranlagen'!E136</f>
        <v>0</v>
      </c>
      <c r="F281" s="481">
        <f>'Berechnung - Nutzeranlagen'!F136</f>
        <v>0</v>
      </c>
      <c r="G281" s="481">
        <f>'Berechnung - Nutzeranlagen'!G136</f>
        <v>0</v>
      </c>
      <c r="H281" s="481">
        <f>'Berechnung - Nutzeranlagen'!H136</f>
        <v>0</v>
      </c>
      <c r="I281" s="481">
        <f>'Berechnung - Nutzeranlagen'!I136</f>
        <v>0</v>
      </c>
      <c r="J281" s="481">
        <f>'Berechnung - Nutzeranlagen'!J136</f>
        <v>0</v>
      </c>
      <c r="K281" s="481">
        <f>'Berechnung - Nutzeranlagen'!K136</f>
        <v>0</v>
      </c>
      <c r="L281" s="481">
        <f>'Berechnung - Nutzeranlagen'!L136</f>
        <v>0</v>
      </c>
      <c r="M281" s="481">
        <f>'Berechnung - Nutzeranlagen'!M136</f>
        <v>0</v>
      </c>
      <c r="N281" s="481">
        <f>'Berechnung - Nutzeranlagen'!N136</f>
        <v>0</v>
      </c>
      <c r="O281" s="481">
        <f>'Berechnung - Nutzeranlagen'!O136</f>
        <v>0</v>
      </c>
      <c r="P281" s="481">
        <f>'Berechnung - Nutzeranlagen'!P136</f>
        <v>0</v>
      </c>
      <c r="Q281" s="96">
        <f t="shared" ref="Q281:Q287" si="4">SUM(C281:P281)</f>
        <v>0</v>
      </c>
    </row>
    <row r="282" spans="1:21" x14ac:dyDescent="0.25">
      <c r="A282" s="59"/>
      <c r="B282" s="153" t="str">
        <f>IF(Überblick!$H$53&gt;=3,"3:",0)</f>
        <v>3:</v>
      </c>
      <c r="C282" s="481">
        <f>'Berechnung - Nutzeranlagen'!C137</f>
        <v>0</v>
      </c>
      <c r="D282" s="481">
        <f>'Berechnung - Nutzeranlagen'!D137</f>
        <v>0</v>
      </c>
      <c r="E282" s="481">
        <f>'Berechnung - Nutzeranlagen'!E137</f>
        <v>0</v>
      </c>
      <c r="F282" s="481">
        <f>'Berechnung - Nutzeranlagen'!F137</f>
        <v>0</v>
      </c>
      <c r="G282" s="481">
        <f>'Berechnung - Nutzeranlagen'!G137</f>
        <v>0</v>
      </c>
      <c r="H282" s="481">
        <f>'Berechnung - Nutzeranlagen'!H137</f>
        <v>0</v>
      </c>
      <c r="I282" s="481">
        <f>'Berechnung - Nutzeranlagen'!I137</f>
        <v>0</v>
      </c>
      <c r="J282" s="481">
        <f>'Berechnung - Nutzeranlagen'!J137</f>
        <v>0</v>
      </c>
      <c r="K282" s="481">
        <f>'Berechnung - Nutzeranlagen'!K137</f>
        <v>0</v>
      </c>
      <c r="L282" s="481">
        <f>'Berechnung - Nutzeranlagen'!L137</f>
        <v>0</v>
      </c>
      <c r="M282" s="481">
        <f>'Berechnung - Nutzeranlagen'!M137</f>
        <v>0</v>
      </c>
      <c r="N282" s="481">
        <f>'Berechnung - Nutzeranlagen'!N137</f>
        <v>0</v>
      </c>
      <c r="O282" s="481">
        <f>'Berechnung - Nutzeranlagen'!O137</f>
        <v>0</v>
      </c>
      <c r="P282" s="481">
        <f>'Berechnung - Nutzeranlagen'!P137</f>
        <v>0</v>
      </c>
      <c r="Q282" s="96">
        <f t="shared" si="4"/>
        <v>0</v>
      </c>
    </row>
    <row r="283" spans="1:21" x14ac:dyDescent="0.25">
      <c r="A283" s="491"/>
      <c r="B283" s="153" t="str">
        <f>IF(Überblick!$H$53&gt;=4,"4:",0)</f>
        <v>4:</v>
      </c>
      <c r="C283" s="481">
        <f>'Berechnung - Nutzeranlagen'!C138</f>
        <v>0</v>
      </c>
      <c r="D283" s="481">
        <f>'Berechnung - Nutzeranlagen'!D138</f>
        <v>0</v>
      </c>
      <c r="E283" s="481">
        <f>'Berechnung - Nutzeranlagen'!E138</f>
        <v>0</v>
      </c>
      <c r="F283" s="481">
        <f>'Berechnung - Nutzeranlagen'!F138</f>
        <v>0</v>
      </c>
      <c r="G283" s="481">
        <f>'Berechnung - Nutzeranlagen'!G138</f>
        <v>0</v>
      </c>
      <c r="H283" s="481">
        <f>'Berechnung - Nutzeranlagen'!H138</f>
        <v>0</v>
      </c>
      <c r="I283" s="481">
        <f>'Berechnung - Nutzeranlagen'!I138</f>
        <v>0</v>
      </c>
      <c r="J283" s="481">
        <f>'Berechnung - Nutzeranlagen'!J138</f>
        <v>0</v>
      </c>
      <c r="K283" s="481">
        <f>'Berechnung - Nutzeranlagen'!K138</f>
        <v>0</v>
      </c>
      <c r="L283" s="481">
        <f>'Berechnung - Nutzeranlagen'!L138</f>
        <v>0</v>
      </c>
      <c r="M283" s="481">
        <f>'Berechnung - Nutzeranlagen'!M138</f>
        <v>0</v>
      </c>
      <c r="N283" s="481">
        <f>'Berechnung - Nutzeranlagen'!N138</f>
        <v>0</v>
      </c>
      <c r="O283" s="481">
        <f>'Berechnung - Nutzeranlagen'!O138</f>
        <v>0</v>
      </c>
      <c r="P283" s="481">
        <f>'Berechnung - Nutzeranlagen'!P138</f>
        <v>0</v>
      </c>
      <c r="Q283" s="96">
        <f t="shared" si="4"/>
        <v>0</v>
      </c>
    </row>
    <row r="284" spans="1:21" x14ac:dyDescent="0.25">
      <c r="A284" s="491"/>
      <c r="B284" s="153" t="str">
        <f>IF(Überblick!$H$53&gt;=5,"5:",0)</f>
        <v>5:</v>
      </c>
      <c r="C284" s="481">
        <f>'Berechnung - Nutzeranlagen'!C139</f>
        <v>0</v>
      </c>
      <c r="D284" s="481">
        <f>'Berechnung - Nutzeranlagen'!D139</f>
        <v>0</v>
      </c>
      <c r="E284" s="481">
        <f>'Berechnung - Nutzeranlagen'!E139</f>
        <v>0</v>
      </c>
      <c r="F284" s="481">
        <f>'Berechnung - Nutzeranlagen'!F139</f>
        <v>0</v>
      </c>
      <c r="G284" s="481">
        <f>'Berechnung - Nutzeranlagen'!G139</f>
        <v>0</v>
      </c>
      <c r="H284" s="481">
        <f>'Berechnung - Nutzeranlagen'!H139</f>
        <v>0</v>
      </c>
      <c r="I284" s="481">
        <f>'Berechnung - Nutzeranlagen'!I139</f>
        <v>0</v>
      </c>
      <c r="J284" s="481">
        <f>'Berechnung - Nutzeranlagen'!J139</f>
        <v>0</v>
      </c>
      <c r="K284" s="481">
        <f>'Berechnung - Nutzeranlagen'!K139</f>
        <v>0</v>
      </c>
      <c r="L284" s="481">
        <f>'Berechnung - Nutzeranlagen'!L139</f>
        <v>0</v>
      </c>
      <c r="M284" s="481">
        <f>'Berechnung - Nutzeranlagen'!M139</f>
        <v>0</v>
      </c>
      <c r="N284" s="481">
        <f>'Berechnung - Nutzeranlagen'!N139</f>
        <v>0</v>
      </c>
      <c r="O284" s="481">
        <f>'Berechnung - Nutzeranlagen'!O139</f>
        <v>0</v>
      </c>
      <c r="P284" s="481">
        <f>'Berechnung - Nutzeranlagen'!P139</f>
        <v>0</v>
      </c>
      <c r="Q284" s="96">
        <f t="shared" si="4"/>
        <v>0</v>
      </c>
    </row>
    <row r="285" spans="1:21" ht="15.95" customHeight="1" x14ac:dyDescent="0.25">
      <c r="A285" s="491"/>
      <c r="B285" s="153" t="str">
        <f>IF(Überblick!$H$53&gt;=6,"6:",0)</f>
        <v>6:</v>
      </c>
      <c r="C285" s="481">
        <f>'Berechnung - Nutzeranlagen'!C140</f>
        <v>0</v>
      </c>
      <c r="D285" s="481">
        <f>'Berechnung - Nutzeranlagen'!D140</f>
        <v>0</v>
      </c>
      <c r="E285" s="481">
        <f>'Berechnung - Nutzeranlagen'!E140</f>
        <v>0</v>
      </c>
      <c r="F285" s="481">
        <f>'Berechnung - Nutzeranlagen'!F140</f>
        <v>0</v>
      </c>
      <c r="G285" s="481">
        <f>'Berechnung - Nutzeranlagen'!G140</f>
        <v>0</v>
      </c>
      <c r="H285" s="481">
        <f>'Berechnung - Nutzeranlagen'!H140</f>
        <v>0</v>
      </c>
      <c r="I285" s="481">
        <f>'Berechnung - Nutzeranlagen'!I140</f>
        <v>0</v>
      </c>
      <c r="J285" s="481">
        <f>'Berechnung - Nutzeranlagen'!J140</f>
        <v>0</v>
      </c>
      <c r="K285" s="481">
        <f>'Berechnung - Nutzeranlagen'!K140</f>
        <v>0</v>
      </c>
      <c r="L285" s="481">
        <f>'Berechnung - Nutzeranlagen'!L140</f>
        <v>0</v>
      </c>
      <c r="M285" s="481">
        <f>'Berechnung - Nutzeranlagen'!M140</f>
        <v>0</v>
      </c>
      <c r="N285" s="481">
        <f>'Berechnung - Nutzeranlagen'!N140</f>
        <v>0</v>
      </c>
      <c r="O285" s="481">
        <f>'Berechnung - Nutzeranlagen'!O140</f>
        <v>0</v>
      </c>
      <c r="P285" s="481">
        <f>'Berechnung - Nutzeranlagen'!P140</f>
        <v>0</v>
      </c>
      <c r="Q285" s="96">
        <f t="shared" si="4"/>
        <v>0</v>
      </c>
    </row>
    <row r="286" spans="1:21" x14ac:dyDescent="0.25">
      <c r="A286" s="491"/>
      <c r="B286" s="153">
        <f>IF(Überblick!$H$53&gt;=7,"7:",0)</f>
        <v>0</v>
      </c>
      <c r="C286" s="481">
        <f>'Berechnung - Nutzeranlagen'!C141</f>
        <v>0</v>
      </c>
      <c r="D286" s="481">
        <f>'Berechnung - Nutzeranlagen'!D141</f>
        <v>0</v>
      </c>
      <c r="E286" s="481">
        <f>'Berechnung - Nutzeranlagen'!E141</f>
        <v>0</v>
      </c>
      <c r="F286" s="481">
        <f>'Berechnung - Nutzeranlagen'!F141</f>
        <v>0</v>
      </c>
      <c r="G286" s="481">
        <f>'Berechnung - Nutzeranlagen'!G141</f>
        <v>0</v>
      </c>
      <c r="H286" s="481">
        <f>'Berechnung - Nutzeranlagen'!H141</f>
        <v>0</v>
      </c>
      <c r="I286" s="481">
        <f>'Berechnung - Nutzeranlagen'!I141</f>
        <v>0</v>
      </c>
      <c r="J286" s="481">
        <f>'Berechnung - Nutzeranlagen'!J141</f>
        <v>0</v>
      </c>
      <c r="K286" s="481">
        <f>'Berechnung - Nutzeranlagen'!K141</f>
        <v>0</v>
      </c>
      <c r="L286" s="481">
        <f>'Berechnung - Nutzeranlagen'!L141</f>
        <v>0</v>
      </c>
      <c r="M286" s="481">
        <f>'Berechnung - Nutzeranlagen'!M141</f>
        <v>0</v>
      </c>
      <c r="N286" s="481">
        <f>'Berechnung - Nutzeranlagen'!N141</f>
        <v>0</v>
      </c>
      <c r="O286" s="481">
        <f>'Berechnung - Nutzeranlagen'!O141</f>
        <v>33789.782639999998</v>
      </c>
      <c r="P286" s="481">
        <f>'Berechnung - Nutzeranlagen'!P141</f>
        <v>0</v>
      </c>
      <c r="Q286" s="96">
        <f t="shared" si="4"/>
        <v>33789.782639999998</v>
      </c>
    </row>
    <row r="287" spans="1:21" ht="15" customHeight="1" x14ac:dyDescent="0.25">
      <c r="A287" s="491"/>
      <c r="B287" s="153">
        <f>IF(Überblick!$H$53&gt;=8,"8:",0)</f>
        <v>0</v>
      </c>
      <c r="C287" s="481">
        <f>'Berechnung - Nutzeranlagen'!C142</f>
        <v>0</v>
      </c>
      <c r="D287" s="481">
        <f>'Berechnung - Nutzeranlagen'!D142</f>
        <v>0</v>
      </c>
      <c r="E287" s="481">
        <f>'Berechnung - Nutzeranlagen'!E142</f>
        <v>0</v>
      </c>
      <c r="F287" s="481">
        <f>'Berechnung - Nutzeranlagen'!F142</f>
        <v>0</v>
      </c>
      <c r="G287" s="481">
        <f>'Berechnung - Nutzeranlagen'!G142</f>
        <v>0</v>
      </c>
      <c r="H287" s="481">
        <f>'Berechnung - Nutzeranlagen'!H142</f>
        <v>0</v>
      </c>
      <c r="I287" s="481">
        <f>'Berechnung - Nutzeranlagen'!I142</f>
        <v>0</v>
      </c>
      <c r="J287" s="481">
        <f>'Berechnung - Nutzeranlagen'!J142</f>
        <v>0</v>
      </c>
      <c r="K287" s="481">
        <f>'Berechnung - Nutzeranlagen'!K142</f>
        <v>0</v>
      </c>
      <c r="L287" s="481">
        <f>'Berechnung - Nutzeranlagen'!L142</f>
        <v>0</v>
      </c>
      <c r="M287" s="481">
        <f>'Berechnung - Nutzeranlagen'!M142</f>
        <v>0</v>
      </c>
      <c r="N287" s="481">
        <f>'Berechnung - Nutzeranlagen'!N142</f>
        <v>0</v>
      </c>
      <c r="O287" s="481">
        <f>'Berechnung - Nutzeranlagen'!O142</f>
        <v>33789.782639999998</v>
      </c>
      <c r="P287" s="481">
        <f>'Berechnung - Nutzeranlagen'!P142</f>
        <v>0</v>
      </c>
      <c r="Q287" s="96">
        <f t="shared" si="4"/>
        <v>33789.782639999998</v>
      </c>
    </row>
    <row r="288" spans="1:21" x14ac:dyDescent="0.25">
      <c r="B288" s="153">
        <f>IF(Überblick!$H$53&gt;=9,"9:",0)</f>
        <v>0</v>
      </c>
      <c r="C288" s="481">
        <f>'Berechnung - Nutzeranlagen'!C143</f>
        <v>0</v>
      </c>
      <c r="D288" s="481">
        <f>'Berechnung - Nutzeranlagen'!D143</f>
        <v>0</v>
      </c>
      <c r="E288" s="481">
        <f>'Berechnung - Nutzeranlagen'!E143</f>
        <v>0</v>
      </c>
      <c r="F288" s="481">
        <f>'Berechnung - Nutzeranlagen'!F143</f>
        <v>0</v>
      </c>
      <c r="G288" s="481">
        <f>'Berechnung - Nutzeranlagen'!G143</f>
        <v>0</v>
      </c>
      <c r="H288" s="481">
        <f>'Berechnung - Nutzeranlagen'!H143</f>
        <v>0</v>
      </c>
      <c r="I288" s="481">
        <f>'Berechnung - Nutzeranlagen'!I143</f>
        <v>0</v>
      </c>
      <c r="J288" s="481">
        <f>'Berechnung - Nutzeranlagen'!J143</f>
        <v>0</v>
      </c>
      <c r="K288" s="481">
        <f>'Berechnung - Nutzeranlagen'!K143</f>
        <v>0</v>
      </c>
      <c r="L288" s="481">
        <f>'Berechnung - Nutzeranlagen'!L143</f>
        <v>0</v>
      </c>
      <c r="M288" s="481">
        <f>'Berechnung - Nutzeranlagen'!M143</f>
        <v>0</v>
      </c>
      <c r="N288" s="481">
        <f>'Berechnung - Nutzeranlagen'!N143</f>
        <v>0</v>
      </c>
      <c r="O288" s="481">
        <f>'Berechnung - Nutzeranlagen'!O143</f>
        <v>33789.782639999998</v>
      </c>
      <c r="P288" s="481">
        <f>'Berechnung - Nutzeranlagen'!P143</f>
        <v>0</v>
      </c>
    </row>
    <row r="289" spans="2:16" x14ac:dyDescent="0.25">
      <c r="B289" s="140"/>
      <c r="C289" s="140"/>
      <c r="D289" s="140"/>
      <c r="E289" s="140"/>
      <c r="F289" s="140"/>
      <c r="G289" s="140"/>
      <c r="H289" s="140"/>
      <c r="I289" s="140"/>
      <c r="J289" s="140"/>
      <c r="K289" s="140"/>
      <c r="L289" s="140"/>
      <c r="M289" s="140"/>
      <c r="N289" s="140"/>
      <c r="O289" s="140"/>
      <c r="P289" s="140"/>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sheetData>
  <sheetProtection algorithmName="SHA-512" hashValue="JCwNa9WgkXVnBZB7wKtDZYntdREVmWW5ugTjrPIMryJdnBsGLvgxjWRctZtcvBTafDZo6FFoQO3+DeKWkNvuPQ==" saltValue="jr3StKDLgt0jCCYhQGReKQ==" spinCount="100000" sheet="1" objects="1" scenarios="1"/>
  <mergeCells count="476">
    <mergeCell ref="R229:S233"/>
    <mergeCell ref="Q229:Q233"/>
    <mergeCell ref="R217:S225"/>
    <mergeCell ref="Q217:Q225"/>
    <mergeCell ref="R211:S216"/>
    <mergeCell ref="Q211:Q216"/>
    <mergeCell ref="R203:S204"/>
    <mergeCell ref="R193:S202"/>
    <mergeCell ref="Q203:Q204"/>
    <mergeCell ref="Q193:Q202"/>
    <mergeCell ref="Q226:Q228"/>
    <mergeCell ref="R226:S228"/>
    <mergeCell ref="L55:P57"/>
    <mergeCell ref="S2:U2"/>
    <mergeCell ref="S3:U3"/>
    <mergeCell ref="S4:U4"/>
    <mergeCell ref="T1:U1"/>
    <mergeCell ref="L193:P202"/>
    <mergeCell ref="L203:P204"/>
    <mergeCell ref="L211:P216"/>
    <mergeCell ref="L51:P52"/>
    <mergeCell ref="L53:P53"/>
    <mergeCell ref="L39:P43"/>
    <mergeCell ref="Q73:Q75"/>
    <mergeCell ref="Q76:Q77"/>
    <mergeCell ref="L54:P54"/>
    <mergeCell ref="L70:P72"/>
    <mergeCell ref="Q64:Q66"/>
    <mergeCell ref="Q67:Q69"/>
    <mergeCell ref="Q70:Q72"/>
    <mergeCell ref="R54:S54"/>
    <mergeCell ref="Q35:Q37"/>
    <mergeCell ref="Q51:Q52"/>
    <mergeCell ref="Q47:Q48"/>
    <mergeCell ref="Q44:Q46"/>
    <mergeCell ref="Q55:Q57"/>
    <mergeCell ref="Q58:Q60"/>
    <mergeCell ref="Q61:Q63"/>
    <mergeCell ref="F9:I11"/>
    <mergeCell ref="J9:M11"/>
    <mergeCell ref="N9:Q11"/>
    <mergeCell ref="R104:S106"/>
    <mergeCell ref="R107:S109"/>
    <mergeCell ref="R110:S112"/>
    <mergeCell ref="R81:S81"/>
    <mergeCell ref="R38:S38"/>
    <mergeCell ref="L94:P97"/>
    <mergeCell ref="L98:P100"/>
    <mergeCell ref="R94:S97"/>
    <mergeCell ref="R98:S100"/>
    <mergeCell ref="L101:P103"/>
    <mergeCell ref="L104:P106"/>
    <mergeCell ref="Q82:Q84"/>
    <mergeCell ref="Q85:Q87"/>
    <mergeCell ref="Q88:Q90"/>
    <mergeCell ref="Q91:Q93"/>
    <mergeCell ref="Q94:Q97"/>
    <mergeCell ref="Q98:Q100"/>
    <mergeCell ref="Q101:Q103"/>
    <mergeCell ref="R58:S60"/>
    <mergeCell ref="R55:S57"/>
    <mergeCell ref="R39:S43"/>
    <mergeCell ref="R53:S53"/>
    <mergeCell ref="R51:S52"/>
    <mergeCell ref="R50:S50"/>
    <mergeCell ref="R49:S49"/>
    <mergeCell ref="R47:S48"/>
    <mergeCell ref="R44:S46"/>
    <mergeCell ref="F5:I5"/>
    <mergeCell ref="J5:M5"/>
    <mergeCell ref="N5:Q5"/>
    <mergeCell ref="F6:G6"/>
    <mergeCell ref="H6:I6"/>
    <mergeCell ref="J6:K6"/>
    <mergeCell ref="L6:M6"/>
    <mergeCell ref="N6:O6"/>
    <mergeCell ref="P6:Q6"/>
    <mergeCell ref="P7:Q7"/>
    <mergeCell ref="B35:G37"/>
    <mergeCell ref="F19:I19"/>
    <mergeCell ref="J19:M19"/>
    <mergeCell ref="N19:Q19"/>
    <mergeCell ref="B23:E23"/>
    <mergeCell ref="F23:Q23"/>
    <mergeCell ref="B15:E15"/>
    <mergeCell ref="B8:E8"/>
    <mergeCell ref="F8:G8"/>
    <mergeCell ref="H8:I8"/>
    <mergeCell ref="J8:K8"/>
    <mergeCell ref="L8:M8"/>
    <mergeCell ref="N8:O8"/>
    <mergeCell ref="P8:Q8"/>
    <mergeCell ref="B7:E7"/>
    <mergeCell ref="F7:G7"/>
    <mergeCell ref="H7:I7"/>
    <mergeCell ref="J7:K7"/>
    <mergeCell ref="L7:M7"/>
    <mergeCell ref="N7:O7"/>
    <mergeCell ref="F15:Q15"/>
    <mergeCell ref="B16:E16"/>
    <mergeCell ref="F16:Q16"/>
    <mergeCell ref="F17:I18"/>
    <mergeCell ref="J17:M18"/>
    <mergeCell ref="N17:Q18"/>
    <mergeCell ref="T35:T37"/>
    <mergeCell ref="U35:U37"/>
    <mergeCell ref="B38:G38"/>
    <mergeCell ref="I38:K38"/>
    <mergeCell ref="L38:P38"/>
    <mergeCell ref="R35:S37"/>
    <mergeCell ref="I35:K37"/>
    <mergeCell ref="L35:P37"/>
    <mergeCell ref="H45:H53"/>
    <mergeCell ref="L47:P48"/>
    <mergeCell ref="L49:P49"/>
    <mergeCell ref="L50:P50"/>
    <mergeCell ref="T39:T53"/>
    <mergeCell ref="U39:U53"/>
    <mergeCell ref="B42:G44"/>
    <mergeCell ref="H42:H44"/>
    <mergeCell ref="L44:P46"/>
    <mergeCell ref="B45:G53"/>
    <mergeCell ref="Q39:Q43"/>
    <mergeCell ref="T55:T77"/>
    <mergeCell ref="U55:U77"/>
    <mergeCell ref="B57:G64"/>
    <mergeCell ref="H57:H64"/>
    <mergeCell ref="L58:P60"/>
    <mergeCell ref="L61:P63"/>
    <mergeCell ref="L64:P66"/>
    <mergeCell ref="L73:P75"/>
    <mergeCell ref="B74:G75"/>
    <mergeCell ref="H74:H75"/>
    <mergeCell ref="B76:G77"/>
    <mergeCell ref="H76:H77"/>
    <mergeCell ref="L76:P77"/>
    <mergeCell ref="B65:G66"/>
    <mergeCell ref="H65:H66"/>
    <mergeCell ref="B67:G70"/>
    <mergeCell ref="H67:H70"/>
    <mergeCell ref="L67:P69"/>
    <mergeCell ref="R76:S77"/>
    <mergeCell ref="R73:S75"/>
    <mergeCell ref="R70:S72"/>
    <mergeCell ref="R67:S69"/>
    <mergeCell ref="R64:S66"/>
    <mergeCell ref="R61:S63"/>
    <mergeCell ref="T115:T117"/>
    <mergeCell ref="Q107:Q109"/>
    <mergeCell ref="Q110:Q112"/>
    <mergeCell ref="T78:T80"/>
    <mergeCell ref="U78:U80"/>
    <mergeCell ref="B81:G81"/>
    <mergeCell ref="I81:K81"/>
    <mergeCell ref="L81:P81"/>
    <mergeCell ref="R91:S93"/>
    <mergeCell ref="R88:S90"/>
    <mergeCell ref="R85:S87"/>
    <mergeCell ref="R82:S84"/>
    <mergeCell ref="T82:T114"/>
    <mergeCell ref="U82:U114"/>
    <mergeCell ref="L85:P87"/>
    <mergeCell ref="B87:G87"/>
    <mergeCell ref="B88:G100"/>
    <mergeCell ref="H88:H100"/>
    <mergeCell ref="L88:P90"/>
    <mergeCell ref="L91:P93"/>
    <mergeCell ref="U115:U117"/>
    <mergeCell ref="H82:H86"/>
    <mergeCell ref="I82:I114"/>
    <mergeCell ref="J82:K114"/>
    <mergeCell ref="T119:T126"/>
    <mergeCell ref="U119:U126"/>
    <mergeCell ref="L122:P124"/>
    <mergeCell ref="B124:G126"/>
    <mergeCell ref="H124:H126"/>
    <mergeCell ref="L125:P126"/>
    <mergeCell ref="B119:G123"/>
    <mergeCell ref="H119:H123"/>
    <mergeCell ref="I119:I126"/>
    <mergeCell ref="J119:K126"/>
    <mergeCell ref="L119:P121"/>
    <mergeCell ref="Q119:Q121"/>
    <mergeCell ref="R119:S121"/>
    <mergeCell ref="Q122:Q124"/>
    <mergeCell ref="R122:S124"/>
    <mergeCell ref="Q125:Q126"/>
    <mergeCell ref="R125:S126"/>
    <mergeCell ref="A133:A142"/>
    <mergeCell ref="B133:G142"/>
    <mergeCell ref="H133:H142"/>
    <mergeCell ref="I133:I142"/>
    <mergeCell ref="J133:K142"/>
    <mergeCell ref="B127:G127"/>
    <mergeCell ref="I127:K127"/>
    <mergeCell ref="L127:P127"/>
    <mergeCell ref="A128:A132"/>
    <mergeCell ref="B128:G132"/>
    <mergeCell ref="H128:H132"/>
    <mergeCell ref="I128:I132"/>
    <mergeCell ref="J128:K132"/>
    <mergeCell ref="A32:A126"/>
    <mergeCell ref="I32:I34"/>
    <mergeCell ref="J32:K34"/>
    <mergeCell ref="B39:G41"/>
    <mergeCell ref="H39:H41"/>
    <mergeCell ref="I39:I53"/>
    <mergeCell ref="B54:G54"/>
    <mergeCell ref="I54:K54"/>
    <mergeCell ref="B101:G106"/>
    <mergeCell ref="H101:H106"/>
    <mergeCell ref="H32:H34"/>
    <mergeCell ref="B118:G118"/>
    <mergeCell ref="I118:K118"/>
    <mergeCell ref="B55:G56"/>
    <mergeCell ref="H55:H56"/>
    <mergeCell ref="I55:I77"/>
    <mergeCell ref="J55:K77"/>
    <mergeCell ref="J39:K53"/>
    <mergeCell ref="B71:G73"/>
    <mergeCell ref="H71:H73"/>
    <mergeCell ref="I78:K80"/>
    <mergeCell ref="H107:H108"/>
    <mergeCell ref="B82:G86"/>
    <mergeCell ref="B32:G34"/>
    <mergeCell ref="T133:T142"/>
    <mergeCell ref="U133:U142"/>
    <mergeCell ref="B143:G143"/>
    <mergeCell ref="J143:K143"/>
    <mergeCell ref="L143:P143"/>
    <mergeCell ref="T128:T132"/>
    <mergeCell ref="U128:U132"/>
    <mergeCell ref="B144:G144"/>
    <mergeCell ref="J144:K144"/>
    <mergeCell ref="L144:P144"/>
    <mergeCell ref="L136:P138"/>
    <mergeCell ref="Q136:Q138"/>
    <mergeCell ref="R136:S138"/>
    <mergeCell ref="L139:P141"/>
    <mergeCell ref="Q139:Q141"/>
    <mergeCell ref="R139:S141"/>
    <mergeCell ref="L142:P142"/>
    <mergeCell ref="R142:S142"/>
    <mergeCell ref="R143:S143"/>
    <mergeCell ref="R144:S144"/>
    <mergeCell ref="L128:P130"/>
    <mergeCell ref="Q128:Q130"/>
    <mergeCell ref="R128:S130"/>
    <mergeCell ref="L131:P132"/>
    <mergeCell ref="A145:A149"/>
    <mergeCell ref="B145:G149"/>
    <mergeCell ref="H145:H149"/>
    <mergeCell ref="I145:I149"/>
    <mergeCell ref="J145:K149"/>
    <mergeCell ref="T145:T149"/>
    <mergeCell ref="U145:U149"/>
    <mergeCell ref="A150:A152"/>
    <mergeCell ref="B150:G152"/>
    <mergeCell ref="H150:H152"/>
    <mergeCell ref="I150:I152"/>
    <mergeCell ref="J150:K152"/>
    <mergeCell ref="L150:P152"/>
    <mergeCell ref="L145:P147"/>
    <mergeCell ref="Q145:Q147"/>
    <mergeCell ref="R145:S147"/>
    <mergeCell ref="L148:P149"/>
    <mergeCell ref="Q148:Q149"/>
    <mergeCell ref="R148:S149"/>
    <mergeCell ref="A153:A243"/>
    <mergeCell ref="B153:G153"/>
    <mergeCell ref="I153:K153"/>
    <mergeCell ref="L153:P153"/>
    <mergeCell ref="B154:G156"/>
    <mergeCell ref="H154:H156"/>
    <mergeCell ref="I154:I176"/>
    <mergeCell ref="L154:P156"/>
    <mergeCell ref="B177:G177"/>
    <mergeCell ref="L177:P177"/>
    <mergeCell ref="B178:G178"/>
    <mergeCell ref="I178:I191"/>
    <mergeCell ref="J178:K191"/>
    <mergeCell ref="L178:P180"/>
    <mergeCell ref="H185:H187"/>
    <mergeCell ref="L187:P189"/>
    <mergeCell ref="B188:G189"/>
    <mergeCell ref="H188:H189"/>
    <mergeCell ref="B190:G191"/>
    <mergeCell ref="H190:H191"/>
    <mergeCell ref="L190:P191"/>
    <mergeCell ref="B203:G203"/>
    <mergeCell ref="H227:H228"/>
    <mergeCell ref="B204:G206"/>
    <mergeCell ref="T154:T176"/>
    <mergeCell ref="U154:U176"/>
    <mergeCell ref="B157:G166"/>
    <mergeCell ref="H157:H166"/>
    <mergeCell ref="L157:P165"/>
    <mergeCell ref="L166:P168"/>
    <mergeCell ref="T150:T152"/>
    <mergeCell ref="U150:U152"/>
    <mergeCell ref="B173:G175"/>
    <mergeCell ref="H173:H175"/>
    <mergeCell ref="L173:P175"/>
    <mergeCell ref="B176:G176"/>
    <mergeCell ref="L176:P176"/>
    <mergeCell ref="B167:G169"/>
    <mergeCell ref="H167:H169"/>
    <mergeCell ref="L169:P172"/>
    <mergeCell ref="B170:G172"/>
    <mergeCell ref="H170:H172"/>
    <mergeCell ref="J154:K176"/>
    <mergeCell ref="Q150:Q152"/>
    <mergeCell ref="R150:S152"/>
    <mergeCell ref="Q154:Q156"/>
    <mergeCell ref="R154:S156"/>
    <mergeCell ref="Q157:Q165"/>
    <mergeCell ref="T178:T191"/>
    <mergeCell ref="U178:U191"/>
    <mergeCell ref="B179:G183"/>
    <mergeCell ref="H179:H183"/>
    <mergeCell ref="L181:P183"/>
    <mergeCell ref="B184:G184"/>
    <mergeCell ref="L184:P186"/>
    <mergeCell ref="B185:G187"/>
    <mergeCell ref="T193:T233"/>
    <mergeCell ref="U193:U233"/>
    <mergeCell ref="B192:G192"/>
    <mergeCell ref="L192:P192"/>
    <mergeCell ref="B193:G199"/>
    <mergeCell ref="H193:H199"/>
    <mergeCell ref="I193:I233"/>
    <mergeCell ref="J193:K233"/>
    <mergeCell ref="B200:G200"/>
    <mergeCell ref="B201:G202"/>
    <mergeCell ref="H201:H202"/>
    <mergeCell ref="B227:G228"/>
    <mergeCell ref="H204:H206"/>
    <mergeCell ref="L205:P207"/>
    <mergeCell ref="B207:G207"/>
    <mergeCell ref="B208:G211"/>
    <mergeCell ref="B212:G215"/>
    <mergeCell ref="H212:H215"/>
    <mergeCell ref="B216:G216"/>
    <mergeCell ref="B218:G221"/>
    <mergeCell ref="H218:H221"/>
    <mergeCell ref="B222:G222"/>
    <mergeCell ref="B229:G230"/>
    <mergeCell ref="H229:H230"/>
    <mergeCell ref="L217:P225"/>
    <mergeCell ref="L229:P233"/>
    <mergeCell ref="B240:G242"/>
    <mergeCell ref="H240:H242"/>
    <mergeCell ref="L241:P243"/>
    <mergeCell ref="B243:G243"/>
    <mergeCell ref="R234:S234"/>
    <mergeCell ref="Q241:Q243"/>
    <mergeCell ref="R241:S243"/>
    <mergeCell ref="Q235:Q237"/>
    <mergeCell ref="R235:S237"/>
    <mergeCell ref="Q238:Q240"/>
    <mergeCell ref="R238:S240"/>
    <mergeCell ref="B235:G239"/>
    <mergeCell ref="H235:H239"/>
    <mergeCell ref="I235:I243"/>
    <mergeCell ref="J235:K243"/>
    <mergeCell ref="B255:F255"/>
    <mergeCell ref="H255:J255"/>
    <mergeCell ref="L235:P237"/>
    <mergeCell ref="B231:G233"/>
    <mergeCell ref="H231:H233"/>
    <mergeCell ref="B223:G226"/>
    <mergeCell ref="H223:H226"/>
    <mergeCell ref="L226:P228"/>
    <mergeCell ref="U244:U245"/>
    <mergeCell ref="B249:F249"/>
    <mergeCell ref="H249:J249"/>
    <mergeCell ref="H251:J251"/>
    <mergeCell ref="B253:F253"/>
    <mergeCell ref="H253:J253"/>
    <mergeCell ref="B244:H245"/>
    <mergeCell ref="I244:I245"/>
    <mergeCell ref="J244:K245"/>
    <mergeCell ref="L244:P245"/>
    <mergeCell ref="T244:T245"/>
    <mergeCell ref="R244:S245"/>
    <mergeCell ref="Q244:Q245"/>
    <mergeCell ref="T235:T243"/>
    <mergeCell ref="U235:U243"/>
    <mergeCell ref="L238:P240"/>
    <mergeCell ref="Q190:Q191"/>
    <mergeCell ref="G269:J269"/>
    <mergeCell ref="B270:F270"/>
    <mergeCell ref="H270:J270"/>
    <mergeCell ref="B272:F272"/>
    <mergeCell ref="H272:J272"/>
    <mergeCell ref="B274:F275"/>
    <mergeCell ref="H274:J275"/>
    <mergeCell ref="B264:F264"/>
    <mergeCell ref="H264:J264"/>
    <mergeCell ref="B266:F266"/>
    <mergeCell ref="H266:J266"/>
    <mergeCell ref="B268:F268"/>
    <mergeCell ref="H268:J268"/>
    <mergeCell ref="B257:F257"/>
    <mergeCell ref="H257:J257"/>
    <mergeCell ref="B259:F260"/>
    <mergeCell ref="H259:J260"/>
    <mergeCell ref="B234:G234"/>
    <mergeCell ref="I234:K234"/>
    <mergeCell ref="L234:P234"/>
    <mergeCell ref="B217:G217"/>
    <mergeCell ref="B251:F251"/>
    <mergeCell ref="G254:J254"/>
    <mergeCell ref="R192:S192"/>
    <mergeCell ref="R153:S153"/>
    <mergeCell ref="R177:S177"/>
    <mergeCell ref="L208:P210"/>
    <mergeCell ref="L113:P114"/>
    <mergeCell ref="Q113:Q114"/>
    <mergeCell ref="R113:S114"/>
    <mergeCell ref="L110:P112"/>
    <mergeCell ref="H35:H37"/>
    <mergeCell ref="Q184:Q186"/>
    <mergeCell ref="R184:S186"/>
    <mergeCell ref="Q205:Q207"/>
    <mergeCell ref="R205:S207"/>
    <mergeCell ref="Q208:Q210"/>
    <mergeCell ref="R208:S210"/>
    <mergeCell ref="I192:K192"/>
    <mergeCell ref="Q187:Q189"/>
    <mergeCell ref="R187:S189"/>
    <mergeCell ref="L107:P109"/>
    <mergeCell ref="L118:P118"/>
    <mergeCell ref="R190:S191"/>
    <mergeCell ref="Q173:Q175"/>
    <mergeCell ref="R173:S175"/>
    <mergeCell ref="R176:S176"/>
    <mergeCell ref="R127:S127"/>
    <mergeCell ref="L78:P80"/>
    <mergeCell ref="Q78:Q80"/>
    <mergeCell ref="R78:S80"/>
    <mergeCell ref="L115:P117"/>
    <mergeCell ref="Q115:Q117"/>
    <mergeCell ref="R115:S117"/>
    <mergeCell ref="B113:G114"/>
    <mergeCell ref="R118:S118"/>
    <mergeCell ref="L82:P84"/>
    <mergeCell ref="R101:S103"/>
    <mergeCell ref="B107:G108"/>
    <mergeCell ref="Q104:Q106"/>
    <mergeCell ref="B109:G110"/>
    <mergeCell ref="H109:H110"/>
    <mergeCell ref="R181:S183"/>
    <mergeCell ref="Q131:Q132"/>
    <mergeCell ref="R131:S132"/>
    <mergeCell ref="L133:P135"/>
    <mergeCell ref="Q133:Q135"/>
    <mergeCell ref="R133:S135"/>
    <mergeCell ref="R157:S165"/>
    <mergeCell ref="Q166:Q168"/>
    <mergeCell ref="R166:S168"/>
    <mergeCell ref="Q169:Q172"/>
    <mergeCell ref="R169:S172"/>
    <mergeCell ref="Q178:Q180"/>
    <mergeCell ref="R178:S180"/>
    <mergeCell ref="Q181:Q183"/>
    <mergeCell ref="I177:K177"/>
    <mergeCell ref="H208:H211"/>
    <mergeCell ref="H113:H114"/>
    <mergeCell ref="I115:K117"/>
    <mergeCell ref="B111:G112"/>
    <mergeCell ref="H111:H112"/>
    <mergeCell ref="B78:G80"/>
    <mergeCell ref="H78:H80"/>
    <mergeCell ref="B115:G117"/>
    <mergeCell ref="H115:H117"/>
  </mergeCells>
  <conditionalFormatting sqref="AA39">
    <cfRule type="containsText" dxfId="996" priority="154" operator="containsText" text="Ja">
      <formula>NOT(ISERROR(SEARCH("Ja",AA39)))</formula>
    </cfRule>
  </conditionalFormatting>
  <conditionalFormatting sqref="AA232">
    <cfRule type="containsText" dxfId="995" priority="146" operator="containsText" text="Ja">
      <formula>NOT(ISERROR(SEARCH("Ja",AA232)))</formula>
    </cfRule>
  </conditionalFormatting>
  <conditionalFormatting sqref="AA55">
    <cfRule type="containsText" dxfId="994" priority="153" operator="containsText" text="Ja">
      <formula>NOT(ISERROR(SEARCH("Ja",AA55)))</formula>
    </cfRule>
  </conditionalFormatting>
  <conditionalFormatting sqref="AA79">
    <cfRule type="containsText" dxfId="993" priority="152" operator="containsText" text="Ja">
      <formula>NOT(ISERROR(SEARCH("Ja",AA79)))</formula>
    </cfRule>
  </conditionalFormatting>
  <conditionalFormatting sqref="AA113">
    <cfRule type="containsText" dxfId="992" priority="151" operator="containsText" text="Ja">
      <formula>NOT(ISERROR(SEARCH("Ja",AA113)))</formula>
    </cfRule>
  </conditionalFormatting>
  <conditionalFormatting sqref="AA125">
    <cfRule type="containsText" dxfId="991" priority="150" operator="containsText" text="Ja">
      <formula>NOT(ISERROR(SEARCH("Ja",AA125)))</formula>
    </cfRule>
  </conditionalFormatting>
  <conditionalFormatting sqref="AA151">
    <cfRule type="containsText" dxfId="990" priority="149" operator="containsText" text="Ja">
      <formula>NOT(ISERROR(SEARCH("Ja",AA151)))</formula>
    </cfRule>
  </conditionalFormatting>
  <conditionalFormatting sqref="AA175">
    <cfRule type="containsText" dxfId="989" priority="148" operator="containsText" text="Ja">
      <formula>NOT(ISERROR(SEARCH("Ja",AA175)))</formula>
    </cfRule>
  </conditionalFormatting>
  <conditionalFormatting sqref="AA190">
    <cfRule type="containsText" dxfId="988" priority="147" operator="containsText" text="Ja">
      <formula>NOT(ISERROR(SEARCH("Ja",AA190)))</formula>
    </cfRule>
  </conditionalFormatting>
  <conditionalFormatting sqref="B280:B287">
    <cfRule type="cellIs" dxfId="987" priority="98" operator="greaterThan">
      <formula>0</formula>
    </cfRule>
  </conditionalFormatting>
  <conditionalFormatting sqref="C280:P288">
    <cfRule type="expression" dxfId="986" priority="97">
      <formula>$B280&gt;=1</formula>
    </cfRule>
  </conditionalFormatting>
  <conditionalFormatting sqref="C281:P281">
    <cfRule type="expression" dxfId="985" priority="96">
      <formula>$B281&gt;=1</formula>
    </cfRule>
  </conditionalFormatting>
  <conditionalFormatting sqref="C282:P282">
    <cfRule type="expression" dxfId="984" priority="95">
      <formula>$B282&gt;=1</formula>
    </cfRule>
  </conditionalFormatting>
  <conditionalFormatting sqref="C283:P283">
    <cfRule type="expression" dxfId="983" priority="94">
      <formula>$B283&gt;=1</formula>
    </cfRule>
  </conditionalFormatting>
  <conditionalFormatting sqref="C284:P284">
    <cfRule type="expression" dxfId="982" priority="93">
      <formula>$B284&gt;=1</formula>
    </cfRule>
  </conditionalFormatting>
  <conditionalFormatting sqref="C285:P285">
    <cfRule type="expression" dxfId="981" priority="92">
      <formula>$B285&gt;=1</formula>
    </cfRule>
  </conditionalFormatting>
  <conditionalFormatting sqref="C286:P286">
    <cfRule type="expression" dxfId="980" priority="91">
      <formula>$B286&gt;=1</formula>
    </cfRule>
  </conditionalFormatting>
  <conditionalFormatting sqref="C287:P288">
    <cfRule type="expression" dxfId="979" priority="90">
      <formula>$B287&gt;=1</formula>
    </cfRule>
  </conditionalFormatting>
  <conditionalFormatting sqref="C280:P288">
    <cfRule type="cellIs" dxfId="978" priority="89" operator="greaterThan">
      <formula>0</formula>
    </cfRule>
  </conditionalFormatting>
  <conditionalFormatting sqref="F23">
    <cfRule type="expression" dxfId="977" priority="88">
      <formula>$H$8+$L$8+$P$8&gt;0</formula>
    </cfRule>
  </conditionalFormatting>
  <conditionalFormatting sqref="R39">
    <cfRule type="expression" dxfId="976" priority="656">
      <formula>Q39="ja"</formula>
    </cfRule>
  </conditionalFormatting>
  <conditionalFormatting sqref="R44">
    <cfRule type="expression" dxfId="975" priority="74">
      <formula>Q44="ja"</formula>
    </cfRule>
  </conditionalFormatting>
  <conditionalFormatting sqref="R47">
    <cfRule type="expression" dxfId="974" priority="73">
      <formula>Q47="ja"</formula>
    </cfRule>
  </conditionalFormatting>
  <conditionalFormatting sqref="R49 R51 R53">
    <cfRule type="expression" dxfId="973" priority="72">
      <formula>Q49="ja"</formula>
    </cfRule>
  </conditionalFormatting>
  <conditionalFormatting sqref="R50">
    <cfRule type="expression" dxfId="972" priority="70">
      <formula>Q50="ja"</formula>
    </cfRule>
  </conditionalFormatting>
  <conditionalFormatting sqref="R226">
    <cfRule type="expression" dxfId="971" priority="9">
      <formula>Q226="ja"</formula>
    </cfRule>
  </conditionalFormatting>
  <conditionalFormatting sqref="R55">
    <cfRule type="expression" dxfId="970" priority="50">
      <formula>Q55="ja"</formula>
    </cfRule>
  </conditionalFormatting>
  <conditionalFormatting sqref="R58 R61 R64 R67 R70 R73">
    <cfRule type="expression" dxfId="969" priority="49">
      <formula>Q58="ja"</formula>
    </cfRule>
  </conditionalFormatting>
  <conditionalFormatting sqref="R76">
    <cfRule type="expression" dxfId="968" priority="48">
      <formula>Q76="ja"</formula>
    </cfRule>
  </conditionalFormatting>
  <conditionalFormatting sqref="R82 R85 R88 R91 R94:R95 R98 R101 R104 R107 R110">
    <cfRule type="expression" dxfId="967" priority="47">
      <formula>Q82="ja"</formula>
    </cfRule>
  </conditionalFormatting>
  <conditionalFormatting sqref="R113">
    <cfRule type="expression" dxfId="966" priority="46">
      <formula>Q113="ja"</formula>
    </cfRule>
  </conditionalFormatting>
  <conditionalFormatting sqref="R119">
    <cfRule type="expression" dxfId="965" priority="45">
      <formula>Q119="ja"</formula>
    </cfRule>
  </conditionalFormatting>
  <conditionalFormatting sqref="R122">
    <cfRule type="expression" dxfId="964" priority="44">
      <formula>Q122="ja"</formula>
    </cfRule>
  </conditionalFormatting>
  <conditionalFormatting sqref="R125">
    <cfRule type="expression" dxfId="963" priority="43">
      <formula>Q125="ja"</formula>
    </cfRule>
  </conditionalFormatting>
  <conditionalFormatting sqref="R128">
    <cfRule type="expression" dxfId="962" priority="42">
      <formula>Q128="ja"</formula>
    </cfRule>
  </conditionalFormatting>
  <conditionalFormatting sqref="R131">
    <cfRule type="expression" dxfId="961" priority="41">
      <formula>Q131="ja"</formula>
    </cfRule>
  </conditionalFormatting>
  <conditionalFormatting sqref="R133">
    <cfRule type="expression" dxfId="960" priority="40">
      <formula>Q133="ja"</formula>
    </cfRule>
  </conditionalFormatting>
  <conditionalFormatting sqref="R136">
    <cfRule type="expression" dxfId="959" priority="39">
      <formula>Q136="ja"</formula>
    </cfRule>
  </conditionalFormatting>
  <conditionalFormatting sqref="R139">
    <cfRule type="expression" dxfId="958" priority="38">
      <formula>Q139="ja"</formula>
    </cfRule>
  </conditionalFormatting>
  <conditionalFormatting sqref="R142">
    <cfRule type="expression" dxfId="957" priority="37">
      <formula>Q142="ja"</formula>
    </cfRule>
  </conditionalFormatting>
  <conditionalFormatting sqref="R143">
    <cfRule type="expression" dxfId="956" priority="36">
      <formula>Q143="ja"</formula>
    </cfRule>
  </conditionalFormatting>
  <conditionalFormatting sqref="R144">
    <cfRule type="expression" dxfId="955" priority="35">
      <formula>Q144="ja"</formula>
    </cfRule>
  </conditionalFormatting>
  <conditionalFormatting sqref="R145">
    <cfRule type="expression" dxfId="954" priority="34">
      <formula>Q145="ja"</formula>
    </cfRule>
  </conditionalFormatting>
  <conditionalFormatting sqref="R148">
    <cfRule type="expression" dxfId="953" priority="33">
      <formula>Q148="ja"</formula>
    </cfRule>
  </conditionalFormatting>
  <conditionalFormatting sqref="R150">
    <cfRule type="expression" dxfId="952" priority="32">
      <formula>Q150="ja"</formula>
    </cfRule>
  </conditionalFormatting>
  <conditionalFormatting sqref="R154">
    <cfRule type="expression" dxfId="951" priority="31">
      <formula>Q154="ja"</formula>
    </cfRule>
  </conditionalFormatting>
  <conditionalFormatting sqref="R157:R163">
    <cfRule type="expression" dxfId="950" priority="30">
      <formula>Q157="ja"</formula>
    </cfRule>
  </conditionalFormatting>
  <conditionalFormatting sqref="R166">
    <cfRule type="expression" dxfId="949" priority="29">
      <formula>Q166="ja"</formula>
    </cfRule>
  </conditionalFormatting>
  <conditionalFormatting sqref="R169">
    <cfRule type="expression" dxfId="948" priority="28">
      <formula>Q169="ja"</formula>
    </cfRule>
  </conditionalFormatting>
  <conditionalFormatting sqref="R173">
    <cfRule type="expression" dxfId="947" priority="27">
      <formula>Q173="ja"</formula>
    </cfRule>
  </conditionalFormatting>
  <conditionalFormatting sqref="R176">
    <cfRule type="expression" dxfId="946" priority="26">
      <formula>Q176="ja"</formula>
    </cfRule>
  </conditionalFormatting>
  <conditionalFormatting sqref="R178">
    <cfRule type="expression" dxfId="945" priority="25">
      <formula>Q178="ja"</formula>
    </cfRule>
  </conditionalFormatting>
  <conditionalFormatting sqref="R181">
    <cfRule type="expression" dxfId="944" priority="24">
      <formula>Q181="ja"</formula>
    </cfRule>
  </conditionalFormatting>
  <conditionalFormatting sqref="R184">
    <cfRule type="expression" dxfId="943" priority="23">
      <formula>Q184="ja"</formula>
    </cfRule>
  </conditionalFormatting>
  <conditionalFormatting sqref="R187">
    <cfRule type="expression" dxfId="942" priority="22">
      <formula>Q187="ja"</formula>
    </cfRule>
  </conditionalFormatting>
  <conditionalFormatting sqref="R190">
    <cfRule type="expression" dxfId="941" priority="21">
      <formula>Q190="ja"</formula>
    </cfRule>
  </conditionalFormatting>
  <conditionalFormatting sqref="R193">
    <cfRule type="expression" dxfId="940" priority="20">
      <formula>Q193="ja"</formula>
    </cfRule>
  </conditionalFormatting>
  <conditionalFormatting sqref="R205">
    <cfRule type="expression" dxfId="939" priority="16">
      <formula>Q205="ja"</formula>
    </cfRule>
  </conditionalFormatting>
  <conditionalFormatting sqref="R208">
    <cfRule type="expression" dxfId="938" priority="15">
      <formula>Q208="ja"</formula>
    </cfRule>
  </conditionalFormatting>
  <conditionalFormatting sqref="R211">
    <cfRule type="expression" dxfId="937" priority="14">
      <formula>Q211="ja"</formula>
    </cfRule>
  </conditionalFormatting>
  <conditionalFormatting sqref="R217">
    <cfRule type="expression" dxfId="936" priority="12">
      <formula>Q217="ja"</formula>
    </cfRule>
  </conditionalFormatting>
  <conditionalFormatting sqref="R229">
    <cfRule type="expression" dxfId="935" priority="8">
      <formula>Q229="ja"</formula>
    </cfRule>
  </conditionalFormatting>
  <conditionalFormatting sqref="R235">
    <cfRule type="expression" dxfId="934" priority="6">
      <formula>Q235="ja"</formula>
    </cfRule>
  </conditionalFormatting>
  <conditionalFormatting sqref="R238">
    <cfRule type="expression" dxfId="933" priority="5">
      <formula>Q238="ja"</formula>
    </cfRule>
  </conditionalFormatting>
  <conditionalFormatting sqref="R241">
    <cfRule type="expression" dxfId="932" priority="4">
      <formula>Q241="ja"</formula>
    </cfRule>
  </conditionalFormatting>
  <conditionalFormatting sqref="B288">
    <cfRule type="cellIs" dxfId="931" priority="3" operator="greaterThan">
      <formula>0</formula>
    </cfRule>
  </conditionalFormatting>
  <conditionalFormatting sqref="T39:T53 T55:T77 T82:T114 T119:T126 T154:T176 T178:T191 T193:T233 T235:T243 T128:T152">
    <cfRule type="cellIs" dxfId="930" priority="1" operator="equal">
      <formula>"ja"</formula>
    </cfRule>
  </conditionalFormatting>
  <conditionalFormatting sqref="R203">
    <cfRule type="expression" dxfId="929" priority="776">
      <formula>Q203="ja"</formula>
    </cfRule>
  </conditionalFormatting>
  <dataValidations count="2">
    <dataValidation type="list" allowBlank="1" showInputMessage="1" showErrorMessage="1" sqref="F15:Q15" xr:uid="{71C144BF-FCB7-44CF-96FD-C9DCC9F42329}">
      <formula1>$V$15:$V$17</formula1>
    </dataValidation>
    <dataValidation type="list" allowBlank="1" showInputMessage="1" showErrorMessage="1" sqref="Q55:Q77 H154:H176 H128:H152 H119:H126 H235:H243 H82:H114 H55:H77 H193:H233 H178:H191 H39:H53 Q39:Q53 Q82:Q114 Q235:Q243 Q178:Q191 Q154:Q176 Q128:Q152 Q119:Q126 Q205:Q211 Q226:Q229 Q217 Q203 Q193" xr:uid="{DA05B957-CF3B-40A0-90BA-51A84D6EA96F}">
      <formula1>$T$32:$T$33</formula1>
    </dataValidation>
  </dataValidations>
  <pageMargins left="0.25" right="0.25" top="0.75" bottom="0.75" header="0.3" footer="0.3"/>
  <pageSetup paperSize="9" scale="50" orientation="portrait" r:id="rId1"/>
  <rowBreaks count="2" manualBreakCount="2">
    <brk id="87" max="16383" man="1"/>
    <brk id="187" max="16383" man="1"/>
  </rowBreaks>
  <ignoredErrors>
    <ignoredError sqref="Z177"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D7B2AB6-8B2B-48E6-9E85-24158BD84AD0}">
          <x14:formula1>
            <xm:f>'Berechnung - Hochbau'!$H$52:$H$56</xm:f>
          </x14:formula1>
          <xm:sqref>F16</xm:sqref>
        </x14:dataValidation>
        <x14:dataValidation type="list" allowBlank="1" showInputMessage="1" showErrorMessage="1" xr:uid="{DBD00BCC-0268-4FDC-91D6-3AB38D2917DD}">
          <x14:formula1>
            <xm:f>'Berechnung - Hochbau'!$B$109:$B$112</xm:f>
          </x14:formula1>
          <xm:sqref>R5:S6 W5:X6</xm:sqref>
        </x14:dataValidation>
        <x14:dataValidation type="list" allowBlank="1" showInputMessage="1" showErrorMessage="1" xr:uid="{F4AB6E90-4776-4254-AA69-E86DFF6D263C}">
          <x14:formula1>
            <xm:f>'Berechnung - Abwasser'!$B$138:$B$147</xm:f>
          </x14:formula1>
          <xm:sqref>U39:U233 U235:U243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6D3C-BF27-4680-BA57-7DEF3C723B36}">
  <sheetPr codeName="Tabelle5">
    <tabColor rgb="FFFFC000"/>
  </sheetPr>
  <dimension ref="A1:Q156"/>
  <sheetViews>
    <sheetView workbookViewId="0"/>
  </sheetViews>
  <sheetFormatPr baseColWidth="10" defaultColWidth="11.44140625" defaultRowHeight="14.55" x14ac:dyDescent="0.3"/>
  <cols>
    <col min="1" max="1" width="12.777343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2" width="12" style="594" bestFit="1" customWidth="1"/>
    <col min="13" max="16" width="11.5546875" style="594" bestFit="1" customWidth="1"/>
    <col min="17" max="17" width="12"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8">
        <v>2547</v>
      </c>
      <c r="G6" s="609">
        <v>2990</v>
      </c>
      <c r="H6" s="605"/>
      <c r="I6" s="608">
        <v>2990</v>
      </c>
      <c r="J6" s="609">
        <v>3405</v>
      </c>
    </row>
    <row r="7" spans="1:13" x14ac:dyDescent="0.3">
      <c r="A7" s="610">
        <v>10000</v>
      </c>
      <c r="B7" s="605"/>
      <c r="C7" s="611">
        <v>3689</v>
      </c>
      <c r="D7" s="612">
        <v>4408</v>
      </c>
      <c r="E7" s="605"/>
      <c r="F7" s="611">
        <v>4408</v>
      </c>
      <c r="G7" s="613">
        <v>5174</v>
      </c>
      <c r="H7" s="605"/>
      <c r="I7" s="611">
        <v>5174</v>
      </c>
      <c r="J7" s="613">
        <v>5893</v>
      </c>
    </row>
    <row r="8" spans="1:13" x14ac:dyDescent="0.3">
      <c r="A8" s="610">
        <v>15000</v>
      </c>
      <c r="B8" s="605"/>
      <c r="C8" s="611">
        <v>5084</v>
      </c>
      <c r="D8" s="612">
        <v>6075</v>
      </c>
      <c r="E8" s="605"/>
      <c r="F8" s="611">
        <v>6075</v>
      </c>
      <c r="G8" s="613">
        <v>7131</v>
      </c>
      <c r="H8" s="605"/>
      <c r="I8" s="611">
        <v>7131</v>
      </c>
      <c r="J8" s="613">
        <v>8122</v>
      </c>
    </row>
    <row r="9" spans="1:13" x14ac:dyDescent="0.3">
      <c r="A9" s="610">
        <v>25000</v>
      </c>
      <c r="B9" s="605"/>
      <c r="C9" s="611">
        <v>7615</v>
      </c>
      <c r="D9" s="612">
        <v>9098</v>
      </c>
      <c r="E9" s="605"/>
      <c r="F9" s="611">
        <v>9098</v>
      </c>
      <c r="G9" s="613">
        <v>10681</v>
      </c>
      <c r="H9" s="605"/>
      <c r="I9" s="611">
        <v>10681</v>
      </c>
      <c r="J9" s="613">
        <v>12164</v>
      </c>
    </row>
    <row r="10" spans="1:13" x14ac:dyDescent="0.3">
      <c r="A10" s="610">
        <v>35000</v>
      </c>
      <c r="B10" s="605"/>
      <c r="C10" s="611">
        <v>9934</v>
      </c>
      <c r="D10" s="612">
        <v>11869</v>
      </c>
      <c r="E10" s="605"/>
      <c r="F10" s="611">
        <v>11869</v>
      </c>
      <c r="G10" s="613">
        <v>13934</v>
      </c>
      <c r="H10" s="605"/>
      <c r="I10" s="611">
        <v>13934</v>
      </c>
      <c r="J10" s="613">
        <v>15869</v>
      </c>
    </row>
    <row r="11" spans="1:13" x14ac:dyDescent="0.3">
      <c r="A11" s="610">
        <v>50000</v>
      </c>
      <c r="B11" s="605"/>
      <c r="C11" s="611">
        <v>13165</v>
      </c>
      <c r="D11" s="612">
        <v>15729</v>
      </c>
      <c r="E11" s="605"/>
      <c r="F11" s="611">
        <v>15729</v>
      </c>
      <c r="G11" s="613">
        <v>18465</v>
      </c>
      <c r="H11" s="605"/>
      <c r="I11" s="611">
        <v>18465</v>
      </c>
      <c r="J11" s="613">
        <v>21029</v>
      </c>
    </row>
    <row r="12" spans="1:13" x14ac:dyDescent="0.3">
      <c r="A12" s="610">
        <v>75000</v>
      </c>
      <c r="B12" s="605"/>
      <c r="C12" s="611">
        <v>18122</v>
      </c>
      <c r="D12" s="612">
        <v>21652</v>
      </c>
      <c r="E12" s="605"/>
      <c r="F12" s="611">
        <v>21652</v>
      </c>
      <c r="G12" s="613">
        <v>25418</v>
      </c>
      <c r="H12" s="605"/>
      <c r="I12" s="611">
        <v>25418</v>
      </c>
      <c r="J12" s="613">
        <v>28948</v>
      </c>
    </row>
    <row r="13" spans="1:13" x14ac:dyDescent="0.3">
      <c r="A13" s="610">
        <v>100000</v>
      </c>
      <c r="B13" s="605"/>
      <c r="C13" s="611">
        <v>22723</v>
      </c>
      <c r="D13" s="612">
        <v>27150</v>
      </c>
      <c r="E13" s="605"/>
      <c r="F13" s="611">
        <v>27150</v>
      </c>
      <c r="G13" s="613">
        <v>31872</v>
      </c>
      <c r="H13" s="605"/>
      <c r="I13" s="611">
        <v>31872</v>
      </c>
      <c r="J13" s="613">
        <v>36299</v>
      </c>
    </row>
    <row r="14" spans="1:13" x14ac:dyDescent="0.3">
      <c r="A14" s="610">
        <v>150000</v>
      </c>
      <c r="B14" s="605"/>
      <c r="C14" s="611">
        <v>31228</v>
      </c>
      <c r="D14" s="612">
        <v>37311</v>
      </c>
      <c r="E14" s="605"/>
      <c r="F14" s="611">
        <v>37311</v>
      </c>
      <c r="G14" s="613">
        <v>43800</v>
      </c>
      <c r="H14" s="605"/>
      <c r="I14" s="611">
        <v>43800</v>
      </c>
      <c r="J14" s="613">
        <v>49883</v>
      </c>
    </row>
    <row r="15" spans="1:13" x14ac:dyDescent="0.3">
      <c r="A15" s="610">
        <v>250000</v>
      </c>
      <c r="B15" s="605"/>
      <c r="C15" s="611">
        <v>46640</v>
      </c>
      <c r="D15" s="612">
        <v>55726</v>
      </c>
      <c r="E15" s="605"/>
      <c r="F15" s="611">
        <v>55726</v>
      </c>
      <c r="G15" s="613">
        <v>65418</v>
      </c>
      <c r="H15" s="605"/>
      <c r="I15" s="611">
        <v>65418</v>
      </c>
      <c r="J15" s="613">
        <v>74504</v>
      </c>
    </row>
    <row r="16" spans="1:13" x14ac:dyDescent="0.3">
      <c r="A16" s="610">
        <v>500000</v>
      </c>
      <c r="B16" s="605"/>
      <c r="C16" s="611">
        <v>80684</v>
      </c>
      <c r="D16" s="612">
        <v>96402</v>
      </c>
      <c r="E16" s="605"/>
      <c r="F16" s="611">
        <v>96402</v>
      </c>
      <c r="G16" s="613">
        <v>113168</v>
      </c>
      <c r="H16" s="605"/>
      <c r="I16" s="611">
        <v>113168</v>
      </c>
      <c r="J16" s="613">
        <v>128886</v>
      </c>
    </row>
    <row r="17" spans="1:10" x14ac:dyDescent="0.3">
      <c r="A17" s="610">
        <v>750000</v>
      </c>
      <c r="B17" s="605"/>
      <c r="C17" s="611">
        <v>111105</v>
      </c>
      <c r="D17" s="612">
        <v>132749</v>
      </c>
      <c r="E17" s="605"/>
      <c r="F17" s="611">
        <v>132749</v>
      </c>
      <c r="G17" s="613">
        <v>155836</v>
      </c>
      <c r="H17" s="605"/>
      <c r="I17" s="611">
        <v>155836</v>
      </c>
      <c r="J17" s="613">
        <v>177480</v>
      </c>
    </row>
    <row r="18" spans="1:10" x14ac:dyDescent="0.3">
      <c r="A18" s="610">
        <v>1000000</v>
      </c>
      <c r="B18" s="605"/>
      <c r="C18" s="611">
        <v>139347</v>
      </c>
      <c r="D18" s="612">
        <v>166493</v>
      </c>
      <c r="E18" s="605"/>
      <c r="F18" s="611">
        <v>166493</v>
      </c>
      <c r="G18" s="613">
        <v>195448</v>
      </c>
      <c r="H18" s="605"/>
      <c r="I18" s="611">
        <v>195448</v>
      </c>
      <c r="J18" s="613">
        <v>222594</v>
      </c>
    </row>
    <row r="19" spans="1:10" x14ac:dyDescent="0.3">
      <c r="A19" s="610">
        <v>1250000</v>
      </c>
      <c r="B19" s="605"/>
      <c r="C19" s="611">
        <v>166043</v>
      </c>
      <c r="D19" s="612">
        <v>198389</v>
      </c>
      <c r="E19" s="605"/>
      <c r="F19" s="611">
        <v>198389</v>
      </c>
      <c r="G19" s="613">
        <v>232891</v>
      </c>
      <c r="H19" s="605"/>
      <c r="I19" s="611">
        <v>232891</v>
      </c>
      <c r="J19" s="613">
        <v>265237</v>
      </c>
    </row>
    <row r="20" spans="1:10" x14ac:dyDescent="0.3">
      <c r="A20" s="610">
        <v>1500000</v>
      </c>
      <c r="B20" s="605"/>
      <c r="C20" s="611">
        <v>191545</v>
      </c>
      <c r="D20" s="612">
        <v>228859</v>
      </c>
      <c r="E20" s="605"/>
      <c r="F20" s="611">
        <v>228859</v>
      </c>
      <c r="G20" s="613">
        <v>268660</v>
      </c>
      <c r="H20" s="605"/>
      <c r="I20" s="611">
        <v>268660</v>
      </c>
      <c r="J20" s="613">
        <v>305974</v>
      </c>
    </row>
    <row r="21" spans="1:10" x14ac:dyDescent="0.3">
      <c r="A21" s="610">
        <v>2000000</v>
      </c>
      <c r="B21" s="605"/>
      <c r="C21" s="611">
        <v>239792</v>
      </c>
      <c r="D21" s="612">
        <v>286504</v>
      </c>
      <c r="E21" s="605"/>
      <c r="F21" s="611">
        <v>286504</v>
      </c>
      <c r="G21" s="613">
        <v>336331</v>
      </c>
      <c r="H21" s="605"/>
      <c r="I21" s="611">
        <v>336331</v>
      </c>
      <c r="J21" s="613">
        <v>383044</v>
      </c>
    </row>
    <row r="22" spans="1:10" x14ac:dyDescent="0.3">
      <c r="A22" s="610">
        <v>2500000</v>
      </c>
      <c r="B22" s="605"/>
      <c r="C22" s="611">
        <v>285649</v>
      </c>
      <c r="D22" s="612">
        <v>341295</v>
      </c>
      <c r="E22" s="605"/>
      <c r="F22" s="611">
        <v>341295</v>
      </c>
      <c r="G22" s="613">
        <v>400650</v>
      </c>
      <c r="H22" s="605"/>
      <c r="I22" s="611">
        <v>400650</v>
      </c>
      <c r="J22" s="613">
        <v>456296</v>
      </c>
    </row>
    <row r="23" spans="1:10" x14ac:dyDescent="0.3">
      <c r="A23" s="610">
        <v>3000000</v>
      </c>
      <c r="B23" s="605"/>
      <c r="C23" s="611">
        <v>329420</v>
      </c>
      <c r="D23" s="612">
        <v>393593</v>
      </c>
      <c r="E23" s="605"/>
      <c r="F23" s="611">
        <v>393593</v>
      </c>
      <c r="G23" s="613">
        <v>462044</v>
      </c>
      <c r="H23" s="605"/>
      <c r="I23" s="611">
        <v>462044</v>
      </c>
      <c r="J23" s="613">
        <v>526217</v>
      </c>
    </row>
    <row r="24" spans="1:10" x14ac:dyDescent="0.3">
      <c r="A24" s="610">
        <v>3500000</v>
      </c>
      <c r="B24" s="605"/>
      <c r="C24" s="611">
        <v>371491</v>
      </c>
      <c r="D24" s="612">
        <v>443859</v>
      </c>
      <c r="E24" s="605"/>
      <c r="F24" s="611">
        <v>443859</v>
      </c>
      <c r="G24" s="613">
        <v>521052</v>
      </c>
      <c r="H24" s="605"/>
      <c r="I24" s="611">
        <v>521052</v>
      </c>
      <c r="J24" s="613">
        <v>593420</v>
      </c>
    </row>
    <row r="25" spans="1:10" ht="15.2" thickBot="1" x14ac:dyDescent="0.35">
      <c r="A25" s="610">
        <v>4000000</v>
      </c>
      <c r="B25" s="614"/>
      <c r="C25" s="611">
        <v>412126</v>
      </c>
      <c r="D25" s="612">
        <v>492410</v>
      </c>
      <c r="E25" s="615"/>
      <c r="F25" s="611">
        <v>492410</v>
      </c>
      <c r="G25" s="612">
        <v>578046</v>
      </c>
      <c r="H25" s="605"/>
      <c r="I25" s="611">
        <v>578046</v>
      </c>
      <c r="J25" s="612">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'Nutzerspezifische Anlagen'!H8</f>
        <v>166622</v>
      </c>
      <c r="H62" s="1648"/>
      <c r="I62" s="1647">
        <f>'Nutzerspezifische Anlagen'!L8</f>
        <v>0</v>
      </c>
      <c r="J62" s="1648"/>
      <c r="K62" s="1647">
        <f>'Nutzerspezifische Anlagen'!P8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'Nutzerspezifische Anlagen'!F15</f>
        <v>1</v>
      </c>
      <c r="H64" s="1463"/>
      <c r="J64" s="1643"/>
      <c r="K64" s="1643"/>
      <c r="L64" s="642"/>
      <c r="M64" s="645"/>
      <c r="N64" s="626"/>
      <c r="O64" s="626"/>
      <c r="P64" s="626"/>
      <c r="Q64" s="627"/>
    </row>
    <row r="65" spans="1:17" x14ac:dyDescent="0.3">
      <c r="A65" s="629"/>
      <c r="B65" s="1422" t="s">
        <v>317</v>
      </c>
      <c r="C65" s="1423"/>
      <c r="D65" s="1423"/>
      <c r="E65" s="1424"/>
      <c r="F65" s="644"/>
      <c r="G65" s="1462" t="str">
        <f>'Nutzerspezifische Anlagen'!F16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649" t="s">
        <v>316</v>
      </c>
      <c r="F70" s="646"/>
      <c r="G70" s="647" t="s">
        <v>328</v>
      </c>
      <c r="H70" s="648">
        <f>IF(G62&lt;$A$6,0,IF(G62&gt;$A$44,0,VLOOKUP(G62,$A$6:$A$44,1)))</f>
        <v>150000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651"/>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597">
        <v>1</v>
      </c>
      <c r="F72" s="603"/>
      <c r="G72" s="648">
        <f>IF(G62&lt;$A$6,0,IF(G62&gt;$A$44,0,VLOOKUP(H70,$A$6:$J$44,3)))</f>
        <v>31228</v>
      </c>
      <c r="H72" s="648">
        <f>IF(G62&lt;$A$6,0,IF(G62&gt;$A$44,0,VLOOKUP(G72,$C$6:$D$44,2)))</f>
        <v>37311</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597">
        <v>2</v>
      </c>
      <c r="F73" s="603"/>
      <c r="G73" s="648">
        <f>IF(G62&lt;$A$6,0,IF(G62&gt;$A$44,0,VLOOKUP(H70,$A$6:$J$44,6)))</f>
        <v>37311</v>
      </c>
      <c r="H73" s="648">
        <f>IF(G62&lt;$A$6,0,IF(G62&gt;$A$44,0,VLOOKUP(G73,$F$6:$G$44,2)))</f>
        <v>43800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597">
        <v>3</v>
      </c>
      <c r="F74" s="603"/>
      <c r="G74" s="648">
        <f>IF(G62&lt;$A$6,0,IF(G62&gt;$A$44,0,VLOOKUP(H70,$A$6:$J$44,9)))</f>
        <v>43800</v>
      </c>
      <c r="H74" s="648">
        <f>IF(G62&lt;$A$6,0,IF(G62&gt;$A$44,0,VLOOKUP(G74,$I$6:$J$44,2)))</f>
        <v>49883</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652"/>
      <c r="E75" s="603"/>
      <c r="F75" s="603"/>
      <c r="G75" s="653"/>
      <c r="H75" s="651"/>
      <c r="I75" s="641"/>
      <c r="J75" s="641"/>
      <c r="K75" s="641"/>
      <c r="L75" s="654"/>
      <c r="M75" s="641"/>
      <c r="N75" s="627"/>
      <c r="O75" s="627"/>
      <c r="P75" s="627"/>
      <c r="Q75" s="627"/>
    </row>
    <row r="76" spans="1:17" x14ac:dyDescent="0.3">
      <c r="A76" s="629"/>
      <c r="B76" s="708"/>
      <c r="C76" s="709"/>
      <c r="D76" s="1397" t="s">
        <v>925</v>
      </c>
      <c r="E76" s="1649" t="s">
        <v>316</v>
      </c>
      <c r="F76" s="603"/>
      <c r="G76" s="647" t="s">
        <v>328</v>
      </c>
      <c r="H76" s="648">
        <f>IF(G62&lt;$A$6,0,IF(G62&gt;$A$44,0,INDEX($A$6:$A$44,MATCH(G62,$A$6:$A$44,1)+1,1)))</f>
        <v>250000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651"/>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597">
        <v>1</v>
      </c>
      <c r="F78" s="603"/>
      <c r="G78" s="648">
        <f>IF(G62&lt;$A$6,0,IF(G62&gt;$A$44,0,VLOOKUP(H76,$A$6:$J$44,3)))</f>
        <v>46640</v>
      </c>
      <c r="H78" s="648">
        <f>IF(G62&lt;$A$6,0,IF(G62&gt;$A$44,0,VLOOKUP(G78,$C$6:$D$44,2)))</f>
        <v>55726</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597">
        <v>2</v>
      </c>
      <c r="F79" s="603"/>
      <c r="G79" s="648">
        <f>IF(G62&lt;$A$6,0,IF(G62&gt;$A$44,0,VLOOKUP(H76,$A$6:$J$44,6)))</f>
        <v>55726</v>
      </c>
      <c r="H79" s="648">
        <f>IF(G62&lt;$A$6,0,IF(G62&gt;$A$44,0,VLOOKUP(G79,$F$6:$G$44,2)))</f>
        <v>65418</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597">
        <v>3</v>
      </c>
      <c r="F80" s="603"/>
      <c r="G80" s="648">
        <f>IF(G62&lt;$A$6,0,IF(G62&gt;$A$44,0,VLOOKUP(H76,$A$6:$J$44,9)))</f>
        <v>65418</v>
      </c>
      <c r="H80" s="648">
        <f>IF(G62&lt;$A$6,0,IF(G62&gt;$A$44,0,VLOOKUP(G80,$I$6:$J$44,2)))</f>
        <v>74504</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31228</v>
      </c>
      <c r="H85" s="655">
        <f>VLOOKUP(G64,E72:H74,4)</f>
        <v>37311</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46640</v>
      </c>
      <c r="H86" s="655">
        <f>VLOOKUP(G64,E78:H80,4)</f>
        <v>55726</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15412</v>
      </c>
      <c r="H87" s="657">
        <f t="shared" si="2"/>
        <v>18415</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16622</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31228</v>
      </c>
      <c r="H93" s="655">
        <f t="shared" si="3"/>
        <v>37311</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16622</v>
      </c>
      <c r="H94" s="655">
        <f>G88</f>
        <v>16622</v>
      </c>
      <c r="I94" s="655">
        <f>I88</f>
        <v>0</v>
      </c>
      <c r="J94" s="655">
        <f>I88</f>
        <v>0</v>
      </c>
      <c r="K94" s="655">
        <f>K88</f>
        <v>0</v>
      </c>
      <c r="L94" s="655">
        <f>K88</f>
        <v>0</v>
      </c>
      <c r="M94" s="656"/>
    </row>
    <row r="95" spans="1:17" x14ac:dyDescent="0.3">
      <c r="A95" s="629"/>
      <c r="B95" s="1416" t="s">
        <v>336</v>
      </c>
      <c r="C95" s="1416"/>
      <c r="D95" s="1416"/>
      <c r="E95" s="1416"/>
      <c r="F95" s="660"/>
      <c r="G95" s="655">
        <f t="shared" ref="G95:L95" si="4">G87</f>
        <v>15412</v>
      </c>
      <c r="H95" s="655">
        <f t="shared" si="4"/>
        <v>18415</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100000</v>
      </c>
      <c r="H96" s="655">
        <f>H76-H70</f>
        <v>100000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33789.782639999998</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35435.322304999994</v>
      </c>
      <c r="I99" s="603"/>
      <c r="J99" s="667">
        <f>((J102-J98)*0.25)+J98</f>
        <v>0</v>
      </c>
      <c r="K99" s="603"/>
      <c r="L99" s="667">
        <f>((L102-L98)*0.25)+L98</f>
        <v>0</v>
      </c>
      <c r="M99" s="641"/>
    </row>
    <row r="100" spans="1:13" x14ac:dyDescent="0.3">
      <c r="A100" s="629"/>
      <c r="B100" s="666"/>
      <c r="C100" s="647"/>
      <c r="D100" s="663" t="s">
        <v>319</v>
      </c>
      <c r="E100" s="664"/>
      <c r="F100" s="656"/>
      <c r="G100" s="603"/>
      <c r="H100" s="667">
        <f>(H102+H98)/2</f>
        <v>37080.861969999998</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38726.401635000002</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40371.941299999999</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33789.782639999998</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IF('Nutzerspezifische Anlagen'!$T39="ja",'Nutzerspezifische Anlagen'!J39,0)</f>
        <v>0</v>
      </c>
      <c r="D109" s="1639"/>
      <c r="E109" s="1669">
        <f>IF('Nutzerspezifische Anlagen'!T39="ja",'Nutzerspezifische Anlagen'!L54,0)</f>
        <v>0</v>
      </c>
      <c r="F109" s="1639"/>
      <c r="G109" s="681">
        <f>C109*1.1+E109</f>
        <v>0</v>
      </c>
    </row>
    <row r="110" spans="1:13" x14ac:dyDescent="0.3">
      <c r="B110" s="682">
        <v>2</v>
      </c>
      <c r="C110" s="1408">
        <f>IF('Nutzerspezifische Anlagen'!$T55="ja",'Nutzerspezifische Anlagen'!J55,0)</f>
        <v>0</v>
      </c>
      <c r="D110" s="1409"/>
      <c r="E110" s="1670">
        <f>IF('Nutzerspezifische Anlagen'!T55="ja",'Nutzerspezifische Anlagen'!L78,0)</f>
        <v>0</v>
      </c>
      <c r="F110" s="1409"/>
      <c r="G110" s="681">
        <f>C110*1.1+E110</f>
        <v>0</v>
      </c>
    </row>
    <row r="111" spans="1:13" x14ac:dyDescent="0.3">
      <c r="B111" s="682">
        <v>3</v>
      </c>
      <c r="C111" s="1408">
        <f>IF('Nutzerspezifische Anlagen'!$T82="ja",'Nutzerspezifische Anlagen'!J82,0)</f>
        <v>0</v>
      </c>
      <c r="D111" s="1409"/>
      <c r="E111" s="1670">
        <f>IF('Nutzerspezifische Anlagen'!T82="ja",'Nutzerspezifische Anlagen'!L115,0)</f>
        <v>0</v>
      </c>
      <c r="F111" s="1409"/>
      <c r="G111" s="681">
        <f t="shared" ref="G111:G122" si="5">C111*1.1+E111</f>
        <v>0</v>
      </c>
    </row>
    <row r="112" spans="1:13" x14ac:dyDescent="0.3">
      <c r="B112" s="682">
        <v>4</v>
      </c>
      <c r="C112" s="1408">
        <f>IF('Nutzerspezifische Anlagen'!$T119="ja",'Nutzerspezifische Anlagen'!J119,0)</f>
        <v>0</v>
      </c>
      <c r="D112" s="1409"/>
      <c r="E112" s="1670">
        <f>IF('Nutzerspezifische Anlagen'!T119="ja",'Nutzerspezifische Anlagen'!L127,0)</f>
        <v>0</v>
      </c>
      <c r="F112" s="1409"/>
      <c r="G112" s="681">
        <f t="shared" si="5"/>
        <v>0</v>
      </c>
    </row>
    <row r="113" spans="2:7" x14ac:dyDescent="0.3">
      <c r="B113" s="682" t="s">
        <v>351</v>
      </c>
      <c r="C113" s="1408">
        <f>IF('Nutzerspezifische Anlagen'!$T128="ja",'Nutzerspezifische Anlagen'!J128,0)</f>
        <v>0</v>
      </c>
      <c r="D113" s="1409"/>
      <c r="E113" s="1670">
        <f>IF('Nutzerspezifische Anlagen'!T128="ja",'Nutzerspezifische Anlagen'!R128+'Nutzerspezifische Anlagen'!R131,0)</f>
        <v>0</v>
      </c>
      <c r="F113" s="1409"/>
      <c r="G113" s="681">
        <f t="shared" si="5"/>
        <v>0</v>
      </c>
    </row>
    <row r="114" spans="2:7" x14ac:dyDescent="0.3">
      <c r="B114" s="682" t="s">
        <v>352</v>
      </c>
      <c r="C114" s="1408">
        <f>IF('Nutzerspezifische Anlagen'!$T133="ja",'Nutzerspezifische Anlagen'!J133,0)</f>
        <v>0</v>
      </c>
      <c r="D114" s="1409"/>
      <c r="E114" s="1670">
        <f>IF('Nutzerspezifische Anlagen'!T133="ja",'Nutzerspezifische Anlagen'!R133+'Nutzerspezifische Anlagen'!R136+'Nutzerspezifische Anlagen'!R139+'Nutzerspezifische Anlagen'!R142,0)</f>
        <v>0</v>
      </c>
      <c r="F114" s="1409"/>
      <c r="G114" s="681">
        <f t="shared" si="5"/>
        <v>0</v>
      </c>
    </row>
    <row r="115" spans="2:7" x14ac:dyDescent="0.3">
      <c r="B115" s="682" t="s">
        <v>353</v>
      </c>
      <c r="C115" s="1408">
        <f>IF('Nutzerspezifische Anlagen'!$T143="ja",'Nutzerspezifische Anlagen'!J143,0)</f>
        <v>0</v>
      </c>
      <c r="D115" s="1409"/>
      <c r="E115" s="1670">
        <f>IF('Nutzerspezifische Anlagen'!T143="ja",'Nutzerspezifische Anlagen'!R143,0)</f>
        <v>0</v>
      </c>
      <c r="F115" s="1409"/>
      <c r="G115" s="681">
        <f t="shared" si="5"/>
        <v>0</v>
      </c>
    </row>
    <row r="116" spans="2:7" x14ac:dyDescent="0.3">
      <c r="B116" s="682" t="s">
        <v>354</v>
      </c>
      <c r="C116" s="1408">
        <f>IF('Nutzerspezifische Anlagen'!$T144="ja",'Nutzerspezifische Anlagen'!J144,0)</f>
        <v>0</v>
      </c>
      <c r="D116" s="1409"/>
      <c r="E116" s="1670">
        <f>IF('Nutzerspezifische Anlagen'!T144="ja",'Nutzerspezifische Anlagen'!R144,0)</f>
        <v>0</v>
      </c>
      <c r="F116" s="1409"/>
      <c r="G116" s="681">
        <f t="shared" si="5"/>
        <v>0</v>
      </c>
    </row>
    <row r="117" spans="2:7" x14ac:dyDescent="0.3">
      <c r="B117" s="682" t="s">
        <v>355</v>
      </c>
      <c r="C117" s="1408">
        <f>IF('Nutzerspezifische Anlagen'!$T145="ja",'Nutzerspezifische Anlagen'!J145,0)</f>
        <v>0</v>
      </c>
      <c r="D117" s="1409"/>
      <c r="E117" s="1670">
        <f>IF('Nutzerspezifische Anlagen'!T145="ja",'Nutzerspezifische Anlagen'!R145+'Nutzerspezifische Anlagen'!R148,0)</f>
        <v>0</v>
      </c>
      <c r="F117" s="1409"/>
      <c r="G117" s="681">
        <f t="shared" si="5"/>
        <v>0</v>
      </c>
    </row>
    <row r="118" spans="2:7" x14ac:dyDescent="0.3">
      <c r="B118" s="682" t="s">
        <v>356</v>
      </c>
      <c r="C118" s="1408">
        <f>IF('Nutzerspezifische Anlagen'!$T150="ja",'Nutzerspezifische Anlagen'!J150,0)</f>
        <v>0</v>
      </c>
      <c r="D118" s="1409"/>
      <c r="E118" s="1670">
        <f>IF('Nutzerspezifische Anlagen'!T150="ja",'Nutzerspezifische Anlagen'!R150,0)</f>
        <v>0</v>
      </c>
      <c r="F118" s="1409"/>
      <c r="G118" s="681">
        <f t="shared" si="5"/>
        <v>0</v>
      </c>
    </row>
    <row r="119" spans="2:7" x14ac:dyDescent="0.3">
      <c r="B119" s="683">
        <v>6</v>
      </c>
      <c r="C119" s="1408">
        <f>IF('Nutzerspezifische Anlagen'!$T154="ja",'Nutzerspezifische Anlagen'!J154,0)</f>
        <v>0</v>
      </c>
      <c r="D119" s="1409"/>
      <c r="E119" s="1670">
        <f>IF('Nutzerspezifische Anlagen'!T154="ja",'Nutzerspezifische Anlagen'!L177,0)</f>
        <v>0</v>
      </c>
      <c r="F119" s="1409"/>
      <c r="G119" s="681">
        <f t="shared" si="5"/>
        <v>0</v>
      </c>
    </row>
    <row r="120" spans="2:7" x14ac:dyDescent="0.3">
      <c r="B120" s="683">
        <v>7</v>
      </c>
      <c r="C120" s="1408">
        <f>IF('Nutzerspezifische Anlagen'!$T178="ja",'Nutzerspezifische Anlagen'!J178,0)</f>
        <v>0</v>
      </c>
      <c r="D120" s="1409"/>
      <c r="E120" s="1670">
        <f>IF('Nutzerspezifische Anlagen'!T178="ja",'Nutzerspezifische Anlagen'!L192,0)</f>
        <v>0</v>
      </c>
      <c r="F120" s="1409"/>
      <c r="G120" s="681">
        <f t="shared" si="5"/>
        <v>0</v>
      </c>
    </row>
    <row r="121" spans="2:7" x14ac:dyDescent="0.3">
      <c r="B121" s="683">
        <v>8</v>
      </c>
      <c r="C121" s="1408">
        <f>IF('Nutzerspezifische Anlagen'!$T193="ja",'Nutzerspezifische Anlagen'!J193,0)</f>
        <v>0</v>
      </c>
      <c r="D121" s="1409"/>
      <c r="E121" s="1670">
        <f>IF('Nutzerspezifische Anlagen'!T193="ja",'Nutzerspezifische Anlagen'!L234,0)</f>
        <v>0</v>
      </c>
      <c r="F121" s="1409"/>
      <c r="G121" s="681">
        <f t="shared" si="5"/>
        <v>0</v>
      </c>
    </row>
    <row r="122" spans="2:7" ht="15.2" thickBot="1" x14ac:dyDescent="0.35">
      <c r="B122" s="684">
        <v>9</v>
      </c>
      <c r="C122" s="1674">
        <f>IF('Nutzerspezifische Anlagen'!$T235="ja",'Nutzerspezifische Anlagen'!J235,0)</f>
        <v>0</v>
      </c>
      <c r="D122" s="1675"/>
      <c r="E122" s="1676">
        <f>IF('Nutzerspezifische Anlagen'!T235="ja",'Nutzerspezifische Anlagen'!L244,0)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C123*'Nutzerspezifische Anlagen'!F23+C123</f>
        <v>0</v>
      </c>
      <c r="D125" s="1658"/>
      <c r="E125" s="1657">
        <f>'Nutzerspezifische Anlagen'!R244</f>
        <v>0</v>
      </c>
      <c r="F125" s="1658"/>
    </row>
    <row r="128" spans="2:7" x14ac:dyDescent="0.3">
      <c r="B128" s="594" t="s">
        <v>463</v>
      </c>
      <c r="D128" s="687">
        <f>Überblick!G98</f>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688" t="s">
        <v>105</v>
      </c>
      <c r="C134" s="689" t="s">
        <v>285</v>
      </c>
      <c r="D134" s="690" t="s">
        <v>286</v>
      </c>
      <c r="E134" s="690" t="s">
        <v>287</v>
      </c>
      <c r="F134" s="690" t="s">
        <v>288</v>
      </c>
      <c r="G134" s="690" t="s">
        <v>289</v>
      </c>
      <c r="H134" s="690" t="s">
        <v>290</v>
      </c>
      <c r="I134" s="690" t="s">
        <v>291</v>
      </c>
      <c r="J134" s="690" t="s">
        <v>292</v>
      </c>
      <c r="K134" s="690" t="s">
        <v>293</v>
      </c>
      <c r="L134" s="690" t="s">
        <v>294</v>
      </c>
      <c r="M134" s="690" t="s">
        <v>295</v>
      </c>
      <c r="N134" s="690" t="s">
        <v>296</v>
      </c>
      <c r="O134" s="690" t="s">
        <v>297</v>
      </c>
      <c r="P134" s="690" t="s">
        <v>359</v>
      </c>
      <c r="Q134" s="691" t="s">
        <v>360</v>
      </c>
    </row>
    <row r="135" spans="2:17" x14ac:dyDescent="0.3">
      <c r="B135" s="692">
        <f>IF(Überblick!$H$53&gt;=1,1,"")</f>
        <v>1</v>
      </c>
      <c r="C135" s="693">
        <f>IF($B135='Nutzerspezifische Anlagen'!$U$39,'Nutzerspezifische Anlagen'!$J$39*'Nutzerspezifische Anlagen'!$F$23+'Nutzerspezifische Anlagen'!$J$39+'Nutzerspezifische Anlagen'!$L$54,0)</f>
        <v>0</v>
      </c>
      <c r="D135" s="694">
        <f>IF($B135='Nutzerspezifische Anlagen'!$U$55,'Nutzerspezifische Anlagen'!$J$55*'Nutzerspezifische Anlagen'!$F$23+'Nutzerspezifische Anlagen'!$J$55+'Nutzerspezifische Anlagen'!$L$78,0)</f>
        <v>0</v>
      </c>
      <c r="E135" s="694">
        <f>IF($B135='Nutzerspezifische Anlagen'!$U$55,'Nutzerspezifische Anlagen'!$J$55*'Nutzerspezifische Anlagen'!$F$23+'Nutzerspezifische Anlagen'!$J$55+'Nutzerspezifische Anlagen'!$L$78,0)</f>
        <v>0</v>
      </c>
      <c r="F135" s="694">
        <f>IF($B135='Nutzerspezifische Anlagen'!$U$119,'Nutzerspezifische Anlagen'!$J$119*'Nutzerspezifische Anlagen'!$F$23+'Nutzerspezifische Anlagen'!$J$119+'Nutzerspezifische Anlagen'!$L$127,0)</f>
        <v>0</v>
      </c>
      <c r="G135" s="694">
        <f>IF($B135='Nutzerspezifische Anlagen'!$U$128,'Nutzerspezifische Anlagen'!$J$128*'Nutzerspezifische Anlagen'!$F$23+'Nutzerspezifische Anlagen'!$J$128+'Nutzerspezifische Anlagen'!$R$128+'Nutzerspezifische Anlagen'!$R$131,0)</f>
        <v>0</v>
      </c>
      <c r="H135" s="694">
        <f>IF($B135='Nutzerspezifische Anlagen'!$U$133,'Nutzerspezifische Anlagen'!$J$133*'Nutzerspezifische Anlagen'!$F$23+'Nutzerspezifische Anlagen'!$J$133+'Nutzerspezifische Anlagen'!$R$133+'Nutzerspezifische Anlagen'!$R$136+'Nutzerspezifische Anlagen'!$R$139+'Nutzerspezifische Anlagen'!$R$142,0)</f>
        <v>0</v>
      </c>
      <c r="I135" s="694">
        <f>IF($B135='Nutzerspezifische Anlagen'!$U$143,'Nutzerspezifische Anlagen'!$J$143*'Nutzerspezifische Anlagen'!$F$23+'Nutzerspezifische Anlagen'!$J$143+'Nutzerspezifische Anlagen'!$R$143,0)</f>
        <v>0</v>
      </c>
      <c r="J135" s="694">
        <f>IF($B135='Nutzerspezifische Anlagen'!$U$144,'Nutzerspezifische Anlagen'!$J$144*'Nutzerspezifische Anlagen'!$F$23+'Nutzerspezifische Anlagen'!$J$144+'Nutzerspezifische Anlagen'!$R$144,0)</f>
        <v>0</v>
      </c>
      <c r="K135" s="694">
        <f>IF($B135='Nutzerspezifische Anlagen'!$U$145,'Nutzerspezifische Anlagen'!$J$145*'Nutzerspezifische Anlagen'!$F$23+'Nutzerspezifische Anlagen'!$J$145+'Nutzerspezifische Anlagen'!$R$145++'Nutzerspezifische Anlagen'!$R$148,0)</f>
        <v>0</v>
      </c>
      <c r="L135" s="694">
        <f>IF($B135='Nutzerspezifische Anlagen'!$U$150,'Nutzerspezifische Anlagen'!$J$150*'Nutzerspezifische Anlagen'!$F$23+'Nutzerspezifische Anlagen'!$J$150+'Nutzerspezifische Anlagen'!$R$150,0)</f>
        <v>0</v>
      </c>
      <c r="M135" s="694">
        <f>IF($B135='Nutzerspezifische Anlagen'!$U$154,'Nutzerspezifische Anlagen'!$J$154*'Nutzerspezifische Anlagen'!$F$23+'Nutzerspezifische Anlagen'!$J$154+'Nutzerspezifische Anlagen'!$L$177,0)</f>
        <v>0</v>
      </c>
      <c r="N135" s="694">
        <f>IF($B135='Nutzerspezifische Anlagen'!$U$178,'Nutzerspezifische Anlagen'!$J$178*'Nutzerspezifische Anlagen'!$F$23+'Nutzerspezifische Anlagen'!$J$178+'Nutzerspezifische Anlagen'!$L$192,0)</f>
        <v>0</v>
      </c>
      <c r="O135" s="694">
        <f>IF($B135='Nutzerspezifische Anlagen'!$U$193,'Nutzerspezifische Anlagen'!$J$193*'Nutzerspezifische Anlagen'!$F$23+'Nutzerspezifische Anlagen'!$J$193+'Nutzerspezifische Anlagen'!$L$234,0)</f>
        <v>0</v>
      </c>
      <c r="P135" s="694">
        <f>IF($B135='Nutzerspezifische Anlagen'!$U$235,'Nutzerspezifische Anlagen'!$J$235*'Nutzerspezifische Anlagen'!$F$23+'Nutzerspezifische Anlagen'!$J$235+'Nutzerspezifische Anlagen'!$L$244,0)</f>
        <v>0</v>
      </c>
      <c r="Q135" s="695">
        <f>SUM(C135:P135)</f>
        <v>0</v>
      </c>
    </row>
    <row r="136" spans="2:17" x14ac:dyDescent="0.3">
      <c r="B136" s="696">
        <f>IF(Überblick!$H$53&gt;=2,2,"")</f>
        <v>2</v>
      </c>
      <c r="C136" s="697">
        <f>IF($B136='Nutzerspezifische Anlagen'!$U$39,'Nutzerspezifische Anlagen'!$J$39*'Nutzerspezifische Anlagen'!$F$23+'Nutzerspezifische Anlagen'!$J$39+'Nutzerspezifische Anlagen'!$L$54,0)</f>
        <v>0</v>
      </c>
      <c r="D136" s="698">
        <f>IF($B136='Nutzerspezifische Anlagen'!$U$55,'Nutzerspezifische Anlagen'!$J$55*'Nutzerspezifische Anlagen'!$F$23+'Nutzerspezifische Anlagen'!$J$55+'Nutzerspezifische Anlagen'!$L$78,0)</f>
        <v>0</v>
      </c>
      <c r="E136" s="698">
        <f>IF($B136='Nutzerspezifische Anlagen'!$U$55,'Nutzerspezifische Anlagen'!$J$55*'Nutzerspezifische Anlagen'!$F$23+'Nutzerspezifische Anlagen'!$J$55+'Nutzerspezifische Anlagen'!$L$78,0)</f>
        <v>0</v>
      </c>
      <c r="F136" s="698">
        <f>IF($B136='Nutzerspezifische Anlagen'!$U$119,'Nutzerspezifische Anlagen'!$J$119*'Nutzerspezifische Anlagen'!$F$23+'Nutzerspezifische Anlagen'!$J$119+'Nutzerspezifische Anlagen'!$L$127,0)</f>
        <v>0</v>
      </c>
      <c r="G136" s="698">
        <f>IF($B136='Nutzerspezifische Anlagen'!$U$128,'Nutzerspezifische Anlagen'!$J$128*'Nutzerspezifische Anlagen'!$F$23+'Nutzerspezifische Anlagen'!$J$128+'Nutzerspezifische Anlagen'!$R$128+'Nutzerspezifische Anlagen'!$R$131,0)</f>
        <v>0</v>
      </c>
      <c r="H136" s="698">
        <f>IF($B136='Nutzerspezifische Anlagen'!$U$133,'Nutzerspezifische Anlagen'!$J$133*'Nutzerspezifische Anlagen'!$F$23+'Nutzerspezifische Anlagen'!$J$133+'Nutzerspezifische Anlagen'!$R$133+'Nutzerspezifische Anlagen'!$R$136+'Nutzerspezifische Anlagen'!$R$139+'Nutzerspezifische Anlagen'!$R$142,0)</f>
        <v>0</v>
      </c>
      <c r="I136" s="698">
        <f>IF($B136='Nutzerspezifische Anlagen'!$U$143,'Nutzerspezifische Anlagen'!$J$143*'Nutzerspezifische Anlagen'!$F$23+'Nutzerspezifische Anlagen'!$J$143+'Nutzerspezifische Anlagen'!$R$143,0)</f>
        <v>0</v>
      </c>
      <c r="J136" s="698">
        <f>IF($B136='Nutzerspezifische Anlagen'!$U$144,'Nutzerspezifische Anlagen'!$J$144*'Nutzerspezifische Anlagen'!$F$23+'Nutzerspezifische Anlagen'!$J$144+'Nutzerspezifische Anlagen'!$R$144,0)</f>
        <v>0</v>
      </c>
      <c r="K136" s="698">
        <f>IF($B136='Nutzerspezifische Anlagen'!$U$145,'Nutzerspezifische Anlagen'!$J$145*'Nutzerspezifische Anlagen'!$F$23+'Nutzerspezifische Anlagen'!$J$145+'Nutzerspezifische Anlagen'!$R$145++'Nutzerspezifische Anlagen'!$R$148,0)</f>
        <v>0</v>
      </c>
      <c r="L136" s="698">
        <f>IF($B136='Nutzerspezifische Anlagen'!$U$150,'Nutzerspezifische Anlagen'!$J$150*'Nutzerspezifische Anlagen'!$F$23+'Nutzerspezifische Anlagen'!$J$150+'Nutzerspezifische Anlagen'!$R$150,0)</f>
        <v>0</v>
      </c>
      <c r="M136" s="698">
        <f>IF($B136='Nutzerspezifische Anlagen'!$U$154,'Nutzerspezifische Anlagen'!$J$154*'Nutzerspezifische Anlagen'!$F$23+'Nutzerspezifische Anlagen'!$J$154+'Nutzerspezifische Anlagen'!$L$177,0)</f>
        <v>0</v>
      </c>
      <c r="N136" s="698">
        <f>IF($B136='Nutzerspezifische Anlagen'!$U$178,'Nutzerspezifische Anlagen'!$J$178*'Nutzerspezifische Anlagen'!$F$23+'Nutzerspezifische Anlagen'!$J$178+'Nutzerspezifische Anlagen'!$L$192,0)</f>
        <v>0</v>
      </c>
      <c r="O136" s="698">
        <f>IF($B136='Nutzerspezifische Anlagen'!$U$193,'Nutzerspezifische Anlagen'!$J$193*'Nutzerspezifische Anlagen'!$F$23+'Nutzerspezifische Anlagen'!$J$193+'Nutzerspezifische Anlagen'!$L$234,0)</f>
        <v>0</v>
      </c>
      <c r="P136" s="698">
        <f>IF($B136='Nutzerspezifische Anlagen'!$U$235,'Nutzerspezifische Anlagen'!$J$235*'Nutzerspezifische Anlagen'!$F$23+'Nutzerspezifische Anlagen'!$J$235+'Nutzerspezifische Anlagen'!$L$244,0)</f>
        <v>0</v>
      </c>
      <c r="Q136" s="699">
        <f t="shared" ref="Q136:Q142" si="6">SUM(C136:P136)</f>
        <v>0</v>
      </c>
    </row>
    <row r="137" spans="2:17" x14ac:dyDescent="0.3">
      <c r="B137" s="696">
        <f>IF(Überblick!$H$53&gt;=3,3,"")</f>
        <v>3</v>
      </c>
      <c r="C137" s="697">
        <f>IF($B137='Nutzerspezifische Anlagen'!$U$39,'Nutzerspezifische Anlagen'!$J$39*'Nutzerspezifische Anlagen'!$F$23+'Nutzerspezifische Anlagen'!$J$39+'Nutzerspezifische Anlagen'!$L$54,0)</f>
        <v>0</v>
      </c>
      <c r="D137" s="698">
        <f>IF($B137='Nutzerspezifische Anlagen'!$U$55,'Nutzerspezifische Anlagen'!$J$55*'Nutzerspezifische Anlagen'!$F$23+'Nutzerspezifische Anlagen'!$J$55+'Nutzerspezifische Anlagen'!$L$78,0)</f>
        <v>0</v>
      </c>
      <c r="E137" s="698">
        <f>IF($B137='Nutzerspezifische Anlagen'!$U$55,'Nutzerspezifische Anlagen'!$J$55*'Nutzerspezifische Anlagen'!$F$23+'Nutzerspezifische Anlagen'!$J$55+'Nutzerspezifische Anlagen'!$L$78,0)</f>
        <v>0</v>
      </c>
      <c r="F137" s="698">
        <f>IF($B137='Nutzerspezifische Anlagen'!$U$119,'Nutzerspezifische Anlagen'!$J$119*'Nutzerspezifische Anlagen'!$F$23+'Nutzerspezifische Anlagen'!$J$119+'Nutzerspezifische Anlagen'!$L$127,0)</f>
        <v>0</v>
      </c>
      <c r="G137" s="698">
        <f>IF($B137='Nutzerspezifische Anlagen'!$U$128,'Nutzerspezifische Anlagen'!$J$128*'Nutzerspezifische Anlagen'!$F$23+'Nutzerspezifische Anlagen'!$J$128+'Nutzerspezifische Anlagen'!$R$128+'Nutzerspezifische Anlagen'!$R$131,0)</f>
        <v>0</v>
      </c>
      <c r="H137" s="698">
        <f>IF($B137='Nutzerspezifische Anlagen'!$U$133,'Nutzerspezifische Anlagen'!$J$133*'Nutzerspezifische Anlagen'!$F$23+'Nutzerspezifische Anlagen'!$J$133+'Nutzerspezifische Anlagen'!$R$133+'Nutzerspezifische Anlagen'!$R$136+'Nutzerspezifische Anlagen'!$R$139+'Nutzerspezifische Anlagen'!$R$142,0)</f>
        <v>0</v>
      </c>
      <c r="I137" s="698">
        <f>IF($B137='Nutzerspezifische Anlagen'!$U$143,'Nutzerspezifische Anlagen'!$J$143*'Nutzerspezifische Anlagen'!$F$23+'Nutzerspezifische Anlagen'!$J$143+'Nutzerspezifische Anlagen'!$R$143,0)</f>
        <v>0</v>
      </c>
      <c r="J137" s="698">
        <f>IF($B137='Nutzerspezifische Anlagen'!$U$144,'Nutzerspezifische Anlagen'!$J$144*'Nutzerspezifische Anlagen'!$F$23+'Nutzerspezifische Anlagen'!$J$144+'Nutzerspezifische Anlagen'!$R$144,0)</f>
        <v>0</v>
      </c>
      <c r="K137" s="698">
        <f>IF($B137='Nutzerspezifische Anlagen'!$U$145,'Nutzerspezifische Anlagen'!$J$145*'Nutzerspezifische Anlagen'!$F$23+'Nutzerspezifische Anlagen'!$J$145+'Nutzerspezifische Anlagen'!$R$145++'Nutzerspezifische Anlagen'!$R$148,0)</f>
        <v>0</v>
      </c>
      <c r="L137" s="698">
        <f>IF($B137='Nutzerspezifische Anlagen'!$U$150,'Nutzerspezifische Anlagen'!$J$150*'Nutzerspezifische Anlagen'!$F$23+'Nutzerspezifische Anlagen'!$J$150+'Nutzerspezifische Anlagen'!$R$150,0)</f>
        <v>0</v>
      </c>
      <c r="M137" s="698">
        <f>IF($B137='Nutzerspezifische Anlagen'!$U$154,'Nutzerspezifische Anlagen'!$J$154*'Nutzerspezifische Anlagen'!$F$23+'Nutzerspezifische Anlagen'!$J$154+'Nutzerspezifische Anlagen'!$L$177,0)</f>
        <v>0</v>
      </c>
      <c r="N137" s="698">
        <f>IF($B137='Nutzerspezifische Anlagen'!$U$178,'Nutzerspezifische Anlagen'!$J$178*'Nutzerspezifische Anlagen'!$F$23+'Nutzerspezifische Anlagen'!$J$178+'Nutzerspezifische Anlagen'!$L$192,0)</f>
        <v>0</v>
      </c>
      <c r="O137" s="698">
        <f>IF($B137='Nutzerspezifische Anlagen'!$U$193,'Nutzerspezifische Anlagen'!$J$193*'Nutzerspezifische Anlagen'!$F$23+'Nutzerspezifische Anlagen'!$J$193+'Nutzerspezifische Anlagen'!$L$234,0)</f>
        <v>0</v>
      </c>
      <c r="P137" s="698">
        <f>IF($B137='Nutzerspezifische Anlagen'!$U$235,'Nutzerspezifische Anlagen'!$J$235*'Nutzerspezifische Anlagen'!$F$23+'Nutzerspezifische Anlagen'!$J$235+'Nutzerspezifische Anlagen'!$L$244,0)</f>
        <v>0</v>
      </c>
      <c r="Q137" s="699">
        <f t="shared" si="6"/>
        <v>0</v>
      </c>
    </row>
    <row r="138" spans="2:17" x14ac:dyDescent="0.3">
      <c r="B138" s="696">
        <f>IF(Überblick!$H$53&gt;=4,4,"")</f>
        <v>4</v>
      </c>
      <c r="C138" s="697">
        <f>IF($B138='Nutzerspezifische Anlagen'!$U$39,'Nutzerspezifische Anlagen'!$J$39*'Nutzerspezifische Anlagen'!$F$23+'Nutzerspezifische Anlagen'!$J$39+'Nutzerspezifische Anlagen'!$L$54,0)</f>
        <v>0</v>
      </c>
      <c r="D138" s="698">
        <f>IF($B138='Nutzerspezifische Anlagen'!$U$55,'Nutzerspezifische Anlagen'!$J$55*'Nutzerspezifische Anlagen'!$F$23+'Nutzerspezifische Anlagen'!$J$55+'Nutzerspezifische Anlagen'!$L$78,0)</f>
        <v>0</v>
      </c>
      <c r="E138" s="698">
        <f>IF($B138='Nutzerspezifische Anlagen'!$U$55,'Nutzerspezifische Anlagen'!$J$55*'Nutzerspezifische Anlagen'!$F$23+'Nutzerspezifische Anlagen'!$J$55+'Nutzerspezifische Anlagen'!$L$78,0)</f>
        <v>0</v>
      </c>
      <c r="F138" s="698">
        <f>IF($B138='Nutzerspezifische Anlagen'!$U$119,'Nutzerspezifische Anlagen'!$J$119*'Nutzerspezifische Anlagen'!$F$23+'Nutzerspezifische Anlagen'!$J$119+'Nutzerspezifische Anlagen'!$L$127,0)</f>
        <v>0</v>
      </c>
      <c r="G138" s="698">
        <f>IF($B138='Nutzerspezifische Anlagen'!$U$128,'Nutzerspezifische Anlagen'!$J$128*'Nutzerspezifische Anlagen'!$F$23+'Nutzerspezifische Anlagen'!$J$128+'Nutzerspezifische Anlagen'!$R$128+'Nutzerspezifische Anlagen'!$R$131,0)</f>
        <v>0</v>
      </c>
      <c r="H138" s="698">
        <f>IF($B138='Nutzerspezifische Anlagen'!$U$133,'Nutzerspezifische Anlagen'!$J$133*'Nutzerspezifische Anlagen'!$F$23+'Nutzerspezifische Anlagen'!$J$133+'Nutzerspezifische Anlagen'!$R$133+'Nutzerspezifische Anlagen'!$R$136+'Nutzerspezifische Anlagen'!$R$139+'Nutzerspezifische Anlagen'!$R$142,0)</f>
        <v>0</v>
      </c>
      <c r="I138" s="698">
        <f>IF($B138='Nutzerspezifische Anlagen'!$U$143,'Nutzerspezifische Anlagen'!$J$143*'Nutzerspezifische Anlagen'!$F$23+'Nutzerspezifische Anlagen'!$J$143+'Nutzerspezifische Anlagen'!$R$143,0)</f>
        <v>0</v>
      </c>
      <c r="J138" s="698">
        <f>IF($B138='Nutzerspezifische Anlagen'!$U$144,'Nutzerspezifische Anlagen'!$J$144*'Nutzerspezifische Anlagen'!$F$23+'Nutzerspezifische Anlagen'!$J$144+'Nutzerspezifische Anlagen'!$R$144,0)</f>
        <v>0</v>
      </c>
      <c r="K138" s="698">
        <f>IF($B138='Nutzerspezifische Anlagen'!$U$145,'Nutzerspezifische Anlagen'!$J$145*'Nutzerspezifische Anlagen'!$F$23+'Nutzerspezifische Anlagen'!$J$145+'Nutzerspezifische Anlagen'!$R$145++'Nutzerspezifische Anlagen'!$R$148,0)</f>
        <v>0</v>
      </c>
      <c r="L138" s="698">
        <f>IF($B138='Nutzerspezifische Anlagen'!$U$150,'Nutzerspezifische Anlagen'!$J$150*'Nutzerspezifische Anlagen'!$F$23+'Nutzerspezifische Anlagen'!$J$150+'Nutzerspezifische Anlagen'!$R$150,0)</f>
        <v>0</v>
      </c>
      <c r="M138" s="698">
        <f>IF($B138='Nutzerspezifische Anlagen'!$U$154,'Nutzerspezifische Anlagen'!$J$154*'Nutzerspezifische Anlagen'!$F$23+'Nutzerspezifische Anlagen'!$J$154+'Nutzerspezifische Anlagen'!$L$177,0)</f>
        <v>0</v>
      </c>
      <c r="N138" s="698">
        <f>IF($B138='Nutzerspezifische Anlagen'!$U$178,'Nutzerspezifische Anlagen'!$J$178*'Nutzerspezifische Anlagen'!$F$23+'Nutzerspezifische Anlagen'!$J$178+'Nutzerspezifische Anlagen'!$L$192,0)</f>
        <v>0</v>
      </c>
      <c r="O138" s="698">
        <f>IF($B138='Nutzerspezifische Anlagen'!$U$193,'Nutzerspezifische Anlagen'!$J$193*'Nutzerspezifische Anlagen'!$F$23+'Nutzerspezifische Anlagen'!$J$193+'Nutzerspezifische Anlagen'!$L$234,0)</f>
        <v>0</v>
      </c>
      <c r="P138" s="698">
        <f>IF($B138='Nutzerspezifische Anlagen'!$U$235,'Nutzerspezifische Anlagen'!$J$235*'Nutzerspezifische Anlagen'!$F$23+'Nutzerspezifische Anlagen'!$J$235+'Nutzerspezifische Anlagen'!$L$244,0)</f>
        <v>0</v>
      </c>
      <c r="Q138" s="699">
        <f t="shared" si="6"/>
        <v>0</v>
      </c>
    </row>
    <row r="139" spans="2:17" x14ac:dyDescent="0.3">
      <c r="B139" s="696">
        <f>IF(Überblick!$H$53&gt;=5,5,"")</f>
        <v>5</v>
      </c>
      <c r="C139" s="697">
        <f>IF($B139='Nutzerspezifische Anlagen'!$U$39,'Nutzerspezifische Anlagen'!$J$39*'Nutzerspezifische Anlagen'!$F$23+'Nutzerspezifische Anlagen'!$J$39+'Nutzerspezifische Anlagen'!$L$54,0)</f>
        <v>0</v>
      </c>
      <c r="D139" s="698">
        <f>IF($B139='Nutzerspezifische Anlagen'!$U$55,'Nutzerspezifische Anlagen'!$J$55*'Nutzerspezifische Anlagen'!$F$23+'Nutzerspezifische Anlagen'!$J$55+'Nutzerspezifische Anlagen'!$L$78,0)</f>
        <v>0</v>
      </c>
      <c r="E139" s="698">
        <f>IF($B139='Nutzerspezifische Anlagen'!$U$55,'Nutzerspezifische Anlagen'!$J$55*'Nutzerspezifische Anlagen'!$F$23+'Nutzerspezifische Anlagen'!$J$55+'Nutzerspezifische Anlagen'!$L$78,0)</f>
        <v>0</v>
      </c>
      <c r="F139" s="698">
        <f>IF($B139='Nutzerspezifische Anlagen'!$U$119,'Nutzerspezifische Anlagen'!$J$119*'Nutzerspezifische Anlagen'!$F$23+'Nutzerspezifische Anlagen'!$J$119+'Nutzerspezifische Anlagen'!$L$127,0)</f>
        <v>0</v>
      </c>
      <c r="G139" s="698">
        <f>IF($B139='Nutzerspezifische Anlagen'!$U$128,'Nutzerspezifische Anlagen'!$J$128*'Nutzerspezifische Anlagen'!$F$23+'Nutzerspezifische Anlagen'!$J$128+'Nutzerspezifische Anlagen'!$R$128+'Nutzerspezifische Anlagen'!$R$131,0)</f>
        <v>0</v>
      </c>
      <c r="H139" s="698">
        <f>IF($B139='Nutzerspezifische Anlagen'!$U$133,'Nutzerspezifische Anlagen'!$J$133*'Nutzerspezifische Anlagen'!$F$23+'Nutzerspezifische Anlagen'!$J$133+'Nutzerspezifische Anlagen'!$R$133+'Nutzerspezifische Anlagen'!$R$136+'Nutzerspezifische Anlagen'!$R$139+'Nutzerspezifische Anlagen'!$R$142,0)</f>
        <v>0</v>
      </c>
      <c r="I139" s="698">
        <f>IF($B139='Nutzerspezifische Anlagen'!$U$143,'Nutzerspezifische Anlagen'!$J$143*'Nutzerspezifische Anlagen'!$F$23+'Nutzerspezifische Anlagen'!$J$143+'Nutzerspezifische Anlagen'!$R$143,0)</f>
        <v>0</v>
      </c>
      <c r="J139" s="698">
        <f>IF($B139='Nutzerspezifische Anlagen'!$U$144,'Nutzerspezifische Anlagen'!$J$144*'Nutzerspezifische Anlagen'!$F$23+'Nutzerspezifische Anlagen'!$J$144+'Nutzerspezifische Anlagen'!$R$144,0)</f>
        <v>0</v>
      </c>
      <c r="K139" s="698">
        <f>IF($B139='Nutzerspezifische Anlagen'!$U$145,'Nutzerspezifische Anlagen'!$J$145*'Nutzerspezifische Anlagen'!$F$23+'Nutzerspezifische Anlagen'!$J$145+'Nutzerspezifische Anlagen'!$R$145++'Nutzerspezifische Anlagen'!$R$148,0)</f>
        <v>0</v>
      </c>
      <c r="L139" s="698">
        <f>IF($B139='Nutzerspezifische Anlagen'!$U$150,'Nutzerspezifische Anlagen'!$J$150*'Nutzerspezifische Anlagen'!$F$23+'Nutzerspezifische Anlagen'!$J$150+'Nutzerspezifische Anlagen'!$R$150,0)</f>
        <v>0</v>
      </c>
      <c r="M139" s="698">
        <f>IF($B139='Nutzerspezifische Anlagen'!$U$154,'Nutzerspezifische Anlagen'!$J$154*'Nutzerspezifische Anlagen'!$F$23+'Nutzerspezifische Anlagen'!$J$154+'Nutzerspezifische Anlagen'!$L$177,0)</f>
        <v>0</v>
      </c>
      <c r="N139" s="698">
        <f>IF($B139='Nutzerspezifische Anlagen'!$U$178,'Nutzerspezifische Anlagen'!$J$178*'Nutzerspezifische Anlagen'!$F$23+'Nutzerspezifische Anlagen'!$J$178+'Nutzerspezifische Anlagen'!$L$192,0)</f>
        <v>0</v>
      </c>
      <c r="O139" s="698">
        <f>IF($B139='Nutzerspezifische Anlagen'!$U$193,'Nutzerspezifische Anlagen'!$J$193*'Nutzerspezifische Anlagen'!$F$23+'Nutzerspezifische Anlagen'!$J$193+'Nutzerspezifische Anlagen'!$L$234,0)</f>
        <v>0</v>
      </c>
      <c r="P139" s="698">
        <f>IF($B139='Nutzerspezifische Anlagen'!$U$235,'Nutzerspezifische Anlagen'!$J$235*'Nutzerspezifische Anlagen'!$F$23+'Nutzerspezifische Anlagen'!$J$235+'Nutzerspezifische Anlagen'!$L$244,0)</f>
        <v>0</v>
      </c>
      <c r="Q139" s="699">
        <f t="shared" si="6"/>
        <v>0</v>
      </c>
    </row>
    <row r="140" spans="2:17" x14ac:dyDescent="0.3">
      <c r="B140" s="696">
        <f>IF(Überblick!$H$53&gt;=6,6,"")</f>
        <v>6</v>
      </c>
      <c r="C140" s="697">
        <f>IF($B140='Nutzerspezifische Anlagen'!$U$39,'Nutzerspezifische Anlagen'!$J$39*'Nutzerspezifische Anlagen'!$F$23+'Nutzerspezifische Anlagen'!$J$39+'Nutzerspezifische Anlagen'!$L$54,0)</f>
        <v>0</v>
      </c>
      <c r="D140" s="698">
        <f>IF($B140='Nutzerspezifische Anlagen'!$U$55,'Nutzerspezifische Anlagen'!$J$55*'Nutzerspezifische Anlagen'!$F$23+'Nutzerspezifische Anlagen'!$J$55+'Nutzerspezifische Anlagen'!$L$78,0)</f>
        <v>0</v>
      </c>
      <c r="E140" s="698">
        <f>IF($B140='Nutzerspezifische Anlagen'!$U$55,'Nutzerspezifische Anlagen'!$J$55*'Nutzerspezifische Anlagen'!$F$23+'Nutzerspezifische Anlagen'!$J$55+'Nutzerspezifische Anlagen'!$L$78,0)</f>
        <v>0</v>
      </c>
      <c r="F140" s="698">
        <f>IF($B140='Nutzerspezifische Anlagen'!$U$119,'Nutzerspezifische Anlagen'!$J$119*'Nutzerspezifische Anlagen'!$F$23+'Nutzerspezifische Anlagen'!$J$119+'Nutzerspezifische Anlagen'!$L$127,0)</f>
        <v>0</v>
      </c>
      <c r="G140" s="698">
        <f>IF($B140='Nutzerspezifische Anlagen'!$U$128,'Nutzerspezifische Anlagen'!$J$128*'Nutzerspezifische Anlagen'!$F$23+'Nutzerspezifische Anlagen'!$J$128+'Nutzerspezifische Anlagen'!$R$128+'Nutzerspezifische Anlagen'!$R$131,0)</f>
        <v>0</v>
      </c>
      <c r="H140" s="698">
        <f>IF($B140='Nutzerspezifische Anlagen'!$U$133,'Nutzerspezifische Anlagen'!$J$133*'Nutzerspezifische Anlagen'!$F$23+'Nutzerspezifische Anlagen'!$J$133+'Nutzerspezifische Anlagen'!$R$133+'Nutzerspezifische Anlagen'!$R$136+'Nutzerspezifische Anlagen'!$R$139+'Nutzerspezifische Anlagen'!$R$142,0)</f>
        <v>0</v>
      </c>
      <c r="I140" s="698">
        <f>IF($B140='Nutzerspezifische Anlagen'!$U$143,'Nutzerspezifische Anlagen'!$J$143*'Nutzerspezifische Anlagen'!$F$23+'Nutzerspezifische Anlagen'!$J$143+'Nutzerspezifische Anlagen'!$R$143,0)</f>
        <v>0</v>
      </c>
      <c r="J140" s="698">
        <f>IF($B140='Nutzerspezifische Anlagen'!$U$144,'Nutzerspezifische Anlagen'!$J$144*'Nutzerspezifische Anlagen'!$F$23+'Nutzerspezifische Anlagen'!$J$144+'Nutzerspezifische Anlagen'!$R$144,0)</f>
        <v>0</v>
      </c>
      <c r="K140" s="698">
        <f>IF($B140='Nutzerspezifische Anlagen'!$U$145,'Nutzerspezifische Anlagen'!$J$145*'Nutzerspezifische Anlagen'!$F$23+'Nutzerspezifische Anlagen'!$J$145+'Nutzerspezifische Anlagen'!$R$145++'Nutzerspezifische Anlagen'!$R$148,0)</f>
        <v>0</v>
      </c>
      <c r="L140" s="698">
        <f>IF($B140='Nutzerspezifische Anlagen'!$U$150,'Nutzerspezifische Anlagen'!$J$150*'Nutzerspezifische Anlagen'!$F$23+'Nutzerspezifische Anlagen'!$J$150+'Nutzerspezifische Anlagen'!$R$150,0)</f>
        <v>0</v>
      </c>
      <c r="M140" s="698">
        <f>IF($B140='Nutzerspezifische Anlagen'!$U$154,'Nutzerspezifische Anlagen'!$J$154*'Nutzerspezifische Anlagen'!$F$23+'Nutzerspezifische Anlagen'!$J$154+'Nutzerspezifische Anlagen'!$L$177,0)</f>
        <v>0</v>
      </c>
      <c r="N140" s="698">
        <f>IF($B140='Nutzerspezifische Anlagen'!$U$178,'Nutzerspezifische Anlagen'!$J$178*'Nutzerspezifische Anlagen'!$F$23+'Nutzerspezifische Anlagen'!$J$178+'Nutzerspezifische Anlagen'!$L$192,0)</f>
        <v>0</v>
      </c>
      <c r="O140" s="698">
        <f>IF($B140='Nutzerspezifische Anlagen'!$U$193,'Nutzerspezifische Anlagen'!$J$193*'Nutzerspezifische Anlagen'!$F$23+'Nutzerspezifische Anlagen'!$J$193+'Nutzerspezifische Anlagen'!$L$234,0)</f>
        <v>0</v>
      </c>
      <c r="P140" s="698">
        <f>IF($B140='Nutzerspezifische Anlagen'!$U$235,'Nutzerspezifische Anlagen'!$J$235*'Nutzerspezifische Anlagen'!$F$23+'Nutzerspezifische Anlagen'!$J$235+'Nutzerspezifische Anlagen'!$L$244,0)</f>
        <v>0</v>
      </c>
      <c r="Q140" s="699">
        <f t="shared" si="6"/>
        <v>0</v>
      </c>
    </row>
    <row r="141" spans="2:17" x14ac:dyDescent="0.3">
      <c r="B141" s="696" t="str">
        <f>IF(Überblick!$H$53&gt;=7,7,"")</f>
        <v/>
      </c>
      <c r="C141" s="697">
        <f>IF($B141='Nutzerspezifische Anlagen'!$U$39,'Nutzerspezifische Anlagen'!$J$39*'Nutzerspezifische Anlagen'!$F$23+'Nutzerspezifische Anlagen'!$J$39+'Nutzerspezifische Anlagen'!$L$54,0)</f>
        <v>0</v>
      </c>
      <c r="D141" s="698">
        <f>IF($B141='Nutzerspezifische Anlagen'!$U$55,'Nutzerspezifische Anlagen'!$J$55*'Nutzerspezifische Anlagen'!$F$23+'Nutzerspezifische Anlagen'!$J$55+'Nutzerspezifische Anlagen'!$L$78,0)</f>
        <v>0</v>
      </c>
      <c r="E141" s="698">
        <f>IF($B141='Nutzerspezifische Anlagen'!$U$55,'Nutzerspezifische Anlagen'!$J$55*'Nutzerspezifische Anlagen'!$F$23+'Nutzerspezifische Anlagen'!$J$55+'Nutzerspezifische Anlagen'!$L$78,0)</f>
        <v>0</v>
      </c>
      <c r="F141" s="698">
        <f>IF($B141='Nutzerspezifische Anlagen'!$U$119,'Nutzerspezifische Anlagen'!$J$119*'Nutzerspezifische Anlagen'!$F$23+'Nutzerspezifische Anlagen'!$J$119+'Nutzerspezifische Anlagen'!$L$127,0)</f>
        <v>0</v>
      </c>
      <c r="G141" s="698">
        <f>IF($B141='Nutzerspezifische Anlagen'!$U$128,'Nutzerspezifische Anlagen'!$J$128*'Nutzerspezifische Anlagen'!$F$23+'Nutzerspezifische Anlagen'!$J$128+'Nutzerspezifische Anlagen'!$R$128+'Nutzerspezifische Anlagen'!$R$131,0)</f>
        <v>0</v>
      </c>
      <c r="H141" s="698">
        <f>IF($B141='Nutzerspezifische Anlagen'!$U$133,'Nutzerspezifische Anlagen'!$J$133*'Nutzerspezifische Anlagen'!$F$23+'Nutzerspezifische Anlagen'!$J$133+'Nutzerspezifische Anlagen'!$R$133+'Nutzerspezifische Anlagen'!$R$136+'Nutzerspezifische Anlagen'!$R$139+'Nutzerspezifische Anlagen'!$R$142,0)</f>
        <v>0</v>
      </c>
      <c r="I141" s="698">
        <f>IF($B141='Nutzerspezifische Anlagen'!$U$143,'Nutzerspezifische Anlagen'!$J$143*'Nutzerspezifische Anlagen'!$F$23+'Nutzerspezifische Anlagen'!$J$143+'Nutzerspezifische Anlagen'!$R$143,0)</f>
        <v>0</v>
      </c>
      <c r="J141" s="698">
        <f>IF($B141='Nutzerspezifische Anlagen'!$U$144,'Nutzerspezifische Anlagen'!$J$144*'Nutzerspezifische Anlagen'!$F$23+'Nutzerspezifische Anlagen'!$J$144+'Nutzerspezifische Anlagen'!$R$144,0)</f>
        <v>0</v>
      </c>
      <c r="K141" s="698">
        <f>IF($B141='Nutzerspezifische Anlagen'!$U$145,'Nutzerspezifische Anlagen'!$J$145*'Nutzerspezifische Anlagen'!$F$23+'Nutzerspezifische Anlagen'!$J$145+'Nutzerspezifische Anlagen'!$R$145++'Nutzerspezifische Anlagen'!$R$148,0)</f>
        <v>0</v>
      </c>
      <c r="L141" s="698">
        <f>IF($B141='Nutzerspezifische Anlagen'!$U$150,'Nutzerspezifische Anlagen'!$J$150*'Nutzerspezifische Anlagen'!$F$23+'Nutzerspezifische Anlagen'!$J$150+'Nutzerspezifische Anlagen'!$R$150,0)</f>
        <v>0</v>
      </c>
      <c r="M141" s="698">
        <f>IF($B141='Nutzerspezifische Anlagen'!$U$154,'Nutzerspezifische Anlagen'!$J$154*'Nutzerspezifische Anlagen'!$F$23+'Nutzerspezifische Anlagen'!$J$154+'Nutzerspezifische Anlagen'!$L$177,0)</f>
        <v>0</v>
      </c>
      <c r="N141" s="698">
        <f>IF($B141='Nutzerspezifische Anlagen'!$U$178,'Nutzerspezifische Anlagen'!$J$178*'Nutzerspezifische Anlagen'!$F$23+'Nutzerspezifische Anlagen'!$J$178+'Nutzerspezifische Anlagen'!$L$192,0)</f>
        <v>0</v>
      </c>
      <c r="O141" s="698">
        <f>IF($B141='Nutzerspezifische Anlagen'!$U$193,'Nutzerspezifische Anlagen'!$J$193*'Nutzerspezifische Anlagen'!$F$23+'Nutzerspezifische Anlagen'!$J$193+'Nutzerspezifische Anlagen'!$L$234,0)</f>
        <v>33789.782639999998</v>
      </c>
      <c r="P141" s="698">
        <f>IF($B141='Nutzerspezifische Anlagen'!$U$235,'Nutzerspezifische Anlagen'!$J$235*'Nutzerspezifische Anlagen'!$F$23+'Nutzerspezifische Anlagen'!$J$235+'Nutzerspezifische Anlagen'!$L$244,0)</f>
        <v>0</v>
      </c>
      <c r="Q141" s="699">
        <f t="shared" si="6"/>
        <v>33789.782639999998</v>
      </c>
    </row>
    <row r="142" spans="2:17" x14ac:dyDescent="0.3">
      <c r="B142" s="696" t="str">
        <f>IF(Überblick!$H$53&gt;=8,8,"")</f>
        <v/>
      </c>
      <c r="C142" s="697">
        <f>IF($B142='Nutzerspezifische Anlagen'!$U$39,'Nutzerspezifische Anlagen'!$J$39*'Nutzerspezifische Anlagen'!$F$23+'Nutzerspezifische Anlagen'!$J$39+'Nutzerspezifische Anlagen'!$L$54,0)</f>
        <v>0</v>
      </c>
      <c r="D142" s="698">
        <f>IF($B142='Nutzerspezifische Anlagen'!$U$55,'Nutzerspezifische Anlagen'!$J$55*'Nutzerspezifische Anlagen'!$F$23+'Nutzerspezifische Anlagen'!$J$55+'Nutzerspezifische Anlagen'!$L$78,0)</f>
        <v>0</v>
      </c>
      <c r="E142" s="698">
        <f>IF($B142='Nutzerspezifische Anlagen'!$U$55,'Nutzerspezifische Anlagen'!$J$55*'Nutzerspezifische Anlagen'!$F$23+'Nutzerspezifische Anlagen'!$J$55+'Nutzerspezifische Anlagen'!$L$78,0)</f>
        <v>0</v>
      </c>
      <c r="F142" s="698">
        <f>IF($B142='Nutzerspezifische Anlagen'!$U$119,'Nutzerspezifische Anlagen'!$J$119*'Nutzerspezifische Anlagen'!$F$23+'Nutzerspezifische Anlagen'!$J$119+'Nutzerspezifische Anlagen'!$L$127,0)</f>
        <v>0</v>
      </c>
      <c r="G142" s="698">
        <f>IF($B142='Nutzerspezifische Anlagen'!$U$128,'Nutzerspezifische Anlagen'!$J$128*'Nutzerspezifische Anlagen'!$F$23+'Nutzerspezifische Anlagen'!$J$128+'Nutzerspezifische Anlagen'!$R$128+'Nutzerspezifische Anlagen'!$R$131,0)</f>
        <v>0</v>
      </c>
      <c r="H142" s="698">
        <f>IF($B142='Nutzerspezifische Anlagen'!$U$133,'Nutzerspezifische Anlagen'!$J$133*'Nutzerspezifische Anlagen'!$F$23+'Nutzerspezifische Anlagen'!$J$133+'Nutzerspezifische Anlagen'!$R$133+'Nutzerspezifische Anlagen'!$R$136+'Nutzerspezifische Anlagen'!$R$139+'Nutzerspezifische Anlagen'!$R$142,0)</f>
        <v>0</v>
      </c>
      <c r="I142" s="698">
        <f>IF($B142='Nutzerspezifische Anlagen'!$U$143,'Nutzerspezifische Anlagen'!$J$143*'Nutzerspezifische Anlagen'!$F$23+'Nutzerspezifische Anlagen'!$J$143+'Nutzerspezifische Anlagen'!$R$143,0)</f>
        <v>0</v>
      </c>
      <c r="J142" s="698">
        <f>IF($B142='Nutzerspezifische Anlagen'!$U$144,'Nutzerspezifische Anlagen'!$J$144*'Nutzerspezifische Anlagen'!$F$23+'Nutzerspezifische Anlagen'!$J$144+'Nutzerspezifische Anlagen'!$R$144,0)</f>
        <v>0</v>
      </c>
      <c r="K142" s="698">
        <f>IF($B142='Nutzerspezifische Anlagen'!$U$145,'Nutzerspezifische Anlagen'!$J$145*'Nutzerspezifische Anlagen'!$F$23+'Nutzerspezifische Anlagen'!$J$145+'Nutzerspezifische Anlagen'!$R$145++'Nutzerspezifische Anlagen'!$R$148,0)</f>
        <v>0</v>
      </c>
      <c r="L142" s="698">
        <f>IF($B142='Nutzerspezifische Anlagen'!$U$150,'Nutzerspezifische Anlagen'!$J$150*'Nutzerspezifische Anlagen'!$F$23+'Nutzerspezifische Anlagen'!$J$150+'Nutzerspezifische Anlagen'!$R$150,0)</f>
        <v>0</v>
      </c>
      <c r="M142" s="698">
        <f>IF($B142='Nutzerspezifische Anlagen'!$U$154,'Nutzerspezifische Anlagen'!$J$154*'Nutzerspezifische Anlagen'!$F$23+'Nutzerspezifische Anlagen'!$J$154+'Nutzerspezifische Anlagen'!$L$177,0)</f>
        <v>0</v>
      </c>
      <c r="N142" s="698">
        <f>IF($B142='Nutzerspezifische Anlagen'!$U$178,'Nutzerspezifische Anlagen'!$J$178*'Nutzerspezifische Anlagen'!$F$23+'Nutzerspezifische Anlagen'!$J$178+'Nutzerspezifische Anlagen'!$L$192,0)</f>
        <v>0</v>
      </c>
      <c r="O142" s="698">
        <f>IF($B142='Nutzerspezifische Anlagen'!$U$193,'Nutzerspezifische Anlagen'!$J$193*'Nutzerspezifische Anlagen'!$F$23+'Nutzerspezifische Anlagen'!$J$193+'Nutzerspezifische Anlagen'!$L$234,0)</f>
        <v>33789.782639999998</v>
      </c>
      <c r="P142" s="698">
        <f>IF($B142='Nutzerspezifische Anlagen'!$U$235,'Nutzerspezifische Anlagen'!$J$235*'Nutzerspezifische Anlagen'!$F$23+'Nutzerspezifische Anlagen'!$J$235+'Nutzerspezifische Anlagen'!$L$244,0)</f>
        <v>0</v>
      </c>
      <c r="Q142" s="699">
        <f t="shared" si="6"/>
        <v>33789.782639999998</v>
      </c>
    </row>
    <row r="143" spans="2:17" ht="15.2" thickBot="1" x14ac:dyDescent="0.35">
      <c r="B143" s="700" t="str">
        <f>IF(Überblick!$H$53&gt;=9,9,"")</f>
        <v/>
      </c>
      <c r="C143" s="701">
        <f>IF($B143='Nutzerspezifische Anlagen'!$U$39,'Nutzerspezifische Anlagen'!$J$39*'Nutzerspezifische Anlagen'!$F$23+'Nutzerspezifische Anlagen'!$J$39+'Nutzerspezifische Anlagen'!$L$54,0)</f>
        <v>0</v>
      </c>
      <c r="D143" s="702">
        <f>IF($B143='Nutzerspezifische Anlagen'!$U$55,'Nutzerspezifische Anlagen'!$J$55*'Nutzerspezifische Anlagen'!$F$23+'Nutzerspezifische Anlagen'!$J$55+'Nutzerspezifische Anlagen'!$L$78,0)</f>
        <v>0</v>
      </c>
      <c r="E143" s="702">
        <f>IF($B143='Nutzerspezifische Anlagen'!$U$55,'Nutzerspezifische Anlagen'!$J$55*'Nutzerspezifische Anlagen'!$F$23+'Nutzerspezifische Anlagen'!$J$55+'Nutzerspezifische Anlagen'!$L$78,0)</f>
        <v>0</v>
      </c>
      <c r="F143" s="702">
        <f>IF($B143='Nutzerspezifische Anlagen'!$U$119,'Nutzerspezifische Anlagen'!$J$119*'Nutzerspezifische Anlagen'!$F$23+'Nutzerspezifische Anlagen'!$J$119+'Nutzerspezifische Anlagen'!$L$127,0)</f>
        <v>0</v>
      </c>
      <c r="G143" s="702">
        <f>IF($B143='Nutzerspezifische Anlagen'!$U$128,'Nutzerspezifische Anlagen'!$J$128*'Nutzerspezifische Anlagen'!$F$23+'Nutzerspezifische Anlagen'!$J$128+'Nutzerspezifische Anlagen'!$R$128+'Nutzerspezifische Anlagen'!$R$131,0)</f>
        <v>0</v>
      </c>
      <c r="H143" s="702">
        <f>IF($B143='Nutzerspezifische Anlagen'!$U$133,'Nutzerspezifische Anlagen'!$J$133*'Nutzerspezifische Anlagen'!$F$23+'Nutzerspezifische Anlagen'!$J$133+'Nutzerspezifische Anlagen'!$R$133+'Nutzerspezifische Anlagen'!$R$136+'Nutzerspezifische Anlagen'!$R$139+'Nutzerspezifische Anlagen'!$R$142,0)</f>
        <v>0</v>
      </c>
      <c r="I143" s="702">
        <f>IF($B143='Nutzerspezifische Anlagen'!$U$143,'Nutzerspezifische Anlagen'!$J$143*'Nutzerspezifische Anlagen'!$F$23+'Nutzerspezifische Anlagen'!$J$143+'Nutzerspezifische Anlagen'!$R$143,0)</f>
        <v>0</v>
      </c>
      <c r="J143" s="702">
        <f>IF($B143='Nutzerspezifische Anlagen'!$U$144,'Nutzerspezifische Anlagen'!$J$144*'Nutzerspezifische Anlagen'!$F$23+'Nutzerspezifische Anlagen'!$J$144+'Nutzerspezifische Anlagen'!$R$144,0)</f>
        <v>0</v>
      </c>
      <c r="K143" s="702">
        <f>IF($B143='Nutzerspezifische Anlagen'!$U$145,'Nutzerspezifische Anlagen'!$J$145*'Nutzerspezifische Anlagen'!$F$23+'Nutzerspezifische Anlagen'!$J$145+'Nutzerspezifische Anlagen'!$R$145++'Nutzerspezifische Anlagen'!$R$148,0)</f>
        <v>0</v>
      </c>
      <c r="L143" s="702">
        <f>IF($B143='Nutzerspezifische Anlagen'!$U$150,'Nutzerspezifische Anlagen'!$J$150*'Nutzerspezifische Anlagen'!$F$23+'Nutzerspezifische Anlagen'!$J$150+'Nutzerspezifische Anlagen'!$R$150,0)</f>
        <v>0</v>
      </c>
      <c r="M143" s="702">
        <f>IF($B143='Nutzerspezifische Anlagen'!$U$154,'Nutzerspezifische Anlagen'!$J$154*'Nutzerspezifische Anlagen'!$F$23+'Nutzerspezifische Anlagen'!$J$154+'Nutzerspezifische Anlagen'!$L$177,0)</f>
        <v>0</v>
      </c>
      <c r="N143" s="702">
        <f>IF($B143='Nutzerspezifische Anlagen'!$U$178,'Nutzerspezifische Anlagen'!$J$178*'Nutzerspezifische Anlagen'!$F$23+'Nutzerspezifische Anlagen'!$J$178+'Nutzerspezifische Anlagen'!$L$192,0)</f>
        <v>0</v>
      </c>
      <c r="O143" s="702">
        <f>IF($B143='Nutzerspezifische Anlagen'!$U$193,'Nutzerspezifische Anlagen'!$J$193*'Nutzerspezifische Anlagen'!$F$23+'Nutzerspezifische Anlagen'!$J$193+'Nutzerspezifische Anlagen'!$L$234,0)</f>
        <v>33789.782639999998</v>
      </c>
      <c r="P143" s="702">
        <f>IF($B143='Nutzerspezifische Anlagen'!$U$235,'Nutzerspezifische Anlagen'!$J$235*'Nutzerspezifische Anlagen'!$F$23+'Nutzerspezifische Anlagen'!$J$235+'Nutzerspezifische Anlagen'!$L$244,0)</f>
        <v>0</v>
      </c>
      <c r="Q143" s="703">
        <f t="shared" ref="Q143" si="7">SUM(C143:P143)</f>
        <v>33789.782639999998</v>
      </c>
    </row>
    <row r="144" spans="2:17" x14ac:dyDescent="0.3">
      <c r="Q144" s="704">
        <f>SUM(Q135:Q143)</f>
        <v>101369.34792</v>
      </c>
    </row>
    <row r="156" spans="2:4" x14ac:dyDescent="0.3">
      <c r="B156" s="705"/>
      <c r="C156" s="706"/>
      <c r="D156" s="707"/>
    </row>
  </sheetData>
  <mergeCells count="84">
    <mergeCell ref="B26:B44"/>
    <mergeCell ref="E26:E44"/>
    <mergeCell ref="H26:H44"/>
    <mergeCell ref="A2:A5"/>
    <mergeCell ref="C2:D2"/>
    <mergeCell ref="F2:G2"/>
    <mergeCell ref="I2:J2"/>
    <mergeCell ref="C3:D3"/>
    <mergeCell ref="F3:G3"/>
    <mergeCell ref="I3:J3"/>
    <mergeCell ref="C5:D5"/>
    <mergeCell ref="F5:G5"/>
    <mergeCell ref="I5:J5"/>
    <mergeCell ref="G50:H50"/>
    <mergeCell ref="J50:K50"/>
    <mergeCell ref="G52:G54"/>
    <mergeCell ref="G56:G60"/>
    <mergeCell ref="B62:E62"/>
    <mergeCell ref="G62:H62"/>
    <mergeCell ref="I62:J62"/>
    <mergeCell ref="K62:L62"/>
    <mergeCell ref="E76:E77"/>
    <mergeCell ref="B64:E64"/>
    <mergeCell ref="G64:H64"/>
    <mergeCell ref="J64:K64"/>
    <mergeCell ref="B65:E65"/>
    <mergeCell ref="G65:H65"/>
    <mergeCell ref="J65:K65"/>
    <mergeCell ref="G69:H69"/>
    <mergeCell ref="I69:J69"/>
    <mergeCell ref="K69:L69"/>
    <mergeCell ref="E70:E71"/>
    <mergeCell ref="D76:D80"/>
    <mergeCell ref="D70:D74"/>
    <mergeCell ref="I104:J104"/>
    <mergeCell ref="K104:L104"/>
    <mergeCell ref="B105:E105"/>
    <mergeCell ref="B85:E85"/>
    <mergeCell ref="B86:E86"/>
    <mergeCell ref="B87:E87"/>
    <mergeCell ref="B88:E88"/>
    <mergeCell ref="B93:E93"/>
    <mergeCell ref="B94:E94"/>
    <mergeCell ref="C110:D110"/>
    <mergeCell ref="E110:F110"/>
    <mergeCell ref="B95:E95"/>
    <mergeCell ref="B96:E96"/>
    <mergeCell ref="G104:H104"/>
    <mergeCell ref="C107:F107"/>
    <mergeCell ref="C108:D108"/>
    <mergeCell ref="E108:F108"/>
    <mergeCell ref="C109:D109"/>
    <mergeCell ref="E109:F109"/>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E132:F132"/>
    <mergeCell ref="C123:D123"/>
    <mergeCell ref="E123:F123"/>
    <mergeCell ref="C125:D125"/>
    <mergeCell ref="E125:F125"/>
    <mergeCell ref="C130:D130"/>
    <mergeCell ref="E130:F130"/>
  </mergeCells>
  <conditionalFormatting sqref="A6:A44">
    <cfRule type="colorScale" priority="7">
      <colorScale>
        <cfvo type="min"/>
        <cfvo type="percentile" val="50"/>
        <cfvo type="max"/>
        <color rgb="FF63BE7B"/>
        <color rgb="FFFFEB84"/>
        <color rgb="FFF8696B"/>
      </colorScale>
    </cfRule>
  </conditionalFormatting>
  <conditionalFormatting sqref="C6:C44">
    <cfRule type="colorScale" priority="6">
      <colorScale>
        <cfvo type="min"/>
        <cfvo type="percentile" val="50"/>
        <cfvo type="max"/>
        <color rgb="FF63BE7B"/>
        <color rgb="FFFFEB84"/>
        <color rgb="FFF8696B"/>
      </colorScale>
    </cfRule>
  </conditionalFormatting>
  <conditionalFormatting sqref="D6:D44">
    <cfRule type="colorScale" priority="5">
      <colorScale>
        <cfvo type="min"/>
        <cfvo type="percentile" val="50"/>
        <cfvo type="max"/>
        <color rgb="FF63BE7B"/>
        <color rgb="FFFFEB84"/>
        <color rgb="FFF8696B"/>
      </colorScale>
    </cfRule>
  </conditionalFormatting>
  <conditionalFormatting sqref="F6:F44">
    <cfRule type="colorScale" priority="4">
      <colorScale>
        <cfvo type="min"/>
        <cfvo type="percentile" val="50"/>
        <cfvo type="max"/>
        <color rgb="FF63BE7B"/>
        <color rgb="FFFFEB84"/>
        <color rgb="FFF8696B"/>
      </colorScale>
    </cfRule>
  </conditionalFormatting>
  <conditionalFormatting sqref="G6:G44">
    <cfRule type="colorScale" priority="3">
      <colorScale>
        <cfvo type="min"/>
        <cfvo type="percentile" val="50"/>
        <cfvo type="max"/>
        <color rgb="FF63BE7B"/>
        <color rgb="FFFFEB84"/>
        <color rgb="FFF8696B"/>
      </colorScale>
    </cfRule>
  </conditionalFormatting>
  <conditionalFormatting sqref="I6:I44">
    <cfRule type="colorScale" priority="2">
      <colorScale>
        <cfvo type="min"/>
        <cfvo type="percentile" val="50"/>
        <cfvo type="max"/>
        <color rgb="FF63BE7B"/>
        <color rgb="FFFFEB84"/>
        <color rgb="FFF8696B"/>
      </colorScale>
    </cfRule>
  </conditionalFormatting>
  <conditionalFormatting sqref="J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8C378-9099-4839-B1B9-3C14544EC072}">
  <sheetPr>
    <tabColor rgb="FFFFC000"/>
  </sheetPr>
  <dimension ref="A1:AK295"/>
  <sheetViews>
    <sheetView workbookViewId="0">
      <selection activeCell="F3" sqref="F3:K3"/>
    </sheetView>
  </sheetViews>
  <sheetFormatPr baseColWidth="10" defaultColWidth="11.44140625" defaultRowHeight="13.9" x14ac:dyDescent="0.25"/>
  <cols>
    <col min="1" max="1" width="9.21875" style="41" customWidth="1"/>
    <col min="2" max="21" width="9.21875" style="39" customWidth="1"/>
    <col min="22" max="22" width="9.21875" style="72" customWidth="1"/>
    <col min="23" max="35" width="11.44140625" style="72"/>
    <col min="36" max="16384" width="11.44140625" style="39"/>
  </cols>
  <sheetData>
    <row r="1" spans="1:24" x14ac:dyDescent="0.25">
      <c r="A1" s="493" t="str">
        <f>Überblick!X108</f>
        <v>D.</v>
      </c>
      <c r="B1" s="188" t="str">
        <f>IF(Überblick!B2=Überblick!L4,Gebäudeautomation!Q1,Gebäudeautomation!Q2)</f>
        <v>Honorarangebot - Gebäudeautomation und Automation von Ingenieurbauwerken</v>
      </c>
      <c r="Q1" s="185" t="s">
        <v>498</v>
      </c>
      <c r="T1" s="963" t="str">
        <f>'Hochbauplanung '!T1</f>
        <v>Version: 27.06.2023</v>
      </c>
      <c r="U1" s="963"/>
    </row>
    <row r="2" spans="1:24" x14ac:dyDescent="0.25">
      <c r="A2" s="491"/>
      <c r="Q2" s="185" t="s">
        <v>499</v>
      </c>
      <c r="R2" s="535" t="s">
        <v>110</v>
      </c>
      <c r="S2" s="1389" t="str">
        <f>IF(Überblick!Q2=0,"",Überblick!Q2)</f>
        <v/>
      </c>
      <c r="T2" s="1389"/>
      <c r="U2" s="1389"/>
    </row>
    <row r="3" spans="1:24" x14ac:dyDescent="0.25">
      <c r="A3" s="491" t="s">
        <v>112</v>
      </c>
      <c r="B3" s="40" t="s">
        <v>365</v>
      </c>
      <c r="F3" s="883" t="s">
        <v>998</v>
      </c>
      <c r="G3" s="878"/>
      <c r="H3" s="878"/>
      <c r="I3" s="878"/>
      <c r="J3" s="878"/>
      <c r="K3" s="878"/>
      <c r="R3" s="535" t="s">
        <v>24</v>
      </c>
      <c r="S3" s="1389" t="str">
        <f>IF(Überblick!G29=0,"",Überblick!G29)</f>
        <v>Breite Strasse, 10178 Berlin-Mitte, zw. Neumannsgasse und Scharrenstrasse</v>
      </c>
      <c r="T3" s="1389"/>
      <c r="U3" s="1389"/>
    </row>
    <row r="4" spans="1:24" ht="14.55" thickBot="1" x14ac:dyDescent="0.3">
      <c r="A4" s="491"/>
      <c r="R4" s="535" t="s">
        <v>17</v>
      </c>
      <c r="S4" s="1389" t="str">
        <f>IF(Überblick!D19=0,"",Überblick!D19)</f>
        <v/>
      </c>
      <c r="T4" s="1389"/>
      <c r="U4" s="1389"/>
    </row>
    <row r="5" spans="1:2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24"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2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24" ht="14.55" thickBot="1" x14ac:dyDescent="0.3">
      <c r="A8" s="491"/>
      <c r="B8" s="1229" t="s">
        <v>366</v>
      </c>
      <c r="C8" s="1230"/>
      <c r="D8" s="1230"/>
      <c r="E8" s="1231"/>
      <c r="F8" s="1205">
        <f>H8*1.19</f>
        <v>198280.18</v>
      </c>
      <c r="G8" s="1237"/>
      <c r="H8" s="1219">
        <v>166622</v>
      </c>
      <c r="I8" s="1220"/>
      <c r="J8" s="1205">
        <f>L8*1.19</f>
        <v>0</v>
      </c>
      <c r="K8" s="1206"/>
      <c r="L8" s="1207"/>
      <c r="M8" s="1208"/>
      <c r="N8" s="1205">
        <f>P8*1.19</f>
        <v>0</v>
      </c>
      <c r="O8" s="1206"/>
      <c r="P8" s="1207"/>
      <c r="Q8" s="1208"/>
      <c r="R8" s="96">
        <f>+H8+L8+P8</f>
        <v>166622</v>
      </c>
      <c r="S8" s="96">
        <f>IF((R8+AB245)&gt;0,1,0)</f>
        <v>1</v>
      </c>
      <c r="T8" s="96"/>
      <c r="U8" s="96"/>
      <c r="V8" s="96"/>
      <c r="W8" s="96"/>
      <c r="X8" s="96"/>
    </row>
    <row r="9" spans="1:24" x14ac:dyDescent="0.25">
      <c r="A9" s="491"/>
      <c r="B9" s="49"/>
      <c r="C9" s="49"/>
      <c r="D9" s="49"/>
      <c r="E9" s="49"/>
      <c r="F9" s="1138" t="str">
        <f>IF(H8&gt;'Berechnung - Gebäudeautomation'!$A$25,$R$9,"")</f>
        <v/>
      </c>
      <c r="G9" s="1138"/>
      <c r="H9" s="1138"/>
      <c r="I9" s="1138"/>
      <c r="J9" s="1138" t="str">
        <f>IF(L8&gt;'Berechnung - Gebäudeautomation'!$A$25,$R$9,"")</f>
        <v/>
      </c>
      <c r="K9" s="1138"/>
      <c r="L9" s="1138"/>
      <c r="M9" s="1138"/>
      <c r="N9" s="1138" t="str">
        <f>IF(P8&gt;'Berechnung - Gebäudeautomation'!$A$25,$R$9,"")</f>
        <v/>
      </c>
      <c r="O9" s="1138"/>
      <c r="P9" s="1138"/>
      <c r="Q9" s="1138"/>
      <c r="R9" s="96" t="s">
        <v>124</v>
      </c>
      <c r="S9" s="96"/>
      <c r="T9" s="96"/>
      <c r="U9" s="96"/>
      <c r="V9" s="96"/>
      <c r="W9" s="96"/>
      <c r="X9" s="96"/>
    </row>
    <row r="10" spans="1:2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row>
    <row r="11" spans="1:2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row>
    <row r="12" spans="1:24" x14ac:dyDescent="0.25">
      <c r="A12" s="491"/>
      <c r="B12" s="39" t="s">
        <v>130</v>
      </c>
      <c r="R12" s="72"/>
      <c r="S12" s="72"/>
      <c r="T12" s="72"/>
      <c r="U12" s="72"/>
    </row>
    <row r="13" spans="1:24" x14ac:dyDescent="0.25">
      <c r="A13" s="491"/>
      <c r="B13" s="39" t="s">
        <v>131</v>
      </c>
      <c r="R13" s="72"/>
      <c r="S13" s="72"/>
      <c r="T13" s="72"/>
      <c r="U13" s="72"/>
    </row>
    <row r="14" spans="1:24" ht="14.55" thickBot="1" x14ac:dyDescent="0.3">
      <c r="A14" s="491"/>
      <c r="B14" s="40"/>
      <c r="G14" s="54"/>
      <c r="H14" s="41"/>
      <c r="I14" s="57"/>
      <c r="J14" s="54"/>
      <c r="K14" s="54"/>
      <c r="L14" s="57"/>
      <c r="M14" s="58"/>
      <c r="N14" s="58"/>
      <c r="O14" s="59"/>
      <c r="R14" s="72"/>
      <c r="S14" s="351"/>
      <c r="T14" s="96"/>
      <c r="U14" s="72"/>
    </row>
    <row r="15" spans="1:2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2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row>
    <row r="19" spans="1:24" ht="14.55" thickBot="1" x14ac:dyDescent="0.3">
      <c r="A19" s="491"/>
      <c r="B19" s="40"/>
      <c r="C19" s="40"/>
      <c r="D19" s="40"/>
      <c r="E19" s="69"/>
      <c r="F19" s="1596">
        <f>'Berechnung - Gebäudeautomation'!H105</f>
        <v>33789.782639999998</v>
      </c>
      <c r="G19" s="1597"/>
      <c r="H19" s="1597"/>
      <c r="I19" s="1598"/>
      <c r="J19" s="1596" t="str">
        <f>IF('Berechnung - Gebäudeautomation'!J105=0,"Kostenschätzung liegt noch nicht vor",'Berechnung - Gebäudeautomation'!J105)</f>
        <v>Kostenschätzung liegt noch nicht vor</v>
      </c>
      <c r="K19" s="1597"/>
      <c r="L19" s="1597"/>
      <c r="M19" s="1598"/>
      <c r="N19" s="1596" t="str">
        <f>IF('Berechnung - Gebäudeautomation'!L105=0,"Kostenberechnung liegt noch nicht vor",'Berechnung - Gebäudeautomation'!L105)</f>
        <v>Kostenberechnung liegt noch nicht vor</v>
      </c>
      <c r="O19" s="1597"/>
      <c r="P19" s="1597"/>
      <c r="Q19" s="1598"/>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1</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500</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37" ht="14.55" thickBot="1" x14ac:dyDescent="0.3">
      <c r="A34" s="1516"/>
      <c r="B34" s="1129"/>
      <c r="C34" s="1130"/>
      <c r="D34" s="1130"/>
      <c r="E34" s="1130"/>
      <c r="F34" s="1130"/>
      <c r="G34" s="1130"/>
      <c r="H34" s="1133"/>
      <c r="I34" s="1136"/>
      <c r="J34" s="1521"/>
      <c r="K34" s="1522"/>
      <c r="L34" s="176"/>
      <c r="M34" s="115"/>
      <c r="N34" s="115"/>
      <c r="O34" s="115"/>
      <c r="P34" s="116"/>
      <c r="Q34" s="116"/>
      <c r="R34" s="837"/>
      <c r="S34" s="73"/>
      <c r="T34" s="73"/>
      <c r="U34" s="81"/>
      <c r="V34" s="81"/>
      <c r="W34" s="81"/>
    </row>
    <row r="35" spans="1:37" ht="15" customHeight="1" thickBot="1" x14ac:dyDescent="0.3">
      <c r="A35" s="1516"/>
      <c r="B35" s="1035" t="s">
        <v>154</v>
      </c>
      <c r="C35" s="1036"/>
      <c r="D35" s="1036"/>
      <c r="E35" s="1036"/>
      <c r="F35" s="1036"/>
      <c r="G35" s="1036"/>
      <c r="H35" s="1161"/>
      <c r="I35" s="1344">
        <f>F19</f>
        <v>33789.782639999998</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608"/>
      <c r="T35" s="1605" t="s">
        <v>156</v>
      </c>
      <c r="U35" s="1371" t="s">
        <v>157</v>
      </c>
      <c r="Y35" s="73" t="s">
        <v>5</v>
      </c>
      <c r="Z35" s="72" t="s">
        <v>374</v>
      </c>
      <c r="AA35" s="81"/>
      <c r="AB35" s="81"/>
      <c r="AC35" s="81"/>
      <c r="AJ35" s="68"/>
      <c r="AK35" s="68"/>
    </row>
    <row r="36" spans="1:37"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c r="AJ36" s="68"/>
      <c r="AK36" s="68"/>
    </row>
    <row r="37" spans="1:37"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c r="AJ37" s="68"/>
      <c r="AK37" s="68"/>
    </row>
    <row r="38" spans="1:37" ht="14.55" thickBot="1" x14ac:dyDescent="0.3">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149"/>
      <c r="AC38" s="149"/>
      <c r="AJ38" s="68"/>
      <c r="AK38" s="68"/>
    </row>
    <row r="39" spans="1:37" ht="15.95" customHeight="1" thickBot="1" x14ac:dyDescent="0.3">
      <c r="A39" s="1516"/>
      <c r="B39" s="1497" t="s">
        <v>375</v>
      </c>
      <c r="C39" s="1498"/>
      <c r="D39" s="1498"/>
      <c r="E39" s="1498"/>
      <c r="F39" s="1498"/>
      <c r="G39" s="1499"/>
      <c r="H39" s="1194" t="s">
        <v>100</v>
      </c>
      <c r="I39" s="1016">
        <f>Z54</f>
        <v>0</v>
      </c>
      <c r="J39" s="1027">
        <f>I35*I39</f>
        <v>0</v>
      </c>
      <c r="K39" s="1028"/>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78">
        <f>IF(Q39="ja",1,0)</f>
        <v>0</v>
      </c>
      <c r="AJ39" s="68"/>
      <c r="AK39" s="68"/>
    </row>
    <row r="40" spans="1:37" ht="15" customHeight="1"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78">
        <f t="shared" ref="AB40:AB103" si="0">IF(Q40="ja",1,0)</f>
        <v>0</v>
      </c>
      <c r="AJ40" s="68"/>
      <c r="AK40" s="68"/>
    </row>
    <row r="41" spans="1:37" ht="15" customHeight="1"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78">
        <f t="shared" si="0"/>
        <v>0</v>
      </c>
      <c r="AJ41" s="68"/>
      <c r="AK41" s="68"/>
    </row>
    <row r="42" spans="1:37" ht="15" customHeight="1" thickBot="1" x14ac:dyDescent="0.3">
      <c r="A42" s="1516"/>
      <c r="B42" s="1493" t="s">
        <v>377</v>
      </c>
      <c r="C42" s="1317"/>
      <c r="D42" s="1317"/>
      <c r="E42" s="1317"/>
      <c r="F42" s="1317"/>
      <c r="G42" s="1494"/>
      <c r="H42" s="982" t="s">
        <v>100</v>
      </c>
      <c r="I42" s="1017"/>
      <c r="J42" s="1029"/>
      <c r="K42" s="1030"/>
      <c r="L42" s="1544"/>
      <c r="M42" s="1545"/>
      <c r="N42" s="1545"/>
      <c r="O42" s="1545"/>
      <c r="P42" s="1545"/>
      <c r="Q42" s="978"/>
      <c r="R42" s="972"/>
      <c r="S42" s="973"/>
      <c r="T42" s="1543"/>
      <c r="U42" s="1337"/>
      <c r="Y42" s="74">
        <v>3.0000000000000001E-3</v>
      </c>
      <c r="Z42" s="77">
        <f>IF(H42="ja",Y42,0)</f>
        <v>0</v>
      </c>
      <c r="AA42" s="78"/>
      <c r="AB42" s="78">
        <f t="shared" si="0"/>
        <v>0</v>
      </c>
      <c r="AJ42" s="68"/>
      <c r="AK42" s="68"/>
    </row>
    <row r="43" spans="1:37" ht="15" customHeight="1"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78">
        <f t="shared" si="0"/>
        <v>0</v>
      </c>
      <c r="AJ43" s="68"/>
      <c r="AK43" s="68"/>
    </row>
    <row r="44" spans="1:37" ht="15.95" customHeight="1" thickBot="1" x14ac:dyDescent="0.3">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78">
        <f t="shared" si="0"/>
        <v>0</v>
      </c>
      <c r="AJ44" s="68"/>
      <c r="AK44" s="68"/>
    </row>
    <row r="45" spans="1:37" ht="15" customHeight="1" thickBot="1" x14ac:dyDescent="0.3">
      <c r="A45" s="1516"/>
      <c r="B45" s="1493" t="s">
        <v>171</v>
      </c>
      <c r="C45" s="1317"/>
      <c r="D45" s="1317"/>
      <c r="E45" s="1317"/>
      <c r="F45" s="1317"/>
      <c r="G45" s="1494"/>
      <c r="H45" s="1191" t="s">
        <v>100</v>
      </c>
      <c r="I45" s="1017"/>
      <c r="J45" s="1029"/>
      <c r="K45" s="1030"/>
      <c r="L45" s="1544"/>
      <c r="M45" s="1545"/>
      <c r="N45" s="1545"/>
      <c r="O45" s="1545"/>
      <c r="P45" s="1545"/>
      <c r="Q45" s="978"/>
      <c r="R45" s="972"/>
      <c r="S45" s="973"/>
      <c r="T45" s="1543"/>
      <c r="U45" s="1337"/>
      <c r="Y45" s="74">
        <v>2E-3</v>
      </c>
      <c r="Z45" s="77">
        <f>IF(H45="ja",Y45,0)</f>
        <v>0</v>
      </c>
      <c r="AA45" s="78"/>
      <c r="AB45" s="78">
        <f t="shared" si="0"/>
        <v>0</v>
      </c>
      <c r="AJ45" s="68"/>
      <c r="AK45" s="68"/>
    </row>
    <row r="46" spans="1:37" ht="15" customHeight="1"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78">
        <f t="shared" si="0"/>
        <v>0</v>
      </c>
      <c r="AJ46" s="68"/>
      <c r="AK46" s="68"/>
    </row>
    <row r="47" spans="1:37" ht="15.95" customHeight="1" thickBot="1" x14ac:dyDescent="0.3">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78">
        <f t="shared" si="0"/>
        <v>0</v>
      </c>
      <c r="AJ47" s="68"/>
      <c r="AK47" s="68"/>
    </row>
    <row r="48" spans="1:37" ht="15" customHeight="1"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78">
        <f t="shared" si="0"/>
        <v>0</v>
      </c>
      <c r="AJ48" s="68"/>
      <c r="AK48" s="68"/>
    </row>
    <row r="49" spans="1:37" ht="15" customHeight="1" thickBot="1" x14ac:dyDescent="0.3">
      <c r="A49" s="1516"/>
      <c r="B49" s="1493"/>
      <c r="C49" s="1317"/>
      <c r="D49" s="1317"/>
      <c r="E49" s="1317"/>
      <c r="F49" s="1317"/>
      <c r="G49" s="1494"/>
      <c r="H49" s="1191"/>
      <c r="I49" s="1017"/>
      <c r="J49" s="1029"/>
      <c r="K49" s="1030"/>
      <c r="L49" s="1532" t="s">
        <v>380</v>
      </c>
      <c r="M49" s="1533"/>
      <c r="N49" s="1533"/>
      <c r="O49" s="1533"/>
      <c r="P49" s="1533"/>
      <c r="Q49" s="329" t="s">
        <v>100</v>
      </c>
      <c r="R49" s="972"/>
      <c r="S49" s="973"/>
      <c r="T49" s="1543"/>
      <c r="U49" s="1337"/>
      <c r="V49" s="72">
        <f>IF(AND(Q49="ja",R49=""),1,0)</f>
        <v>0</v>
      </c>
      <c r="Y49" s="74"/>
      <c r="Z49" s="77"/>
      <c r="AA49" s="78"/>
      <c r="AB49" s="78">
        <f t="shared" si="0"/>
        <v>0</v>
      </c>
      <c r="AJ49" s="68"/>
      <c r="AK49" s="68"/>
    </row>
    <row r="50" spans="1:37" ht="15" customHeight="1" thickBot="1" x14ac:dyDescent="0.3">
      <c r="A50" s="1516"/>
      <c r="B50" s="1493"/>
      <c r="C50" s="1317"/>
      <c r="D50" s="1317"/>
      <c r="E50" s="1317"/>
      <c r="F50" s="1317"/>
      <c r="G50" s="1494"/>
      <c r="H50" s="1191"/>
      <c r="I50" s="1017"/>
      <c r="J50" s="1029"/>
      <c r="K50" s="1030"/>
      <c r="L50" s="1532" t="s">
        <v>381</v>
      </c>
      <c r="M50" s="1533"/>
      <c r="N50" s="1533"/>
      <c r="O50" s="1533"/>
      <c r="P50" s="1533"/>
      <c r="Q50" s="329" t="s">
        <v>100</v>
      </c>
      <c r="R50" s="972"/>
      <c r="S50" s="973"/>
      <c r="T50" s="1543"/>
      <c r="U50" s="1337"/>
      <c r="V50" s="72">
        <f>IF(AND(Q50="ja",R50=""),1,0)</f>
        <v>0</v>
      </c>
      <c r="Y50" s="74"/>
      <c r="Z50" s="77"/>
      <c r="AA50" s="78"/>
      <c r="AB50" s="78">
        <f t="shared" si="0"/>
        <v>0</v>
      </c>
      <c r="AJ50" s="68"/>
      <c r="AK50" s="68"/>
    </row>
    <row r="51" spans="1:37" ht="15.95" customHeight="1" thickBot="1" x14ac:dyDescent="0.3">
      <c r="A51" s="1516"/>
      <c r="B51" s="1493"/>
      <c r="C51" s="1317"/>
      <c r="D51" s="1317"/>
      <c r="E51" s="1317"/>
      <c r="F51" s="1317"/>
      <c r="G51" s="1494"/>
      <c r="H51" s="1191"/>
      <c r="I51" s="1017"/>
      <c r="J51" s="1029"/>
      <c r="K51" s="1030"/>
      <c r="L51" s="1544" t="s">
        <v>382</v>
      </c>
      <c r="M51" s="1545"/>
      <c r="N51" s="1545"/>
      <c r="O51" s="1545"/>
      <c r="P51" s="1545"/>
      <c r="Q51" s="978" t="s">
        <v>100</v>
      </c>
      <c r="R51" s="972"/>
      <c r="S51" s="973"/>
      <c r="T51" s="1543"/>
      <c r="U51" s="1337"/>
      <c r="V51" s="72">
        <f>IF(AND(Q51="ja",R51=""),1,0)</f>
        <v>0</v>
      </c>
      <c r="Y51" s="74"/>
      <c r="Z51" s="77"/>
      <c r="AA51" s="78"/>
      <c r="AB51" s="78">
        <f t="shared" si="0"/>
        <v>0</v>
      </c>
      <c r="AJ51" s="68"/>
      <c r="AK51" s="68"/>
    </row>
    <row r="52" spans="1:37" ht="15" customHeight="1"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78">
        <f t="shared" si="0"/>
        <v>0</v>
      </c>
      <c r="AJ52" s="68"/>
      <c r="AK52" s="68"/>
    </row>
    <row r="53" spans="1:37" ht="15.95" customHeight="1" thickBot="1" x14ac:dyDescent="0.3">
      <c r="A53" s="1516"/>
      <c r="B53" s="1592"/>
      <c r="C53" s="1593"/>
      <c r="D53" s="1593"/>
      <c r="E53" s="1593"/>
      <c r="F53" s="1593"/>
      <c r="G53" s="1594"/>
      <c r="H53" s="1192"/>
      <c r="I53" s="1018"/>
      <c r="J53" s="1031"/>
      <c r="K53" s="1032"/>
      <c r="L53" s="1546" t="s">
        <v>383</v>
      </c>
      <c r="M53" s="1547"/>
      <c r="N53" s="1547"/>
      <c r="O53" s="1547"/>
      <c r="P53" s="1547"/>
      <c r="Q53" s="330" t="s">
        <v>100</v>
      </c>
      <c r="R53" s="976"/>
      <c r="S53" s="977"/>
      <c r="T53" s="1543"/>
      <c r="U53" s="1337"/>
      <c r="V53" s="72">
        <f>IF(AND(Q53="ja",R53=""),1,0)</f>
        <v>0</v>
      </c>
      <c r="Y53" s="74"/>
      <c r="Z53" s="77"/>
      <c r="AA53" s="78"/>
      <c r="AB53" s="78">
        <f t="shared" si="0"/>
        <v>0</v>
      </c>
      <c r="AJ53" s="68"/>
      <c r="AK53" s="68"/>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0</v>
      </c>
      <c r="AA54" s="77"/>
      <c r="AB54" s="78">
        <f t="shared" si="0"/>
        <v>0</v>
      </c>
      <c r="AJ54" s="68"/>
      <c r="AK54" s="68"/>
    </row>
    <row r="55" spans="1:37" ht="15.95" customHeight="1" thickBot="1" x14ac:dyDescent="0.3">
      <c r="A55" s="1516"/>
      <c r="B55" s="1497" t="s">
        <v>384</v>
      </c>
      <c r="C55" s="1498"/>
      <c r="D55" s="1498"/>
      <c r="E55" s="1498"/>
      <c r="F55" s="1498"/>
      <c r="G55" s="1498"/>
      <c r="H55" s="1194" t="s">
        <v>100</v>
      </c>
      <c r="I55" s="1016">
        <f>Z78</f>
        <v>0</v>
      </c>
      <c r="J55" s="1027">
        <f>I35*I55</f>
        <v>0</v>
      </c>
      <c r="K55" s="1028"/>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0</v>
      </c>
      <c r="AA55" s="78"/>
      <c r="AB55" s="78">
        <f t="shared" si="0"/>
        <v>0</v>
      </c>
      <c r="AJ55" s="68"/>
      <c r="AK55" s="68"/>
    </row>
    <row r="56" spans="1:37" ht="15" customHeight="1" thickBot="1" x14ac:dyDescent="0.3">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78">
        <f t="shared" si="0"/>
        <v>0</v>
      </c>
      <c r="AJ56" s="68"/>
      <c r="AK56" s="68"/>
    </row>
    <row r="57" spans="1:37" s="70" customFormat="1" ht="15" customHeight="1" thickBot="1" x14ac:dyDescent="0.3">
      <c r="A57" s="1516"/>
      <c r="B57" s="1487" t="s">
        <v>385</v>
      </c>
      <c r="C57" s="1488"/>
      <c r="D57" s="1488"/>
      <c r="E57" s="1488"/>
      <c r="F57" s="1488"/>
      <c r="G57" s="1489"/>
      <c r="H57" s="1583" t="s">
        <v>100</v>
      </c>
      <c r="I57" s="1017"/>
      <c r="J57" s="1029"/>
      <c r="K57" s="1030"/>
      <c r="L57" s="984"/>
      <c r="M57" s="985"/>
      <c r="N57" s="985"/>
      <c r="O57" s="985"/>
      <c r="P57" s="985"/>
      <c r="Q57" s="1548"/>
      <c r="R57" s="972"/>
      <c r="S57" s="973"/>
      <c r="T57" s="1543"/>
      <c r="U57" s="1337"/>
      <c r="V57" s="339"/>
      <c r="W57" s="339"/>
      <c r="X57" s="339"/>
      <c r="Y57" s="340">
        <v>5.2499999999999998E-2</v>
      </c>
      <c r="Z57" s="77">
        <f>IF(H57="ja",Y57,0)</f>
        <v>0</v>
      </c>
      <c r="AA57" s="78"/>
      <c r="AB57" s="78">
        <f t="shared" si="0"/>
        <v>0</v>
      </c>
      <c r="AC57" s="339"/>
      <c r="AD57" s="339"/>
      <c r="AE57" s="339"/>
      <c r="AF57" s="339"/>
      <c r="AG57" s="339"/>
      <c r="AH57" s="339"/>
      <c r="AI57" s="339"/>
      <c r="AJ57" s="341"/>
      <c r="AK57" s="341"/>
    </row>
    <row r="58" spans="1:37" s="70" customFormat="1" ht="15" customHeight="1" thickBot="1" x14ac:dyDescent="0.3">
      <c r="A58" s="1516"/>
      <c r="B58" s="1493"/>
      <c r="C58" s="1317"/>
      <c r="D58" s="1317"/>
      <c r="E58" s="1317"/>
      <c r="F58" s="1317"/>
      <c r="G58" s="1494"/>
      <c r="H58" s="1584"/>
      <c r="I58" s="1017"/>
      <c r="J58" s="1029"/>
      <c r="K58" s="1030"/>
      <c r="L58" s="984"/>
      <c r="M58" s="985"/>
      <c r="N58" s="985"/>
      <c r="O58" s="985"/>
      <c r="P58" s="985"/>
      <c r="Q58" s="1548" t="s">
        <v>100</v>
      </c>
      <c r="R58" s="972"/>
      <c r="S58" s="973"/>
      <c r="T58" s="1543"/>
      <c r="U58" s="1337"/>
      <c r="V58" s="72">
        <f>IF(AND(Q58="ja",R58=""),1,0)</f>
        <v>0</v>
      </c>
      <c r="W58" s="339"/>
      <c r="X58" s="339"/>
      <c r="Y58" s="340"/>
      <c r="Z58" s="207"/>
      <c r="AA58" s="78"/>
      <c r="AB58" s="78">
        <f t="shared" si="0"/>
        <v>0</v>
      </c>
      <c r="AC58" s="339"/>
      <c r="AD58" s="339"/>
      <c r="AE58" s="339"/>
      <c r="AF58" s="339"/>
      <c r="AG58" s="339"/>
      <c r="AH58" s="339"/>
      <c r="AI58" s="339"/>
      <c r="AJ58" s="341"/>
      <c r="AK58" s="341"/>
    </row>
    <row r="59" spans="1:37" s="70" customFormat="1" ht="15" customHeight="1" thickBot="1" x14ac:dyDescent="0.3">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78">
        <f t="shared" si="0"/>
        <v>0</v>
      </c>
      <c r="AC59" s="339"/>
      <c r="AD59" s="339"/>
      <c r="AE59" s="339"/>
      <c r="AF59" s="339"/>
      <c r="AG59" s="339"/>
      <c r="AH59" s="339"/>
      <c r="AI59" s="339"/>
      <c r="AJ59" s="341"/>
      <c r="AK59" s="341"/>
    </row>
    <row r="60" spans="1:37" s="70" customFormat="1" ht="15" customHeight="1" thickBot="1" x14ac:dyDescent="0.3">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78">
        <f t="shared" si="0"/>
        <v>0</v>
      </c>
      <c r="AC60" s="339"/>
      <c r="AD60" s="339"/>
      <c r="AE60" s="339"/>
      <c r="AF60" s="339"/>
      <c r="AG60" s="339"/>
      <c r="AH60" s="339"/>
      <c r="AI60" s="339"/>
      <c r="AJ60" s="341"/>
      <c r="AK60" s="341"/>
    </row>
    <row r="61" spans="1:37" ht="15" customHeight="1" thickBot="1" x14ac:dyDescent="0.3">
      <c r="A61" s="1516"/>
      <c r="B61" s="1493"/>
      <c r="C61" s="1317"/>
      <c r="D61" s="1317"/>
      <c r="E61" s="1317"/>
      <c r="F61" s="1317"/>
      <c r="G61" s="1494"/>
      <c r="H61" s="1584"/>
      <c r="I61" s="1017"/>
      <c r="J61" s="1029"/>
      <c r="K61" s="1030"/>
      <c r="L61" s="984"/>
      <c r="M61" s="985"/>
      <c r="N61" s="985"/>
      <c r="O61" s="985"/>
      <c r="P61" s="985"/>
      <c r="Q61" s="1548" t="s">
        <v>100</v>
      </c>
      <c r="R61" s="972"/>
      <c r="S61" s="973"/>
      <c r="T61" s="1543"/>
      <c r="U61" s="1337"/>
      <c r="V61" s="72">
        <f>IF(AND(Q61="ja",R61=""),1,0)</f>
        <v>0</v>
      </c>
      <c r="Y61" s="340"/>
      <c r="Z61" s="77"/>
      <c r="AA61" s="78"/>
      <c r="AB61" s="78">
        <f t="shared" si="0"/>
        <v>0</v>
      </c>
      <c r="AJ61" s="68"/>
      <c r="AK61" s="68"/>
    </row>
    <row r="62" spans="1:37" ht="15" customHeight="1" thickBot="1" x14ac:dyDescent="0.3">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78">
        <f t="shared" si="0"/>
        <v>0</v>
      </c>
      <c r="AJ62" s="68"/>
      <c r="AK62" s="68"/>
    </row>
    <row r="63" spans="1:37" ht="15" customHeight="1" thickBot="1" x14ac:dyDescent="0.3">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78">
        <f t="shared" si="0"/>
        <v>0</v>
      </c>
      <c r="AJ63" s="68"/>
      <c r="AK63" s="68"/>
    </row>
    <row r="64" spans="1:37" ht="15" customHeight="1" thickBot="1" x14ac:dyDescent="0.3">
      <c r="A64" s="1516"/>
      <c r="B64" s="1490"/>
      <c r="C64" s="1491"/>
      <c r="D64" s="1491"/>
      <c r="E64" s="1491"/>
      <c r="F64" s="1491"/>
      <c r="G64" s="1492"/>
      <c r="H64" s="1585"/>
      <c r="I64" s="1017"/>
      <c r="J64" s="1029"/>
      <c r="K64" s="1030"/>
      <c r="L64" s="984"/>
      <c r="M64" s="985"/>
      <c r="N64" s="985"/>
      <c r="O64" s="985"/>
      <c r="P64" s="985"/>
      <c r="Q64" s="1548" t="s">
        <v>100</v>
      </c>
      <c r="R64" s="972"/>
      <c r="S64" s="973"/>
      <c r="T64" s="1543"/>
      <c r="U64" s="1337"/>
      <c r="V64" s="72">
        <f>IF(AND(Q64="ja",R64=""),1,0)</f>
        <v>0</v>
      </c>
      <c r="Y64" s="340"/>
      <c r="Z64" s="77"/>
      <c r="AA64" s="78"/>
      <c r="AB64" s="78">
        <f t="shared" si="0"/>
        <v>0</v>
      </c>
      <c r="AJ64" s="68"/>
      <c r="AK64" s="68"/>
    </row>
    <row r="65" spans="1:37" ht="15" customHeight="1" thickBot="1" x14ac:dyDescent="0.3">
      <c r="A65" s="1516"/>
      <c r="B65" s="1487" t="s">
        <v>386</v>
      </c>
      <c r="C65" s="1488"/>
      <c r="D65" s="1488"/>
      <c r="E65" s="1488"/>
      <c r="F65" s="1488"/>
      <c r="G65" s="1489"/>
      <c r="H65" s="981" t="s">
        <v>100</v>
      </c>
      <c r="I65" s="1017"/>
      <c r="J65" s="1029"/>
      <c r="K65" s="1030"/>
      <c r="L65" s="984"/>
      <c r="M65" s="985"/>
      <c r="N65" s="985"/>
      <c r="O65" s="985"/>
      <c r="P65" s="985"/>
      <c r="Q65" s="1548"/>
      <c r="R65" s="972"/>
      <c r="S65" s="973"/>
      <c r="T65" s="1543"/>
      <c r="U65" s="1337"/>
      <c r="V65" s="339"/>
      <c r="Y65" s="74">
        <v>0.01</v>
      </c>
      <c r="Z65" s="77">
        <f>IF(H65="ja",Y65,0)</f>
        <v>0</v>
      </c>
      <c r="AA65" s="78"/>
      <c r="AB65" s="78">
        <f t="shared" si="0"/>
        <v>0</v>
      </c>
      <c r="AJ65" s="68"/>
      <c r="AK65" s="68"/>
    </row>
    <row r="66" spans="1:37" ht="15" customHeight="1" thickBot="1" x14ac:dyDescent="0.3">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78">
        <f t="shared" si="0"/>
        <v>0</v>
      </c>
      <c r="AJ66" s="68"/>
      <c r="AK66" s="68"/>
    </row>
    <row r="67" spans="1:37" ht="15" customHeight="1" thickBot="1" x14ac:dyDescent="0.3">
      <c r="A67" s="1516"/>
      <c r="B67" s="1487" t="s">
        <v>387</v>
      </c>
      <c r="C67" s="1488"/>
      <c r="D67" s="1488"/>
      <c r="E67" s="1488"/>
      <c r="F67" s="1488"/>
      <c r="G67" s="1489"/>
      <c r="H67" s="981" t="s">
        <v>100</v>
      </c>
      <c r="I67" s="1017"/>
      <c r="J67" s="1029"/>
      <c r="K67" s="1030"/>
      <c r="L67" s="984"/>
      <c r="M67" s="985"/>
      <c r="N67" s="985"/>
      <c r="O67" s="985"/>
      <c r="P67" s="985"/>
      <c r="Q67" s="1548" t="s">
        <v>100</v>
      </c>
      <c r="R67" s="972"/>
      <c r="S67" s="973"/>
      <c r="T67" s="1543"/>
      <c r="U67" s="1337"/>
      <c r="V67" s="72">
        <f>IF(AND(Q67="ja",R67=""),1,0)</f>
        <v>0</v>
      </c>
      <c r="Y67" s="74">
        <v>8.0000000000000002E-3</v>
      </c>
      <c r="Z67" s="77">
        <f>IF(H67="ja",Y67,0)</f>
        <v>0</v>
      </c>
      <c r="AA67" s="78"/>
      <c r="AB67" s="78">
        <f t="shared" si="0"/>
        <v>0</v>
      </c>
      <c r="AJ67" s="68"/>
      <c r="AK67" s="68"/>
    </row>
    <row r="68" spans="1:37" ht="15" customHeight="1" thickBot="1" x14ac:dyDescent="0.3">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78">
        <f t="shared" si="0"/>
        <v>0</v>
      </c>
      <c r="AJ68" s="68"/>
      <c r="AK68" s="68"/>
    </row>
    <row r="69" spans="1:37" ht="15" customHeight="1" thickBot="1" x14ac:dyDescent="0.3">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78">
        <f t="shared" si="0"/>
        <v>0</v>
      </c>
      <c r="AJ69" s="68"/>
      <c r="AK69" s="68"/>
    </row>
    <row r="70" spans="1:37" ht="15" customHeight="1" thickBot="1" x14ac:dyDescent="0.3">
      <c r="A70" s="1516"/>
      <c r="B70" s="1490"/>
      <c r="C70" s="1491"/>
      <c r="D70" s="1491"/>
      <c r="E70" s="1491"/>
      <c r="F70" s="1491"/>
      <c r="G70" s="1492"/>
      <c r="H70" s="983"/>
      <c r="I70" s="1017"/>
      <c r="J70" s="1029"/>
      <c r="K70" s="1030"/>
      <c r="L70" s="984"/>
      <c r="M70" s="985"/>
      <c r="N70" s="985"/>
      <c r="O70" s="985"/>
      <c r="P70" s="985"/>
      <c r="Q70" s="1548" t="s">
        <v>100</v>
      </c>
      <c r="R70" s="972"/>
      <c r="S70" s="973"/>
      <c r="T70" s="1543"/>
      <c r="U70" s="1337"/>
      <c r="V70" s="72">
        <f>IF(AND(Q70="ja",R70=""),1,0)</f>
        <v>0</v>
      </c>
      <c r="Y70" s="74"/>
      <c r="Z70" s="77"/>
      <c r="AA70" s="78"/>
      <c r="AB70" s="78">
        <f t="shared" si="0"/>
        <v>0</v>
      </c>
      <c r="AJ70" s="68"/>
      <c r="AK70" s="68"/>
    </row>
    <row r="71" spans="1:37" ht="15" customHeight="1" thickBot="1" x14ac:dyDescent="0.3">
      <c r="A71" s="1516"/>
      <c r="B71" s="1487" t="s">
        <v>388</v>
      </c>
      <c r="C71" s="1488"/>
      <c r="D71" s="1488"/>
      <c r="E71" s="1488"/>
      <c r="F71" s="1488"/>
      <c r="G71" s="1489"/>
      <c r="H71" s="981" t="s">
        <v>100</v>
      </c>
      <c r="I71" s="1017"/>
      <c r="J71" s="1029"/>
      <c r="K71" s="1030"/>
      <c r="L71" s="984"/>
      <c r="M71" s="985"/>
      <c r="N71" s="985"/>
      <c r="O71" s="985"/>
      <c r="P71" s="985"/>
      <c r="Q71" s="1548"/>
      <c r="R71" s="972"/>
      <c r="S71" s="973"/>
      <c r="T71" s="1543"/>
      <c r="U71" s="1337"/>
      <c r="V71" s="339"/>
      <c r="Y71" s="74">
        <v>2E-3</v>
      </c>
      <c r="Z71" s="77">
        <f>IF(H71="ja",Y71,0)</f>
        <v>0</v>
      </c>
      <c r="AA71" s="78"/>
      <c r="AB71" s="78">
        <f t="shared" si="0"/>
        <v>0</v>
      </c>
      <c r="AJ71" s="68"/>
      <c r="AK71" s="68"/>
    </row>
    <row r="72" spans="1:37" ht="15" customHeight="1" thickBot="1" x14ac:dyDescent="0.3">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78">
        <f t="shared" si="0"/>
        <v>0</v>
      </c>
      <c r="AJ72" s="68"/>
      <c r="AK72" s="68"/>
    </row>
    <row r="73" spans="1:37" ht="15" customHeight="1" thickBot="1" x14ac:dyDescent="0.3">
      <c r="A73" s="1516"/>
      <c r="B73" s="1490"/>
      <c r="C73" s="1491"/>
      <c r="D73" s="1491"/>
      <c r="E73" s="1491"/>
      <c r="F73" s="1491"/>
      <c r="G73" s="1492"/>
      <c r="H73" s="983"/>
      <c r="I73" s="1017"/>
      <c r="J73" s="1029"/>
      <c r="K73" s="1030"/>
      <c r="L73" s="984"/>
      <c r="M73" s="985"/>
      <c r="N73" s="985"/>
      <c r="O73" s="985"/>
      <c r="P73" s="985"/>
      <c r="Q73" s="1548" t="s">
        <v>100</v>
      </c>
      <c r="R73" s="972"/>
      <c r="S73" s="973"/>
      <c r="T73" s="1543"/>
      <c r="U73" s="1337"/>
      <c r="V73" s="72">
        <f>IF(AND(Q73="ja",R73=""),1,0)</f>
        <v>0</v>
      </c>
      <c r="Y73" s="74"/>
      <c r="Z73" s="77"/>
      <c r="AA73" s="78"/>
      <c r="AB73" s="78">
        <f t="shared" si="0"/>
        <v>0</v>
      </c>
      <c r="AJ73" s="68"/>
      <c r="AK73" s="68"/>
    </row>
    <row r="74" spans="1:37" ht="15" customHeight="1" thickBot="1" x14ac:dyDescent="0.3">
      <c r="A74" s="1516"/>
      <c r="B74" s="1487" t="s">
        <v>389</v>
      </c>
      <c r="C74" s="1488"/>
      <c r="D74" s="1488"/>
      <c r="E74" s="1488"/>
      <c r="F74" s="1488"/>
      <c r="G74" s="1489"/>
      <c r="H74" s="981" t="s">
        <v>100</v>
      </c>
      <c r="I74" s="1017"/>
      <c r="J74" s="1029"/>
      <c r="K74" s="1030"/>
      <c r="L74" s="984"/>
      <c r="M74" s="985"/>
      <c r="N74" s="985"/>
      <c r="O74" s="985"/>
      <c r="P74" s="985"/>
      <c r="Q74" s="1548"/>
      <c r="R74" s="972"/>
      <c r="S74" s="973"/>
      <c r="T74" s="1543"/>
      <c r="U74" s="1337"/>
      <c r="Y74" s="74">
        <v>7.0000000000000001E-3</v>
      </c>
      <c r="Z74" s="77">
        <f>IF(H74="ja",Y74,0)</f>
        <v>0</v>
      </c>
      <c r="AA74" s="78"/>
      <c r="AB74" s="78">
        <f t="shared" si="0"/>
        <v>0</v>
      </c>
      <c r="AJ74" s="68"/>
      <c r="AK74" s="68"/>
    </row>
    <row r="75" spans="1:37" ht="15" customHeight="1" thickBot="1" x14ac:dyDescent="0.3">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78">
        <f t="shared" si="0"/>
        <v>0</v>
      </c>
      <c r="AJ75" s="68"/>
      <c r="AK75" s="68"/>
    </row>
    <row r="76" spans="1:37" ht="15" customHeight="1" thickBot="1" x14ac:dyDescent="0.3">
      <c r="A76" s="1516"/>
      <c r="B76" s="1487" t="s">
        <v>171</v>
      </c>
      <c r="C76" s="1488"/>
      <c r="D76" s="1488"/>
      <c r="E76" s="1488"/>
      <c r="F76" s="1488"/>
      <c r="G76" s="1489"/>
      <c r="H76" s="981" t="s">
        <v>100</v>
      </c>
      <c r="I76" s="1017"/>
      <c r="J76" s="1029"/>
      <c r="K76" s="1030"/>
      <c r="L76" s="1539"/>
      <c r="M76" s="1540"/>
      <c r="N76" s="1540"/>
      <c r="O76" s="1540"/>
      <c r="P76" s="1540"/>
      <c r="Q76" s="1548" t="s">
        <v>100</v>
      </c>
      <c r="R76" s="972"/>
      <c r="S76" s="973"/>
      <c r="T76" s="1543"/>
      <c r="U76" s="1337"/>
      <c r="V76" s="72">
        <f>IF(AND(Q76="ja",R76=""),1,0)</f>
        <v>0</v>
      </c>
      <c r="Y76" s="74">
        <v>2.5000000000000001E-3</v>
      </c>
      <c r="Z76" s="77">
        <f>IF(H76="ja",Y76,0)</f>
        <v>0</v>
      </c>
      <c r="AA76" s="78"/>
      <c r="AB76" s="78">
        <f t="shared" si="0"/>
        <v>0</v>
      </c>
      <c r="AJ76" s="68"/>
      <c r="AK76" s="68"/>
    </row>
    <row r="77" spans="1:37" ht="15" customHeight="1" thickBot="1" x14ac:dyDescent="0.3">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78">
        <f t="shared" si="0"/>
        <v>0</v>
      </c>
      <c r="AJ77" s="68"/>
      <c r="AK77" s="68"/>
    </row>
    <row r="78" spans="1:37" ht="15.95" customHeight="1" thickBot="1" x14ac:dyDescent="0.3">
      <c r="A78" s="1516"/>
      <c r="B78" s="1035" t="s">
        <v>154</v>
      </c>
      <c r="C78" s="1036"/>
      <c r="D78" s="1036"/>
      <c r="E78" s="1036"/>
      <c r="F78" s="1036"/>
      <c r="G78" s="1036"/>
      <c r="H78" s="1161"/>
      <c r="I78" s="1035">
        <f>IF(J19="Kostenschätzung liegt noch nicht vor",I35,J19)</f>
        <v>33789.782639999998</v>
      </c>
      <c r="J78" s="1036"/>
      <c r="K78" s="1037"/>
      <c r="L78" s="1561">
        <f>SUM(R55:S77)</f>
        <v>0</v>
      </c>
      <c r="M78" s="1562"/>
      <c r="N78" s="1562"/>
      <c r="O78" s="1562"/>
      <c r="P78" s="1562"/>
      <c r="Q78" s="1549"/>
      <c r="R78" s="1552"/>
      <c r="S78" s="1553"/>
      <c r="T78" s="1567"/>
      <c r="U78" s="1610"/>
      <c r="Y78" s="74"/>
      <c r="Z78" s="152">
        <f>SUM(Z55:Z76)</f>
        <v>0</v>
      </c>
      <c r="AA78" s="77"/>
      <c r="AB78" s="78">
        <f t="shared" si="0"/>
        <v>0</v>
      </c>
      <c r="AJ78" s="68"/>
      <c r="AK78" s="68"/>
    </row>
    <row r="79" spans="1:37" ht="14.55" thickBot="1" x14ac:dyDescent="0.3">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78">
        <f t="shared" si="0"/>
        <v>0</v>
      </c>
      <c r="AJ79" s="68"/>
      <c r="AK79" s="68"/>
    </row>
    <row r="80" spans="1:37" ht="14.55" thickBot="1" x14ac:dyDescent="0.3">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78">
        <f t="shared" si="0"/>
        <v>0</v>
      </c>
      <c r="AJ80" s="68"/>
      <c r="AK80" s="68"/>
    </row>
    <row r="81" spans="1:37"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78">
        <f t="shared" si="0"/>
        <v>0</v>
      </c>
      <c r="AJ81" s="68"/>
      <c r="AK81" s="68"/>
    </row>
    <row r="82" spans="1:37" ht="15" customHeight="1" thickBot="1" x14ac:dyDescent="0.3">
      <c r="A82" s="1516"/>
      <c r="B82" s="1497" t="s">
        <v>391</v>
      </c>
      <c r="C82" s="1498"/>
      <c r="D82" s="1498"/>
      <c r="E82" s="1498"/>
      <c r="F82" s="1498"/>
      <c r="G82" s="1499"/>
      <c r="H82" s="1194" t="s">
        <v>100</v>
      </c>
      <c r="I82" s="1016">
        <f>Z115</f>
        <v>0</v>
      </c>
      <c r="J82" s="1027">
        <f>I78*I82</f>
        <v>0</v>
      </c>
      <c r="K82" s="1028"/>
      <c r="L82" s="987" t="s">
        <v>392</v>
      </c>
      <c r="M82" s="988"/>
      <c r="N82" s="988"/>
      <c r="O82" s="988"/>
      <c r="P82" s="988"/>
      <c r="Q82" s="1548" t="s">
        <v>100</v>
      </c>
      <c r="R82" s="972"/>
      <c r="S82" s="973"/>
      <c r="T82" s="1257" t="str">
        <f>IFERROR(IF((VLOOKUP(U82,Überblick!$M$125:$N$133,2))="ja","ja","nein"),"")</f>
        <v/>
      </c>
      <c r="U82" s="1337"/>
      <c r="V82" s="72">
        <f>IF(AND(Q82="ja",R82=""),1,0)</f>
        <v>0</v>
      </c>
      <c r="Y82" s="74">
        <v>5.5E-2</v>
      </c>
      <c r="Z82" s="77">
        <f>IF(H82="ja",Y82,0)</f>
        <v>0</v>
      </c>
      <c r="AA82" s="78"/>
      <c r="AB82" s="78">
        <f t="shared" si="0"/>
        <v>0</v>
      </c>
      <c r="AJ82" s="68"/>
      <c r="AK82" s="68"/>
    </row>
    <row r="83" spans="1:37" ht="15" customHeight="1" thickBot="1" x14ac:dyDescent="0.3">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78">
        <f t="shared" si="0"/>
        <v>0</v>
      </c>
      <c r="AJ83" s="68"/>
      <c r="AK83" s="68"/>
    </row>
    <row r="84" spans="1:37" ht="15" customHeight="1" thickBot="1" x14ac:dyDescent="0.3">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78">
        <f t="shared" si="0"/>
        <v>0</v>
      </c>
      <c r="AJ84" s="68"/>
      <c r="AK84" s="68"/>
    </row>
    <row r="85" spans="1:37" ht="15" customHeight="1" thickBot="1" x14ac:dyDescent="0.3">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78">
        <f t="shared" si="0"/>
        <v>0</v>
      </c>
      <c r="AJ85" s="68"/>
      <c r="AK85" s="68"/>
    </row>
    <row r="86" spans="1:37" ht="15" customHeight="1" thickBot="1" x14ac:dyDescent="0.3">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78">
        <f t="shared" si="0"/>
        <v>0</v>
      </c>
      <c r="AJ86" s="68"/>
      <c r="AK86" s="68"/>
    </row>
    <row r="87" spans="1:37" ht="15" customHeight="1" thickBot="1" x14ac:dyDescent="0.3">
      <c r="A87" s="1516"/>
      <c r="B87" s="1103" t="s">
        <v>394</v>
      </c>
      <c r="C87" s="1104"/>
      <c r="D87" s="1104"/>
      <c r="E87" s="1104"/>
      <c r="F87" s="1104"/>
      <c r="G87" s="1105"/>
      <c r="H87" s="314" t="s">
        <v>100</v>
      </c>
      <c r="I87" s="1017"/>
      <c r="J87" s="1029"/>
      <c r="K87" s="1030"/>
      <c r="L87" s="984"/>
      <c r="M87" s="985"/>
      <c r="N87" s="985"/>
      <c r="O87" s="985"/>
      <c r="P87" s="985"/>
      <c r="Q87" s="1548"/>
      <c r="R87" s="972"/>
      <c r="S87" s="973"/>
      <c r="T87" s="1258"/>
      <c r="U87" s="1337"/>
      <c r="Y87" s="74">
        <v>2.5000000000000001E-3</v>
      </c>
      <c r="Z87" s="77">
        <f>IF(H87="ja",Y87,0)</f>
        <v>0</v>
      </c>
      <c r="AA87" s="78"/>
      <c r="AB87" s="78">
        <f t="shared" si="0"/>
        <v>0</v>
      </c>
      <c r="AJ87" s="68"/>
      <c r="AK87" s="68"/>
    </row>
    <row r="88" spans="1:37" ht="15" customHeight="1" thickBot="1" x14ac:dyDescent="0.3">
      <c r="A88" s="1516"/>
      <c r="B88" s="1487" t="s">
        <v>395</v>
      </c>
      <c r="C88" s="1488"/>
      <c r="D88" s="1488"/>
      <c r="E88" s="1488"/>
      <c r="F88" s="1488"/>
      <c r="G88" s="1489"/>
      <c r="H88" s="981" t="s">
        <v>100</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0</v>
      </c>
      <c r="AA88" s="78"/>
      <c r="AB88" s="78">
        <f t="shared" si="0"/>
        <v>0</v>
      </c>
      <c r="AJ88" s="68"/>
      <c r="AK88" s="68"/>
    </row>
    <row r="89" spans="1:37" ht="15" customHeight="1" thickBot="1" x14ac:dyDescent="0.3">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78">
        <f t="shared" si="0"/>
        <v>0</v>
      </c>
      <c r="AJ89" s="68"/>
      <c r="AK89" s="68"/>
    </row>
    <row r="90" spans="1:37" ht="15" customHeight="1" thickBot="1" x14ac:dyDescent="0.3">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78">
        <f t="shared" si="0"/>
        <v>0</v>
      </c>
      <c r="AJ90" s="68"/>
      <c r="AK90" s="68"/>
    </row>
    <row r="91" spans="1:37" ht="15" customHeight="1" thickBot="1" x14ac:dyDescent="0.3">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78">
        <f t="shared" si="0"/>
        <v>0</v>
      </c>
      <c r="AJ91" s="68"/>
      <c r="AK91" s="68"/>
    </row>
    <row r="92" spans="1:37" ht="15" customHeight="1" thickBot="1" x14ac:dyDescent="0.3">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78">
        <f t="shared" si="0"/>
        <v>0</v>
      </c>
      <c r="AJ92" s="68"/>
      <c r="AK92" s="68"/>
    </row>
    <row r="93" spans="1:37" ht="15" customHeight="1" thickBot="1" x14ac:dyDescent="0.3">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78">
        <f t="shared" si="0"/>
        <v>0</v>
      </c>
      <c r="AJ93" s="68"/>
      <c r="AK93" s="68"/>
    </row>
    <row r="94" spans="1:37" ht="15" customHeight="1" thickBot="1" x14ac:dyDescent="0.3">
      <c r="A94" s="1516"/>
      <c r="B94" s="1493"/>
      <c r="C94" s="1317"/>
      <c r="D94" s="1317"/>
      <c r="E94" s="1317"/>
      <c r="F94" s="1317"/>
      <c r="G94" s="1494"/>
      <c r="H94" s="982"/>
      <c r="I94" s="1017"/>
      <c r="J94" s="1029"/>
      <c r="K94" s="1030"/>
      <c r="L94" s="984" t="s">
        <v>192</v>
      </c>
      <c r="M94" s="985"/>
      <c r="N94" s="985"/>
      <c r="O94" s="985"/>
      <c r="P94" s="985"/>
      <c r="Q94" s="1548" t="s">
        <v>100</v>
      </c>
      <c r="R94" s="972"/>
      <c r="S94" s="973"/>
      <c r="T94" s="1258"/>
      <c r="U94" s="1337"/>
      <c r="V94" s="72">
        <f>IF(AND(Q94="ja",R94=""),1,0)</f>
        <v>0</v>
      </c>
      <c r="Y94" s="74"/>
      <c r="Z94" s="77"/>
      <c r="AA94" s="78"/>
      <c r="AB94" s="78">
        <f t="shared" si="0"/>
        <v>0</v>
      </c>
      <c r="AJ94" s="68"/>
      <c r="AK94" s="68"/>
    </row>
    <row r="95" spans="1:37" ht="15" customHeight="1" thickBot="1" x14ac:dyDescent="0.3">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78">
        <f t="shared" si="0"/>
        <v>0</v>
      </c>
      <c r="AJ95" s="68"/>
      <c r="AK95" s="68"/>
    </row>
    <row r="96" spans="1:37" ht="15" customHeight="1" thickBot="1" x14ac:dyDescent="0.3">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78">
        <f t="shared" si="0"/>
        <v>0</v>
      </c>
      <c r="AJ96" s="68"/>
      <c r="AK96" s="68"/>
    </row>
    <row r="97" spans="1:37" ht="15" customHeight="1" thickBot="1" x14ac:dyDescent="0.3">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78">
        <f t="shared" si="0"/>
        <v>0</v>
      </c>
      <c r="AJ97" s="68"/>
      <c r="AK97" s="68"/>
    </row>
    <row r="98" spans="1:37" ht="15" customHeight="1" thickBot="1" x14ac:dyDescent="0.3">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78">
        <f t="shared" si="0"/>
        <v>0</v>
      </c>
      <c r="AJ98" s="68"/>
      <c r="AK98" s="68"/>
    </row>
    <row r="99" spans="1:37" ht="15" customHeight="1" thickBot="1" x14ac:dyDescent="0.3">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78">
        <f t="shared" si="0"/>
        <v>0</v>
      </c>
      <c r="AJ99" s="68"/>
      <c r="AK99" s="68"/>
    </row>
    <row r="100" spans="1:37" ht="15" customHeight="1" thickBot="1" x14ac:dyDescent="0.3">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78">
        <f t="shared" si="0"/>
        <v>0</v>
      </c>
      <c r="AJ100" s="68"/>
      <c r="AK100" s="68"/>
    </row>
    <row r="101" spans="1:37" ht="15" customHeight="1" thickBot="1" x14ac:dyDescent="0.3">
      <c r="A101" s="1516"/>
      <c r="B101" s="1487" t="s">
        <v>398</v>
      </c>
      <c r="C101" s="1488"/>
      <c r="D101" s="1488"/>
      <c r="E101" s="1488"/>
      <c r="F101" s="1488"/>
      <c r="G101" s="1489"/>
      <c r="H101" s="981" t="s">
        <v>100</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0</v>
      </c>
      <c r="AA101" s="78"/>
      <c r="AB101" s="78">
        <f t="shared" si="0"/>
        <v>0</v>
      </c>
      <c r="AJ101" s="68"/>
      <c r="AK101" s="68"/>
    </row>
    <row r="102" spans="1:37" ht="15" customHeight="1" thickBot="1" x14ac:dyDescent="0.3">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78">
        <f t="shared" si="0"/>
        <v>0</v>
      </c>
      <c r="AJ102" s="68"/>
      <c r="AK102" s="68"/>
    </row>
    <row r="103" spans="1:37" ht="15" customHeight="1" thickBot="1" x14ac:dyDescent="0.3">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78">
        <f t="shared" si="0"/>
        <v>0</v>
      </c>
      <c r="AJ103" s="68"/>
      <c r="AK103" s="68"/>
    </row>
    <row r="104" spans="1:37" ht="15" customHeight="1" thickBot="1" x14ac:dyDescent="0.3">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78">
        <f t="shared" ref="AB104:AB167" si="1">IF(Q104="ja",1,0)</f>
        <v>0</v>
      </c>
      <c r="AJ104" s="68"/>
      <c r="AK104" s="68"/>
    </row>
    <row r="105" spans="1:37" ht="15" customHeight="1" thickBot="1" x14ac:dyDescent="0.3">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78">
        <f t="shared" si="1"/>
        <v>0</v>
      </c>
      <c r="AJ105" s="68"/>
      <c r="AK105" s="68"/>
    </row>
    <row r="106" spans="1:37" ht="15" customHeight="1" thickBot="1" x14ac:dyDescent="0.3">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78">
        <f t="shared" si="1"/>
        <v>0</v>
      </c>
      <c r="AJ106" s="68"/>
      <c r="AK106" s="68"/>
    </row>
    <row r="107" spans="1:37" ht="15" customHeight="1" thickBot="1" x14ac:dyDescent="0.3">
      <c r="A107" s="1516"/>
      <c r="B107" s="1487" t="s">
        <v>399</v>
      </c>
      <c r="C107" s="1488"/>
      <c r="D107" s="1488"/>
      <c r="E107" s="1488"/>
      <c r="F107" s="1488"/>
      <c r="G107" s="1489"/>
      <c r="H107" s="981" t="s">
        <v>100</v>
      </c>
      <c r="I107" s="1017"/>
      <c r="J107" s="1029"/>
      <c r="K107" s="1030"/>
      <c r="L107" s="984"/>
      <c r="M107" s="985"/>
      <c r="N107" s="985"/>
      <c r="O107" s="985"/>
      <c r="P107" s="985"/>
      <c r="Q107" s="1548" t="s">
        <v>100</v>
      </c>
      <c r="R107" s="972"/>
      <c r="S107" s="973"/>
      <c r="T107" s="1258"/>
      <c r="U107" s="1337"/>
      <c r="V107" s="72">
        <f>IF(AND(Q107="ja",R107=""),1,0)</f>
        <v>0</v>
      </c>
      <c r="Y107" s="74">
        <v>1.5E-3</v>
      </c>
      <c r="Z107" s="77">
        <f>IF(H107="ja",Y107,0)</f>
        <v>0</v>
      </c>
      <c r="AA107" s="78"/>
      <c r="AB107" s="78">
        <f t="shared" si="1"/>
        <v>0</v>
      </c>
      <c r="AJ107" s="68"/>
      <c r="AK107" s="68"/>
    </row>
    <row r="108" spans="1:37" ht="15" customHeight="1" thickBot="1" x14ac:dyDescent="0.3">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78">
        <f t="shared" si="1"/>
        <v>0</v>
      </c>
      <c r="AJ108" s="68"/>
      <c r="AK108" s="68"/>
    </row>
    <row r="109" spans="1:37" ht="15" customHeight="1" thickBot="1" x14ac:dyDescent="0.3">
      <c r="A109" s="1516"/>
      <c r="B109" s="1487" t="s">
        <v>400</v>
      </c>
      <c r="C109" s="1488"/>
      <c r="D109" s="1488"/>
      <c r="E109" s="1488"/>
      <c r="F109" s="1488"/>
      <c r="G109" s="1489"/>
      <c r="H109" s="981" t="s">
        <v>100</v>
      </c>
      <c r="I109" s="1017"/>
      <c r="J109" s="1029"/>
      <c r="K109" s="1030"/>
      <c r="L109" s="984"/>
      <c r="M109" s="985"/>
      <c r="N109" s="985"/>
      <c r="O109" s="985"/>
      <c r="P109" s="985"/>
      <c r="Q109" s="1548"/>
      <c r="R109" s="972"/>
      <c r="S109" s="973"/>
      <c r="T109" s="1258"/>
      <c r="U109" s="1337"/>
      <c r="V109" s="339"/>
      <c r="Y109" s="74">
        <v>6.4999999999999997E-3</v>
      </c>
      <c r="Z109" s="77">
        <f>IF(H109="ja",Y109,0)</f>
        <v>0</v>
      </c>
      <c r="AA109" s="78"/>
      <c r="AB109" s="78">
        <f t="shared" si="1"/>
        <v>0</v>
      </c>
      <c r="AJ109" s="68"/>
      <c r="AK109" s="68"/>
    </row>
    <row r="110" spans="1:37" ht="15" customHeight="1" thickBot="1" x14ac:dyDescent="0.3">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78">
        <f t="shared" si="1"/>
        <v>0</v>
      </c>
      <c r="AJ110" s="68"/>
      <c r="AK110" s="68"/>
    </row>
    <row r="111" spans="1:37" ht="15" customHeight="1" thickBot="1" x14ac:dyDescent="0.3">
      <c r="A111" s="1516"/>
      <c r="B111" s="1487" t="s">
        <v>401</v>
      </c>
      <c r="C111" s="1488"/>
      <c r="D111" s="1488"/>
      <c r="E111" s="1488"/>
      <c r="F111" s="1488"/>
      <c r="G111" s="1489"/>
      <c r="H111" s="981" t="s">
        <v>100</v>
      </c>
      <c r="I111" s="1017"/>
      <c r="J111" s="1029"/>
      <c r="K111" s="1030"/>
      <c r="L111" s="984"/>
      <c r="M111" s="985"/>
      <c r="N111" s="985"/>
      <c r="O111" s="985"/>
      <c r="P111" s="985"/>
      <c r="Q111" s="1548"/>
      <c r="R111" s="972"/>
      <c r="S111" s="973"/>
      <c r="T111" s="1258"/>
      <c r="U111" s="1337"/>
      <c r="Y111" s="74">
        <v>1E-3</v>
      </c>
      <c r="Z111" s="77">
        <f>IF(H111="ja",Y111,0)</f>
        <v>0</v>
      </c>
      <c r="AA111" s="78"/>
      <c r="AB111" s="78">
        <f t="shared" si="1"/>
        <v>0</v>
      </c>
      <c r="AJ111" s="68"/>
      <c r="AK111" s="68"/>
    </row>
    <row r="112" spans="1:37" ht="15" customHeight="1" thickBot="1" x14ac:dyDescent="0.3">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78">
        <f t="shared" si="1"/>
        <v>0</v>
      </c>
      <c r="AJ112" s="68"/>
      <c r="AK112" s="68"/>
    </row>
    <row r="113" spans="1:37" ht="15" customHeight="1" thickBot="1" x14ac:dyDescent="0.3">
      <c r="A113" s="1516"/>
      <c r="B113" s="1487" t="s">
        <v>171</v>
      </c>
      <c r="C113" s="1488"/>
      <c r="D113" s="1488"/>
      <c r="E113" s="1488"/>
      <c r="F113" s="1488"/>
      <c r="G113" s="1489"/>
      <c r="H113" s="981" t="s">
        <v>100</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0</v>
      </c>
      <c r="AA113" s="78"/>
      <c r="AB113" s="78">
        <f t="shared" si="1"/>
        <v>0</v>
      </c>
      <c r="AJ113" s="68"/>
      <c r="AK113" s="68"/>
    </row>
    <row r="114" spans="1:37" ht="15" customHeight="1" thickBot="1" x14ac:dyDescent="0.3">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78">
        <f t="shared" si="1"/>
        <v>0</v>
      </c>
      <c r="AJ114" s="68"/>
      <c r="AK114" s="68"/>
    </row>
    <row r="115" spans="1:37" ht="15" customHeight="1" x14ac:dyDescent="0.25">
      <c r="A115" s="1516"/>
      <c r="B115" s="1035" t="s">
        <v>154</v>
      </c>
      <c r="C115" s="1036"/>
      <c r="D115" s="1036"/>
      <c r="E115" s="1036"/>
      <c r="F115" s="1036"/>
      <c r="G115" s="1036"/>
      <c r="H115" s="1161"/>
      <c r="I115" s="1035">
        <f>IF(N19="Kostenberechnung liegt noch nicht vor",I78,N19)</f>
        <v>33789.782639999998</v>
      </c>
      <c r="J115" s="1036"/>
      <c r="K115" s="1037"/>
      <c r="L115" s="1561">
        <f>SUM(R82:S114)</f>
        <v>0</v>
      </c>
      <c r="M115" s="1562"/>
      <c r="N115" s="1562"/>
      <c r="O115" s="1562"/>
      <c r="P115" s="1580"/>
      <c r="Q115" s="1549"/>
      <c r="R115" s="1552"/>
      <c r="S115" s="1553"/>
      <c r="T115" s="1567"/>
      <c r="U115" s="1567"/>
      <c r="Y115" s="74"/>
      <c r="Z115" s="152">
        <f>SUM(Z82:Z113)</f>
        <v>0</v>
      </c>
      <c r="AA115" s="78"/>
      <c r="AB115" s="78">
        <f t="shared" si="1"/>
        <v>0</v>
      </c>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550"/>
      <c r="R116" s="1554"/>
      <c r="S116" s="1555"/>
      <c r="T116" s="1568"/>
      <c r="U116" s="1568"/>
      <c r="AA116" s="78"/>
      <c r="AB116" s="78">
        <f t="shared" si="1"/>
        <v>0</v>
      </c>
      <c r="AJ116" s="68"/>
      <c r="AK116" s="68"/>
    </row>
    <row r="117" spans="1:37"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556"/>
      <c r="S117" s="1557"/>
      <c r="T117" s="1568"/>
      <c r="U117" s="1569"/>
      <c r="AA117" s="78"/>
      <c r="AB117" s="78">
        <f t="shared" si="1"/>
        <v>0</v>
      </c>
      <c r="AJ117" s="68"/>
      <c r="AK117" s="68"/>
    </row>
    <row r="118" spans="1:37"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78">
        <f t="shared" si="1"/>
        <v>0</v>
      </c>
      <c r="AJ118" s="68"/>
      <c r="AK118" s="68"/>
    </row>
    <row r="119" spans="1:37" ht="15" customHeight="1" thickBot="1" x14ac:dyDescent="0.3">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78">
        <f t="shared" si="1"/>
        <v>0</v>
      </c>
      <c r="AJ119" s="68"/>
      <c r="AK119" s="68"/>
    </row>
    <row r="120" spans="1:37" ht="15" customHeight="1" thickBot="1" x14ac:dyDescent="0.3">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78">
        <f t="shared" si="1"/>
        <v>0</v>
      </c>
      <c r="AJ120" s="68"/>
      <c r="AK120" s="68"/>
    </row>
    <row r="121" spans="1:37" ht="15" customHeight="1" thickBot="1" x14ac:dyDescent="0.3">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78">
        <f t="shared" si="1"/>
        <v>0</v>
      </c>
      <c r="AJ121" s="68"/>
      <c r="AK121" s="68"/>
    </row>
    <row r="122" spans="1:37" ht="15" customHeight="1" thickBot="1" x14ac:dyDescent="0.3">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78">
        <f t="shared" si="1"/>
        <v>0</v>
      </c>
      <c r="AJ122" s="68"/>
      <c r="AK122" s="68"/>
    </row>
    <row r="123" spans="1:37" ht="15" customHeight="1" thickBot="1" x14ac:dyDescent="0.3">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78">
        <f t="shared" si="1"/>
        <v>0</v>
      </c>
      <c r="AJ123" s="68"/>
      <c r="AK123" s="68"/>
    </row>
    <row r="124" spans="1:37" ht="15" customHeight="1" thickBot="1" x14ac:dyDescent="0.3">
      <c r="A124" s="1516"/>
      <c r="B124" s="1487" t="s">
        <v>403</v>
      </c>
      <c r="C124" s="1488"/>
      <c r="D124" s="1488"/>
      <c r="E124" s="1488"/>
      <c r="F124" s="1488"/>
      <c r="G124" s="1489"/>
      <c r="H124" s="981" t="s">
        <v>100</v>
      </c>
      <c r="I124" s="1017"/>
      <c r="J124" s="1029"/>
      <c r="K124" s="1030"/>
      <c r="L124" s="984"/>
      <c r="M124" s="985"/>
      <c r="N124" s="985"/>
      <c r="O124" s="985"/>
      <c r="P124" s="985"/>
      <c r="Q124" s="1548"/>
      <c r="R124" s="972"/>
      <c r="S124" s="973"/>
      <c r="T124" s="1258"/>
      <c r="U124" s="1337"/>
      <c r="Y124" s="74">
        <v>2.5000000000000001E-3</v>
      </c>
      <c r="Z124" s="77">
        <f>IF(H124="ja",Y124,0)</f>
        <v>0</v>
      </c>
      <c r="AA124" s="77"/>
      <c r="AB124" s="78">
        <f t="shared" si="1"/>
        <v>0</v>
      </c>
      <c r="AJ124" s="68"/>
      <c r="AK124" s="68"/>
    </row>
    <row r="125" spans="1:37" ht="15" customHeight="1" thickBot="1" x14ac:dyDescent="0.3">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78">
        <f t="shared" si="1"/>
        <v>0</v>
      </c>
      <c r="AJ125" s="68"/>
      <c r="AK125" s="68"/>
    </row>
    <row r="126" spans="1:37" ht="15" customHeight="1" thickBot="1" x14ac:dyDescent="0.3">
      <c r="A126" s="1516"/>
      <c r="B126" s="1490"/>
      <c r="C126" s="1491"/>
      <c r="D126" s="1491"/>
      <c r="E126" s="1491"/>
      <c r="F126" s="1491"/>
      <c r="G126" s="1492"/>
      <c r="H126" s="983"/>
      <c r="I126" s="1018"/>
      <c r="J126" s="1031"/>
      <c r="K126" s="1032"/>
      <c r="L126" s="1559"/>
      <c r="M126" s="1560"/>
      <c r="N126" s="1560"/>
      <c r="O126" s="1560"/>
      <c r="P126" s="1560"/>
      <c r="Q126" s="1548"/>
      <c r="R126" s="972"/>
      <c r="S126" s="973"/>
      <c r="T126" s="1611"/>
      <c r="U126" s="1337"/>
      <c r="V126" s="339"/>
      <c r="Y126" s="74"/>
      <c r="Z126" s="77"/>
      <c r="AA126" s="78"/>
      <c r="AB126" s="78">
        <f t="shared" si="1"/>
        <v>0</v>
      </c>
      <c r="AJ126" s="68"/>
      <c r="AK126" s="68"/>
    </row>
    <row r="127" spans="1:37"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78">
        <f t="shared" si="1"/>
        <v>0</v>
      </c>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78">
        <f t="shared" si="1"/>
        <v>0</v>
      </c>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78">
        <f t="shared" si="1"/>
        <v>0</v>
      </c>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78">
        <f t="shared" si="1"/>
        <v>0</v>
      </c>
      <c r="AJ130" s="68"/>
      <c r="AK130" s="68"/>
    </row>
    <row r="131" spans="1:37" ht="14.25" customHeight="1" x14ac:dyDescent="0.25">
      <c r="A131" s="1523"/>
      <c r="B131" s="1493"/>
      <c r="C131" s="1317"/>
      <c r="D131" s="1317"/>
      <c r="E131" s="1317"/>
      <c r="F131" s="1317"/>
      <c r="G131" s="1494"/>
      <c r="H131" s="982"/>
      <c r="I131" s="1663"/>
      <c r="J131" s="1528"/>
      <c r="K131" s="1529"/>
      <c r="L131" s="984" t="s">
        <v>406</v>
      </c>
      <c r="M131" s="985"/>
      <c r="N131" s="985"/>
      <c r="O131" s="985"/>
      <c r="P131" s="985"/>
      <c r="Q131" s="978" t="s">
        <v>100</v>
      </c>
      <c r="R131" s="972"/>
      <c r="S131" s="973"/>
      <c r="T131" s="1621"/>
      <c r="U131" s="1372"/>
      <c r="V131" s="72">
        <f>IF(AND(Q131="ja",R131=""),1,0)</f>
        <v>0</v>
      </c>
      <c r="Y131" s="74"/>
      <c r="Z131" s="77"/>
      <c r="AA131" s="78"/>
      <c r="AB131" s="78">
        <f t="shared" si="1"/>
        <v>0</v>
      </c>
      <c r="AJ131" s="68"/>
      <c r="AK131" s="68"/>
    </row>
    <row r="132" spans="1:37" ht="14.25" customHeight="1" x14ac:dyDescent="0.25">
      <c r="A132" s="1523"/>
      <c r="B132" s="1490"/>
      <c r="C132" s="1491"/>
      <c r="D132" s="1491"/>
      <c r="E132" s="1491"/>
      <c r="F132" s="1491"/>
      <c r="G132" s="1492"/>
      <c r="H132" s="983"/>
      <c r="I132" s="1663"/>
      <c r="J132" s="1528"/>
      <c r="K132" s="1529"/>
      <c r="L132" s="984"/>
      <c r="M132" s="985"/>
      <c r="N132" s="985"/>
      <c r="O132" s="985"/>
      <c r="P132" s="985"/>
      <c r="Q132" s="978"/>
      <c r="R132" s="972"/>
      <c r="S132" s="973"/>
      <c r="T132" s="1621"/>
      <c r="U132" s="1372"/>
      <c r="Y132" s="74"/>
      <c r="Z132" s="77"/>
      <c r="AA132" s="78"/>
      <c r="AB132" s="78">
        <f t="shared" si="1"/>
        <v>0</v>
      </c>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78">
        <f t="shared" si="1"/>
        <v>0</v>
      </c>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78">
        <f t="shared" si="1"/>
        <v>0</v>
      </c>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78">
        <f t="shared" si="1"/>
        <v>0</v>
      </c>
      <c r="AJ135" s="68"/>
      <c r="AK135" s="68"/>
    </row>
    <row r="136" spans="1:37"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1005"/>
      <c r="S136" s="1006"/>
      <c r="T136" s="1621"/>
      <c r="U136" s="1372"/>
      <c r="V136" s="72">
        <f>IF(AND(Q136="ja",R136=""),1,0)</f>
        <v>0</v>
      </c>
      <c r="AA136" s="78"/>
      <c r="AB136" s="78">
        <f t="shared" si="1"/>
        <v>0</v>
      </c>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1007"/>
      <c r="S137" s="1008"/>
      <c r="T137" s="1621"/>
      <c r="U137" s="1372"/>
      <c r="Y137" s="74"/>
      <c r="Z137" s="77"/>
      <c r="AA137" s="78"/>
      <c r="AB137" s="78">
        <f t="shared" si="1"/>
        <v>0</v>
      </c>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1269"/>
      <c r="S138" s="1270"/>
      <c r="T138" s="1621"/>
      <c r="U138" s="1372"/>
      <c r="Y138" s="74"/>
      <c r="Z138" s="77"/>
      <c r="AA138" s="78"/>
      <c r="AB138" s="78">
        <f t="shared" si="1"/>
        <v>0</v>
      </c>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78">
        <f t="shared" si="1"/>
        <v>0</v>
      </c>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78">
        <f t="shared" si="1"/>
        <v>0</v>
      </c>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78">
        <f t="shared" si="1"/>
        <v>0</v>
      </c>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78">
        <f t="shared" si="1"/>
        <v>0</v>
      </c>
      <c r="AJ142" s="68"/>
      <c r="AK142" s="68"/>
    </row>
    <row r="143" spans="1:37" x14ac:dyDescent="0.25">
      <c r="A143" s="496" t="s">
        <v>210</v>
      </c>
      <c r="B143" s="1103" t="s">
        <v>409</v>
      </c>
      <c r="C143" s="1104"/>
      <c r="D143" s="1104"/>
      <c r="E143" s="1104"/>
      <c r="F143" s="1104"/>
      <c r="G143" s="1105"/>
      <c r="H143" s="314" t="s">
        <v>100</v>
      </c>
      <c r="I143" s="328">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78">
        <f t="shared" si="1"/>
        <v>0</v>
      </c>
      <c r="AJ143" s="68"/>
      <c r="AK143" s="68"/>
    </row>
    <row r="144" spans="1:37" x14ac:dyDescent="0.25">
      <c r="A144" s="496" t="s">
        <v>212</v>
      </c>
      <c r="B144" s="1103" t="s">
        <v>410</v>
      </c>
      <c r="C144" s="1104"/>
      <c r="D144" s="1104"/>
      <c r="E144" s="1104"/>
      <c r="F144" s="1104"/>
      <c r="G144" s="1105"/>
      <c r="H144" s="314" t="s">
        <v>100</v>
      </c>
      <c r="I144" s="328">
        <f>Z144</f>
        <v>0</v>
      </c>
      <c r="J144" s="1537">
        <f>I144*$I$115</f>
        <v>0</v>
      </c>
      <c r="K144" s="1538"/>
      <c r="L144" s="1532"/>
      <c r="M144" s="1533"/>
      <c r="N144" s="1533"/>
      <c r="O144" s="1533"/>
      <c r="P144" s="1533"/>
      <c r="Q144" s="329" t="s">
        <v>100</v>
      </c>
      <c r="R144" s="1724"/>
      <c r="S144" s="1725"/>
      <c r="T144" s="527" t="str">
        <f>IFERROR(IF((VLOOKUP(U144,Überblick!$M$125:$N$133,2))="ja","ja","nein"),"")</f>
        <v/>
      </c>
      <c r="U144" s="336"/>
      <c r="V144" s="72">
        <f>IF(AND(Q144="ja",R144=""),1,0)</f>
        <v>0</v>
      </c>
      <c r="Y144" s="74">
        <v>5.0000000000000001E-3</v>
      </c>
      <c r="Z144" s="77">
        <f>IF(H144="ja",Y144,0)</f>
        <v>0</v>
      </c>
      <c r="AA144" s="78"/>
      <c r="AB144" s="78">
        <f t="shared" si="1"/>
        <v>0</v>
      </c>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78">
        <f t="shared" si="1"/>
        <v>0</v>
      </c>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78">
        <f t="shared" si="1"/>
        <v>0</v>
      </c>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78">
        <f t="shared" si="1"/>
        <v>0</v>
      </c>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78">
        <f t="shared" si="1"/>
        <v>0</v>
      </c>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78">
        <f t="shared" si="1"/>
        <v>0</v>
      </c>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78">
        <f t="shared" si="1"/>
        <v>0</v>
      </c>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78">
        <f t="shared" si="1"/>
        <v>0</v>
      </c>
      <c r="AJ151" s="68"/>
      <c r="AK151" s="68"/>
    </row>
    <row r="152" spans="1:37"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78">
        <f t="shared" si="1"/>
        <v>0</v>
      </c>
      <c r="AJ152" s="68"/>
      <c r="AK152" s="68"/>
    </row>
    <row r="153" spans="1:37" ht="14.55" thickBot="1" x14ac:dyDescent="0.3">
      <c r="A153" s="1595" t="s">
        <v>501</v>
      </c>
      <c r="B153" s="1511" t="s">
        <v>502</v>
      </c>
      <c r="C153" s="1512"/>
      <c r="D153" s="1512"/>
      <c r="E153" s="1512"/>
      <c r="F153" s="1512"/>
      <c r="G153" s="1513"/>
      <c r="H153" s="342"/>
      <c r="I153" s="1361"/>
      <c r="J153" s="1362"/>
      <c r="K153" s="1362"/>
      <c r="L153" s="1534">
        <f>SUM(Q128:R152)</f>
        <v>0</v>
      </c>
      <c r="M153" s="1535"/>
      <c r="N153" s="1535"/>
      <c r="O153" s="1535"/>
      <c r="P153" s="1535"/>
      <c r="Q153" s="338"/>
      <c r="R153" s="1495"/>
      <c r="S153" s="1496"/>
      <c r="U153" s="334"/>
      <c r="Y153" s="74"/>
      <c r="Z153" s="152">
        <f>SUM(Z128:Z150)</f>
        <v>0</v>
      </c>
      <c r="AA153" s="78"/>
      <c r="AB153" s="78">
        <f t="shared" si="1"/>
        <v>0</v>
      </c>
      <c r="AJ153" s="68"/>
      <c r="AK153" s="68"/>
    </row>
    <row r="154" spans="1:37" ht="15" customHeight="1" thickBot="1" x14ac:dyDescent="0.3">
      <c r="A154" s="1595"/>
      <c r="B154" s="1497" t="s">
        <v>415</v>
      </c>
      <c r="C154" s="1498"/>
      <c r="D154" s="1498"/>
      <c r="E154" s="1498"/>
      <c r="F154" s="1498"/>
      <c r="G154" s="1499"/>
      <c r="H154" s="1194" t="s">
        <v>100</v>
      </c>
      <c r="I154" s="1016">
        <f>Z177</f>
        <v>0</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78">
        <f t="shared" si="1"/>
        <v>0</v>
      </c>
      <c r="AJ154" s="68"/>
      <c r="AK154" s="68"/>
    </row>
    <row r="155" spans="1:37" ht="15" customHeight="1" thickBot="1" x14ac:dyDescent="0.3">
      <c r="A155" s="159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78">
        <f t="shared" si="1"/>
        <v>0</v>
      </c>
      <c r="AJ155" s="68"/>
      <c r="AK155" s="68"/>
    </row>
    <row r="156" spans="1:37" ht="15" customHeight="1" thickBot="1" x14ac:dyDescent="0.3">
      <c r="A156" s="159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78">
        <f t="shared" si="1"/>
        <v>0</v>
      </c>
      <c r="AJ156" s="68"/>
      <c r="AK156" s="68"/>
    </row>
    <row r="157" spans="1:37" ht="15" customHeight="1" thickBot="1" x14ac:dyDescent="0.3">
      <c r="A157" s="1595"/>
      <c r="B157" s="1487" t="s">
        <v>417</v>
      </c>
      <c r="C157" s="1488"/>
      <c r="D157" s="1488"/>
      <c r="E157" s="1488"/>
      <c r="F157" s="1488"/>
      <c r="G157" s="1489"/>
      <c r="H157" s="981" t="s">
        <v>100</v>
      </c>
      <c r="I157" s="1017"/>
      <c r="J157" s="1029"/>
      <c r="K157" s="1030"/>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78">
        <f t="shared" si="1"/>
        <v>0</v>
      </c>
      <c r="AJ157" s="68"/>
      <c r="AK157" s="68"/>
    </row>
    <row r="158" spans="1:37" ht="15" customHeight="1" thickBot="1" x14ac:dyDescent="0.3">
      <c r="A158" s="159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78">
        <f t="shared" si="1"/>
        <v>0</v>
      </c>
      <c r="AJ158" s="68"/>
      <c r="AK158" s="68"/>
    </row>
    <row r="159" spans="1:37" ht="15" customHeight="1" thickBot="1" x14ac:dyDescent="0.3">
      <c r="A159" s="159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78">
        <f t="shared" si="1"/>
        <v>0</v>
      </c>
      <c r="AJ159" s="68"/>
      <c r="AK159" s="68"/>
    </row>
    <row r="160" spans="1:37" ht="15" customHeight="1" thickBot="1" x14ac:dyDescent="0.3">
      <c r="A160" s="159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78">
        <f t="shared" si="1"/>
        <v>0</v>
      </c>
      <c r="AJ160" s="68"/>
      <c r="AK160" s="68"/>
    </row>
    <row r="161" spans="1:37" ht="15" customHeight="1" thickBot="1" x14ac:dyDescent="0.3">
      <c r="A161" s="159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78">
        <f t="shared" si="1"/>
        <v>0</v>
      </c>
      <c r="AJ161" s="68"/>
      <c r="AK161" s="68"/>
    </row>
    <row r="162" spans="1:37" ht="15" customHeight="1" thickBot="1" x14ac:dyDescent="0.3">
      <c r="A162" s="159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78">
        <f t="shared" si="1"/>
        <v>0</v>
      </c>
      <c r="AJ162" s="68"/>
      <c r="AK162" s="68"/>
    </row>
    <row r="163" spans="1:37" ht="15" customHeight="1" thickBot="1" x14ac:dyDescent="0.3">
      <c r="A163" s="159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78">
        <f t="shared" si="1"/>
        <v>0</v>
      </c>
      <c r="AJ163" s="68"/>
      <c r="AK163" s="68"/>
    </row>
    <row r="164" spans="1:37" ht="15" customHeight="1" thickBot="1" x14ac:dyDescent="0.3">
      <c r="A164" s="159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78">
        <f t="shared" si="1"/>
        <v>0</v>
      </c>
      <c r="AJ164" s="68"/>
      <c r="AK164" s="68"/>
    </row>
    <row r="165" spans="1:37" ht="15" customHeight="1" thickBot="1" x14ac:dyDescent="0.3">
      <c r="A165" s="1595"/>
      <c r="B165" s="1493"/>
      <c r="C165" s="1317"/>
      <c r="D165" s="1317"/>
      <c r="E165" s="1317"/>
      <c r="F165" s="1317"/>
      <c r="G165" s="1494"/>
      <c r="H165" s="982"/>
      <c r="I165" s="1017"/>
      <c r="J165" s="1029"/>
      <c r="K165" s="1030"/>
      <c r="L165" s="1291"/>
      <c r="M165" s="1292"/>
      <c r="N165" s="1292"/>
      <c r="O165" s="1292"/>
      <c r="P165" s="1293"/>
      <c r="Q165" s="1295"/>
      <c r="R165" s="1269"/>
      <c r="S165" s="1270"/>
      <c r="T165" s="1258"/>
      <c r="U165" s="1337"/>
      <c r="Y165" s="74"/>
      <c r="Z165" s="77"/>
      <c r="AA165" s="78"/>
      <c r="AB165" s="78">
        <f t="shared" si="1"/>
        <v>0</v>
      </c>
      <c r="AJ165" s="68"/>
      <c r="AK165" s="68"/>
    </row>
    <row r="166" spans="1:37" ht="15" customHeight="1" thickBot="1" x14ac:dyDescent="0.3">
      <c r="A166" s="1595"/>
      <c r="B166" s="1490"/>
      <c r="C166" s="1491"/>
      <c r="D166" s="1491"/>
      <c r="E166" s="1491"/>
      <c r="F166" s="1491"/>
      <c r="G166" s="1492"/>
      <c r="H166" s="983"/>
      <c r="I166" s="1017"/>
      <c r="J166" s="1029"/>
      <c r="K166" s="1030"/>
      <c r="L166" s="1484" t="s">
        <v>419</v>
      </c>
      <c r="M166" s="1485"/>
      <c r="N166" s="1485"/>
      <c r="O166" s="1485"/>
      <c r="P166" s="1486"/>
      <c r="Q166" s="979" t="s">
        <v>100</v>
      </c>
      <c r="R166" s="1005"/>
      <c r="S166" s="1006"/>
      <c r="T166" s="1258"/>
      <c r="U166" s="1337"/>
      <c r="V166" s="72">
        <f>IF(AND(Q166="ja",R166=""),1,0)</f>
        <v>0</v>
      </c>
      <c r="Y166" s="74"/>
      <c r="Z166" s="77"/>
      <c r="AA166" s="78"/>
      <c r="AB166" s="78">
        <f t="shared" si="1"/>
        <v>0</v>
      </c>
      <c r="AJ166" s="68"/>
      <c r="AK166" s="68"/>
    </row>
    <row r="167" spans="1:37" ht="15" customHeight="1" thickBot="1" x14ac:dyDescent="0.3">
      <c r="A167" s="1595"/>
      <c r="B167" s="1487" t="s">
        <v>420</v>
      </c>
      <c r="C167" s="1488"/>
      <c r="D167" s="1488"/>
      <c r="E167" s="1488"/>
      <c r="F167" s="1488"/>
      <c r="G167" s="1489"/>
      <c r="H167" s="981" t="s">
        <v>100</v>
      </c>
      <c r="I167" s="1017"/>
      <c r="J167" s="1029"/>
      <c r="K167" s="1030"/>
      <c r="L167" s="1288"/>
      <c r="M167" s="1289"/>
      <c r="N167" s="1289"/>
      <c r="O167" s="1289"/>
      <c r="P167" s="1290"/>
      <c r="Q167" s="1003"/>
      <c r="R167" s="1007"/>
      <c r="S167" s="1008"/>
      <c r="T167" s="1258"/>
      <c r="U167" s="1337"/>
      <c r="Y167" s="74">
        <v>1E-3</v>
      </c>
      <c r="Z167" s="77">
        <f>IF(H167="ja",Y167,0)</f>
        <v>0</v>
      </c>
      <c r="AA167" s="78"/>
      <c r="AB167" s="78">
        <f t="shared" si="1"/>
        <v>0</v>
      </c>
      <c r="AJ167" s="68"/>
      <c r="AK167" s="68"/>
    </row>
    <row r="168" spans="1:37" ht="15" customHeight="1" thickBot="1" x14ac:dyDescent="0.3">
      <c r="A168" s="1595"/>
      <c r="B168" s="1493"/>
      <c r="C168" s="1317"/>
      <c r="D168" s="1317"/>
      <c r="E168" s="1317"/>
      <c r="F168" s="1317"/>
      <c r="G168" s="1494"/>
      <c r="H168" s="982"/>
      <c r="I168" s="1017"/>
      <c r="J168" s="1029"/>
      <c r="K168" s="1030"/>
      <c r="L168" s="1291"/>
      <c r="M168" s="1292"/>
      <c r="N168" s="1292"/>
      <c r="O168" s="1292"/>
      <c r="P168" s="1293"/>
      <c r="Q168" s="1295"/>
      <c r="R168" s="1269"/>
      <c r="S168" s="1270"/>
      <c r="T168" s="1258"/>
      <c r="U168" s="1337"/>
      <c r="Y168" s="74"/>
      <c r="Z168" s="77"/>
      <c r="AA168" s="78"/>
      <c r="AB168" s="78">
        <f t="shared" ref="AB168:AB231" si="2">IF(Q168="ja",1,0)</f>
        <v>0</v>
      </c>
      <c r="AJ168" s="68"/>
      <c r="AK168" s="68"/>
    </row>
    <row r="169" spans="1:37" ht="15" customHeight="1" thickBot="1" x14ac:dyDescent="0.3">
      <c r="A169" s="1595"/>
      <c r="B169" s="1490"/>
      <c r="C169" s="1491"/>
      <c r="D169" s="1491"/>
      <c r="E169" s="1491"/>
      <c r="F169" s="1491"/>
      <c r="G169" s="1492"/>
      <c r="H169" s="983"/>
      <c r="I169" s="1017"/>
      <c r="J169" s="1029"/>
      <c r="K169" s="1030"/>
      <c r="L169" s="1484" t="s">
        <v>228</v>
      </c>
      <c r="M169" s="1485"/>
      <c r="N169" s="1485"/>
      <c r="O169" s="1485"/>
      <c r="P169" s="1486"/>
      <c r="Q169" s="979" t="s">
        <v>100</v>
      </c>
      <c r="R169" s="1005"/>
      <c r="S169" s="1006"/>
      <c r="T169" s="1258"/>
      <c r="U169" s="1337"/>
      <c r="V169" s="72">
        <f>IF(AND(Q169="ja",R169=""),1,0)</f>
        <v>0</v>
      </c>
      <c r="Y169" s="74"/>
      <c r="Z169" s="77"/>
      <c r="AA169" s="78"/>
      <c r="AB169" s="78">
        <f t="shared" si="2"/>
        <v>0</v>
      </c>
      <c r="AJ169" s="68"/>
      <c r="AK169" s="68"/>
    </row>
    <row r="170" spans="1:37" ht="15" customHeight="1" thickBot="1" x14ac:dyDescent="0.3">
      <c r="A170" s="1595"/>
      <c r="B170" s="1487" t="s">
        <v>421</v>
      </c>
      <c r="C170" s="1488"/>
      <c r="D170" s="1488"/>
      <c r="E170" s="1488"/>
      <c r="F170" s="1488"/>
      <c r="G170" s="1489"/>
      <c r="H170" s="981" t="s">
        <v>100</v>
      </c>
      <c r="I170" s="1017"/>
      <c r="J170" s="1029"/>
      <c r="K170" s="1030"/>
      <c r="L170" s="1288"/>
      <c r="M170" s="1289"/>
      <c r="N170" s="1289"/>
      <c r="O170" s="1289"/>
      <c r="P170" s="1290"/>
      <c r="Q170" s="1003"/>
      <c r="R170" s="1007"/>
      <c r="S170" s="1008"/>
      <c r="T170" s="1258"/>
      <c r="U170" s="1337"/>
      <c r="Y170" s="74">
        <v>7.4999999999999997E-3</v>
      </c>
      <c r="Z170" s="77">
        <f>IF(H170="ja",Y170,0)</f>
        <v>0</v>
      </c>
      <c r="AA170" s="78"/>
      <c r="AB170" s="78">
        <f t="shared" si="2"/>
        <v>0</v>
      </c>
      <c r="AJ170" s="68"/>
      <c r="AK170" s="68"/>
    </row>
    <row r="171" spans="1:37" ht="15" customHeight="1" thickBot="1" x14ac:dyDescent="0.3">
      <c r="A171" s="1595"/>
      <c r="B171" s="1493"/>
      <c r="C171" s="1317"/>
      <c r="D171" s="1317"/>
      <c r="E171" s="1317"/>
      <c r="F171" s="1317"/>
      <c r="G171" s="1494"/>
      <c r="H171" s="982"/>
      <c r="I171" s="1017"/>
      <c r="J171" s="1029"/>
      <c r="K171" s="1030"/>
      <c r="L171" s="1288"/>
      <c r="M171" s="1289"/>
      <c r="N171" s="1289"/>
      <c r="O171" s="1289"/>
      <c r="P171" s="1290"/>
      <c r="Q171" s="1003"/>
      <c r="R171" s="1007"/>
      <c r="S171" s="1008"/>
      <c r="T171" s="1258"/>
      <c r="U171" s="1337"/>
      <c r="Y171" s="74"/>
      <c r="Z171" s="77"/>
      <c r="AA171" s="78"/>
      <c r="AB171" s="78">
        <f t="shared" si="2"/>
        <v>0</v>
      </c>
      <c r="AJ171" s="68"/>
      <c r="AK171" s="68"/>
    </row>
    <row r="172" spans="1:37" ht="15" customHeight="1" thickBot="1" x14ac:dyDescent="0.3">
      <c r="A172" s="1595"/>
      <c r="B172" s="1490"/>
      <c r="C172" s="1491"/>
      <c r="D172" s="1491"/>
      <c r="E172" s="1491"/>
      <c r="F172" s="1491"/>
      <c r="G172" s="1492"/>
      <c r="H172" s="983"/>
      <c r="I172" s="1017"/>
      <c r="J172" s="1029"/>
      <c r="K172" s="1030"/>
      <c r="L172" s="1291"/>
      <c r="M172" s="1292"/>
      <c r="N172" s="1292"/>
      <c r="O172" s="1292"/>
      <c r="P172" s="1293"/>
      <c r="Q172" s="1295"/>
      <c r="R172" s="1269"/>
      <c r="S172" s="1270"/>
      <c r="T172" s="1258"/>
      <c r="U172" s="1337"/>
      <c r="Y172" s="74"/>
      <c r="Z172" s="77"/>
      <c r="AA172" s="78"/>
      <c r="AB172" s="78">
        <f t="shared" si="2"/>
        <v>0</v>
      </c>
      <c r="AJ172" s="68"/>
      <c r="AK172" s="68"/>
    </row>
    <row r="173" spans="1:37" ht="15" customHeight="1" thickBot="1" x14ac:dyDescent="0.3">
      <c r="A173" s="1595"/>
      <c r="B173" s="1487" t="s">
        <v>226</v>
      </c>
      <c r="C173" s="1488"/>
      <c r="D173" s="1488"/>
      <c r="E173" s="1488"/>
      <c r="F173" s="1488"/>
      <c r="G173" s="1489"/>
      <c r="H173" s="981" t="s">
        <v>100</v>
      </c>
      <c r="I173" s="1017"/>
      <c r="J173" s="1029"/>
      <c r="K173" s="1030"/>
      <c r="L173" s="1484"/>
      <c r="M173" s="1485"/>
      <c r="N173" s="1485"/>
      <c r="O173" s="1485"/>
      <c r="P173" s="1486"/>
      <c r="Q173" s="979" t="s">
        <v>100</v>
      </c>
      <c r="R173" s="1005"/>
      <c r="S173" s="1006"/>
      <c r="T173" s="1258"/>
      <c r="U173" s="1337"/>
      <c r="V173" s="72">
        <f>IF(AND(Q173="ja",R173=""),1,0)</f>
        <v>0</v>
      </c>
      <c r="Y173" s="74">
        <v>1E-3</v>
      </c>
      <c r="Z173" s="77">
        <f>IF(H173="ja",Y173,0)</f>
        <v>0</v>
      </c>
      <c r="AA173" s="78"/>
      <c r="AB173" s="78">
        <f t="shared" si="2"/>
        <v>0</v>
      </c>
      <c r="AJ173" s="68"/>
      <c r="AK173" s="68"/>
    </row>
    <row r="174" spans="1:37" ht="15" customHeight="1" thickBot="1" x14ac:dyDescent="0.3">
      <c r="A174" s="1595"/>
      <c r="B174" s="1493"/>
      <c r="C174" s="1317"/>
      <c r="D174" s="1317"/>
      <c r="E174" s="1317"/>
      <c r="F174" s="1317"/>
      <c r="G174" s="1494"/>
      <c r="H174" s="982"/>
      <c r="I174" s="1017"/>
      <c r="J174" s="1029"/>
      <c r="K174" s="1030"/>
      <c r="L174" s="1288"/>
      <c r="M174" s="1289"/>
      <c r="N174" s="1289"/>
      <c r="O174" s="1289"/>
      <c r="P174" s="1290"/>
      <c r="Q174" s="1003"/>
      <c r="R174" s="1007"/>
      <c r="S174" s="1008"/>
      <c r="T174" s="1258"/>
      <c r="U174" s="1337"/>
      <c r="Y174" s="74"/>
      <c r="Z174" s="77"/>
      <c r="AA174" s="77"/>
      <c r="AB174" s="78">
        <f t="shared" si="2"/>
        <v>0</v>
      </c>
      <c r="AJ174" s="68"/>
      <c r="AK174" s="68"/>
    </row>
    <row r="175" spans="1:37" ht="15" customHeight="1" thickBot="1" x14ac:dyDescent="0.3">
      <c r="A175" s="1595"/>
      <c r="B175" s="1490"/>
      <c r="C175" s="1491"/>
      <c r="D175" s="1491"/>
      <c r="E175" s="1491"/>
      <c r="F175" s="1491"/>
      <c r="G175" s="1492"/>
      <c r="H175" s="983"/>
      <c r="I175" s="1017"/>
      <c r="J175" s="1029"/>
      <c r="K175" s="1030"/>
      <c r="L175" s="1291"/>
      <c r="M175" s="1292"/>
      <c r="N175" s="1292"/>
      <c r="O175" s="1292"/>
      <c r="P175" s="1293"/>
      <c r="Q175" s="1295"/>
      <c r="R175" s="1269"/>
      <c r="S175" s="1270"/>
      <c r="T175" s="1258"/>
      <c r="U175" s="1337"/>
      <c r="Y175" s="74"/>
      <c r="Z175" s="77"/>
      <c r="AA175" s="78"/>
      <c r="AB175" s="78">
        <f t="shared" si="2"/>
        <v>0</v>
      </c>
      <c r="AJ175" s="68"/>
      <c r="AK175" s="68"/>
    </row>
    <row r="176" spans="1:37" ht="15" customHeight="1" thickBot="1" x14ac:dyDescent="0.3">
      <c r="A176" s="1595"/>
      <c r="B176" s="1103" t="s">
        <v>422</v>
      </c>
      <c r="C176" s="1104"/>
      <c r="D176" s="1104"/>
      <c r="E176" s="1104"/>
      <c r="F176" s="1104"/>
      <c r="G176" s="1105"/>
      <c r="H176" s="314" t="s">
        <v>100</v>
      </c>
      <c r="I176" s="1018"/>
      <c r="J176" s="1031"/>
      <c r="K176" s="1032"/>
      <c r="L176" s="1577"/>
      <c r="M176" s="1578"/>
      <c r="N176" s="1578"/>
      <c r="O176" s="1578"/>
      <c r="P176" s="1579"/>
      <c r="Q176" s="329" t="s">
        <v>100</v>
      </c>
      <c r="R176" s="1623"/>
      <c r="S176" s="1624"/>
      <c r="T176" s="1259"/>
      <c r="U176" s="1337"/>
      <c r="V176" s="72">
        <f>IF(AND(Q176="ja",R176=""),1,0)</f>
        <v>0</v>
      </c>
      <c r="Y176" s="74">
        <v>1E-3</v>
      </c>
      <c r="Z176" s="77">
        <f>IF(H176="ja",Y176,0)</f>
        <v>0</v>
      </c>
      <c r="AA176" s="78"/>
      <c r="AB176" s="78">
        <f t="shared" si="2"/>
        <v>0</v>
      </c>
      <c r="AJ176" s="68"/>
      <c r="AK176" s="68"/>
    </row>
    <row r="177" spans="1:37" ht="14.55" thickBot="1" x14ac:dyDescent="0.3">
      <c r="A177" s="1595"/>
      <c r="B177" s="1511" t="s">
        <v>229</v>
      </c>
      <c r="C177" s="1512"/>
      <c r="D177" s="1512"/>
      <c r="E177" s="1512"/>
      <c r="F177" s="1512"/>
      <c r="G177" s="1513"/>
      <c r="H177" s="342"/>
      <c r="I177" s="343"/>
      <c r="J177" s="344"/>
      <c r="K177" s="344"/>
      <c r="L177" s="1534">
        <f>SUM(R154:S176)</f>
        <v>0</v>
      </c>
      <c r="M177" s="1535"/>
      <c r="N177" s="1535"/>
      <c r="O177" s="1535"/>
      <c r="P177" s="1535"/>
      <c r="Q177" s="338"/>
      <c r="R177" s="1495"/>
      <c r="S177" s="1496"/>
      <c r="U177" s="334"/>
      <c r="Y177" s="74"/>
      <c r="Z177" s="152">
        <f>SUM(Z154:Z176)</f>
        <v>0</v>
      </c>
      <c r="AA177" s="78"/>
      <c r="AB177" s="78">
        <f t="shared" si="2"/>
        <v>0</v>
      </c>
      <c r="AJ177" s="68"/>
      <c r="AK177" s="68"/>
    </row>
    <row r="178" spans="1:37" ht="15" customHeight="1" thickBot="1" x14ac:dyDescent="0.3">
      <c r="A178" s="1595"/>
      <c r="B178" s="1103" t="s">
        <v>233</v>
      </c>
      <c r="C178" s="1104"/>
      <c r="D178" s="1104"/>
      <c r="E178" s="1104"/>
      <c r="F178" s="1104"/>
      <c r="G178" s="1105"/>
      <c r="H178" s="314" t="s">
        <v>100</v>
      </c>
      <c r="I178" s="1016">
        <f>Z192</f>
        <v>0</v>
      </c>
      <c r="J178" s="1027">
        <f>I115*I178</f>
        <v>0</v>
      </c>
      <c r="K178" s="1028"/>
      <c r="L178" s="984" t="s">
        <v>423</v>
      </c>
      <c r="M178" s="985"/>
      <c r="N178" s="985"/>
      <c r="O178" s="985"/>
      <c r="P178" s="985"/>
      <c r="Q178" s="978" t="s">
        <v>100</v>
      </c>
      <c r="R178" s="972"/>
      <c r="S178" s="973"/>
      <c r="T178" s="1257" t="str">
        <f>IFERROR(IF((VLOOKUP(U178,Überblick!$M$125:$N$133,2))="ja","ja","nein"),"")</f>
        <v/>
      </c>
      <c r="U178" s="1337"/>
      <c r="V178" s="72">
        <f>IF(AND(Q178="ja",R178=""),1,0)</f>
        <v>0</v>
      </c>
      <c r="Y178" s="74">
        <v>1E-3</v>
      </c>
      <c r="Z178" s="77">
        <f>IF(H178="ja",Y178,0)</f>
        <v>0</v>
      </c>
      <c r="AA178" s="78"/>
      <c r="AB178" s="78">
        <f t="shared" si="2"/>
        <v>0</v>
      </c>
      <c r="AJ178" s="68"/>
      <c r="AK178" s="68"/>
    </row>
    <row r="179" spans="1:37" ht="15" customHeight="1" thickBot="1" x14ac:dyDescent="0.3">
      <c r="A179" s="1595"/>
      <c r="B179" s="1487" t="s">
        <v>424</v>
      </c>
      <c r="C179" s="1488"/>
      <c r="D179" s="1488"/>
      <c r="E179" s="1488"/>
      <c r="F179" s="1488"/>
      <c r="G179" s="1489"/>
      <c r="H179" s="981" t="s">
        <v>100</v>
      </c>
      <c r="I179" s="1017"/>
      <c r="J179" s="1029"/>
      <c r="K179" s="1030"/>
      <c r="L179" s="984"/>
      <c r="M179" s="985"/>
      <c r="N179" s="985"/>
      <c r="O179" s="985"/>
      <c r="P179" s="985"/>
      <c r="Q179" s="978"/>
      <c r="R179" s="972"/>
      <c r="S179" s="973"/>
      <c r="T179" s="1258"/>
      <c r="U179" s="1337"/>
      <c r="Y179" s="74">
        <v>3.5000000000000003E-2</v>
      </c>
      <c r="Z179" s="77">
        <f>IF(H179="ja",Y179,0)</f>
        <v>0</v>
      </c>
      <c r="AA179" s="78"/>
      <c r="AB179" s="78">
        <f t="shared" si="2"/>
        <v>0</v>
      </c>
      <c r="AJ179" s="68"/>
      <c r="AK179" s="68"/>
    </row>
    <row r="180" spans="1:37" ht="15" customHeight="1" thickBot="1" x14ac:dyDescent="0.3">
      <c r="A180" s="1595"/>
      <c r="B180" s="1493"/>
      <c r="C180" s="1317"/>
      <c r="D180" s="1317"/>
      <c r="E180" s="1317"/>
      <c r="F180" s="1317"/>
      <c r="G180" s="1494"/>
      <c r="H180" s="982"/>
      <c r="I180" s="1017"/>
      <c r="J180" s="1029"/>
      <c r="K180" s="1030"/>
      <c r="L180" s="984"/>
      <c r="M180" s="985"/>
      <c r="N180" s="985"/>
      <c r="O180" s="985"/>
      <c r="P180" s="985"/>
      <c r="Q180" s="978"/>
      <c r="R180" s="972"/>
      <c r="S180" s="973"/>
      <c r="T180" s="1258"/>
      <c r="U180" s="1337"/>
      <c r="Y180" s="74"/>
      <c r="Z180" s="77"/>
      <c r="AA180" s="78"/>
      <c r="AB180" s="78">
        <f t="shared" si="2"/>
        <v>0</v>
      </c>
      <c r="AJ180" s="68"/>
      <c r="AK180" s="68"/>
    </row>
    <row r="181" spans="1:37" ht="15" customHeight="1" thickBot="1" x14ac:dyDescent="0.3">
      <c r="A181" s="1595"/>
      <c r="B181" s="1493"/>
      <c r="C181" s="1317"/>
      <c r="D181" s="1317"/>
      <c r="E181" s="1317"/>
      <c r="F181" s="1317"/>
      <c r="G181" s="1494"/>
      <c r="H181" s="982"/>
      <c r="I181" s="1017"/>
      <c r="J181" s="1029"/>
      <c r="K181" s="1030"/>
      <c r="L181" s="984"/>
      <c r="M181" s="985"/>
      <c r="N181" s="985"/>
      <c r="O181" s="985"/>
      <c r="P181" s="985"/>
      <c r="Q181" s="978" t="s">
        <v>100</v>
      </c>
      <c r="R181" s="972"/>
      <c r="S181" s="973"/>
      <c r="T181" s="1258"/>
      <c r="U181" s="1337"/>
      <c r="V181" s="72">
        <f>IF(AND(Q181="ja",R181=""),1,0)</f>
        <v>0</v>
      </c>
      <c r="Y181" s="74"/>
      <c r="Z181" s="77"/>
      <c r="AA181" s="78"/>
      <c r="AB181" s="78">
        <f t="shared" si="2"/>
        <v>0</v>
      </c>
      <c r="AJ181" s="68"/>
      <c r="AK181" s="68"/>
    </row>
    <row r="182" spans="1:37" ht="15" customHeight="1" thickBot="1" x14ac:dyDescent="0.3">
      <c r="A182" s="1595"/>
      <c r="B182" s="1493"/>
      <c r="C182" s="1317"/>
      <c r="D182" s="1317"/>
      <c r="E182" s="1317"/>
      <c r="F182" s="1317"/>
      <c r="G182" s="1494"/>
      <c r="H182" s="982"/>
      <c r="I182" s="1017"/>
      <c r="J182" s="1029"/>
      <c r="K182" s="1030"/>
      <c r="L182" s="984"/>
      <c r="M182" s="985"/>
      <c r="N182" s="985"/>
      <c r="O182" s="985"/>
      <c r="P182" s="985"/>
      <c r="Q182" s="978"/>
      <c r="R182" s="972"/>
      <c r="S182" s="973"/>
      <c r="T182" s="1258"/>
      <c r="U182" s="1337"/>
      <c r="Y182" s="74"/>
      <c r="Z182" s="77"/>
      <c r="AA182" s="78"/>
      <c r="AB182" s="78">
        <f t="shared" si="2"/>
        <v>0</v>
      </c>
      <c r="AJ182" s="68"/>
      <c r="AK182" s="68"/>
    </row>
    <row r="183" spans="1:37" ht="15" customHeight="1" thickBot="1" x14ac:dyDescent="0.3">
      <c r="A183" s="1595"/>
      <c r="B183" s="1490"/>
      <c r="C183" s="1491"/>
      <c r="D183" s="1491"/>
      <c r="E183" s="1491"/>
      <c r="F183" s="1491"/>
      <c r="G183" s="1492"/>
      <c r="H183" s="983"/>
      <c r="I183" s="1017"/>
      <c r="J183" s="1029"/>
      <c r="K183" s="1030"/>
      <c r="L183" s="984"/>
      <c r="M183" s="985"/>
      <c r="N183" s="985"/>
      <c r="O183" s="985"/>
      <c r="P183" s="985"/>
      <c r="Q183" s="978"/>
      <c r="R183" s="972"/>
      <c r="S183" s="973"/>
      <c r="T183" s="1258"/>
      <c r="U183" s="1337"/>
      <c r="Y183" s="74"/>
      <c r="Z183" s="77"/>
      <c r="AA183" s="78"/>
      <c r="AB183" s="78">
        <f t="shared" si="2"/>
        <v>0</v>
      </c>
      <c r="AJ183" s="68"/>
      <c r="AK183" s="68"/>
    </row>
    <row r="184" spans="1:37" ht="15" customHeight="1" thickBot="1" x14ac:dyDescent="0.3">
      <c r="A184" s="1595"/>
      <c r="B184" s="1103" t="s">
        <v>237</v>
      </c>
      <c r="C184" s="1104"/>
      <c r="D184" s="1104"/>
      <c r="E184" s="1104"/>
      <c r="F184" s="1104"/>
      <c r="G184" s="1105"/>
      <c r="H184" s="314" t="s">
        <v>100</v>
      </c>
      <c r="I184" s="1017"/>
      <c r="J184" s="1029"/>
      <c r="K184" s="1030"/>
      <c r="L184" s="984" t="s">
        <v>236</v>
      </c>
      <c r="M184" s="985"/>
      <c r="N184" s="985"/>
      <c r="O184" s="985"/>
      <c r="P184" s="985"/>
      <c r="Q184" s="978" t="s">
        <v>100</v>
      </c>
      <c r="R184" s="972"/>
      <c r="S184" s="973"/>
      <c r="T184" s="1258"/>
      <c r="U184" s="1337"/>
      <c r="V184" s="72">
        <f>IF(AND(Q184="ja",R184=""),1,0)</f>
        <v>0</v>
      </c>
      <c r="Y184" s="74">
        <v>5.0000000000000001E-3</v>
      </c>
      <c r="Z184" s="77">
        <f>IF(H184="ja",Y184,0)</f>
        <v>0</v>
      </c>
      <c r="AA184" s="78"/>
      <c r="AB184" s="78">
        <f t="shared" si="2"/>
        <v>0</v>
      </c>
      <c r="AJ184" s="68"/>
      <c r="AK184" s="68"/>
    </row>
    <row r="185" spans="1:37" ht="15" customHeight="1" thickBot="1" x14ac:dyDescent="0.3">
      <c r="A185" s="1595"/>
      <c r="B185" s="1487" t="s">
        <v>425</v>
      </c>
      <c r="C185" s="1488"/>
      <c r="D185" s="1488"/>
      <c r="E185" s="1488"/>
      <c r="F185" s="1488"/>
      <c r="G185" s="1489"/>
      <c r="H185" s="981" t="s">
        <v>100</v>
      </c>
      <c r="I185" s="1017"/>
      <c r="J185" s="1029"/>
      <c r="K185" s="1030"/>
      <c r="L185" s="984"/>
      <c r="M185" s="985"/>
      <c r="N185" s="985"/>
      <c r="O185" s="985"/>
      <c r="P185" s="985"/>
      <c r="Q185" s="978"/>
      <c r="R185" s="972"/>
      <c r="S185" s="973"/>
      <c r="T185" s="1258"/>
      <c r="U185" s="1337"/>
      <c r="Y185" s="74">
        <v>2.5000000000000001E-3</v>
      </c>
      <c r="Z185" s="77">
        <f>IF(H185="ja",Y185,0)</f>
        <v>0</v>
      </c>
      <c r="AA185" s="78"/>
      <c r="AB185" s="78">
        <f t="shared" si="2"/>
        <v>0</v>
      </c>
      <c r="AJ185" s="68"/>
      <c r="AK185" s="68"/>
    </row>
    <row r="186" spans="1:37" ht="15" customHeight="1" thickBot="1" x14ac:dyDescent="0.3">
      <c r="A186" s="1595"/>
      <c r="B186" s="1493"/>
      <c r="C186" s="1317"/>
      <c r="D186" s="1317"/>
      <c r="E186" s="1317"/>
      <c r="F186" s="1317"/>
      <c r="G186" s="1494"/>
      <c r="H186" s="982"/>
      <c r="I186" s="1017"/>
      <c r="J186" s="1029"/>
      <c r="K186" s="1030"/>
      <c r="L186" s="984"/>
      <c r="M186" s="985"/>
      <c r="N186" s="985"/>
      <c r="O186" s="985"/>
      <c r="P186" s="985"/>
      <c r="Q186" s="978"/>
      <c r="R186" s="972"/>
      <c r="S186" s="973"/>
      <c r="T186" s="1258"/>
      <c r="U186" s="1337"/>
      <c r="Y186" s="74"/>
      <c r="Z186" s="77"/>
      <c r="AA186" s="78"/>
      <c r="AB186" s="78">
        <f t="shared" si="2"/>
        <v>0</v>
      </c>
      <c r="AJ186" s="68"/>
      <c r="AK186" s="68"/>
    </row>
    <row r="187" spans="1:37" ht="15" customHeight="1" thickBot="1" x14ac:dyDescent="0.3">
      <c r="A187" s="1595"/>
      <c r="B187" s="1490"/>
      <c r="C187" s="1491"/>
      <c r="D187" s="1491"/>
      <c r="E187" s="1491"/>
      <c r="F187" s="1491"/>
      <c r="G187" s="1492"/>
      <c r="H187" s="983"/>
      <c r="I187" s="1017"/>
      <c r="J187" s="1029"/>
      <c r="K187" s="1030"/>
      <c r="L187" s="984"/>
      <c r="M187" s="985"/>
      <c r="N187" s="985"/>
      <c r="O187" s="985"/>
      <c r="P187" s="985"/>
      <c r="Q187" s="978" t="s">
        <v>100</v>
      </c>
      <c r="R187" s="972"/>
      <c r="S187" s="973"/>
      <c r="T187" s="1258"/>
      <c r="U187" s="1337"/>
      <c r="V187" s="72">
        <f>IF(AND(Q187="ja",R187=""),1,0)</f>
        <v>0</v>
      </c>
      <c r="Y187" s="74"/>
      <c r="Z187" s="77"/>
      <c r="AA187" s="78"/>
      <c r="AB187" s="78">
        <f t="shared" si="2"/>
        <v>0</v>
      </c>
      <c r="AJ187" s="68"/>
      <c r="AK187" s="68"/>
    </row>
    <row r="188" spans="1:37" ht="15" customHeight="1" thickBot="1" x14ac:dyDescent="0.3">
      <c r="A188" s="1595"/>
      <c r="B188" s="1487" t="s">
        <v>426</v>
      </c>
      <c r="C188" s="1488"/>
      <c r="D188" s="1488"/>
      <c r="E188" s="1488"/>
      <c r="F188" s="1488"/>
      <c r="G188" s="1489"/>
      <c r="H188" s="981" t="s">
        <v>100</v>
      </c>
      <c r="I188" s="1017"/>
      <c r="J188" s="1029"/>
      <c r="K188" s="1030"/>
      <c r="L188" s="984"/>
      <c r="M188" s="985"/>
      <c r="N188" s="985"/>
      <c r="O188" s="985"/>
      <c r="P188" s="985"/>
      <c r="Q188" s="978"/>
      <c r="R188" s="972"/>
      <c r="S188" s="973"/>
      <c r="T188" s="1258"/>
      <c r="U188" s="1337"/>
      <c r="Y188" s="74">
        <v>5.0000000000000001E-3</v>
      </c>
      <c r="Z188" s="77">
        <f>IF(H188="ja",Y188,0)</f>
        <v>0</v>
      </c>
      <c r="AA188" s="78"/>
      <c r="AB188" s="78">
        <f t="shared" si="2"/>
        <v>0</v>
      </c>
      <c r="AJ188" s="68"/>
      <c r="AK188" s="68"/>
    </row>
    <row r="189" spans="1:37" ht="15" customHeight="1" thickBot="1" x14ac:dyDescent="0.3">
      <c r="A189" s="1595"/>
      <c r="B189" s="1490"/>
      <c r="C189" s="1491"/>
      <c r="D189" s="1491"/>
      <c r="E189" s="1491"/>
      <c r="F189" s="1491"/>
      <c r="G189" s="1492"/>
      <c r="H189" s="983"/>
      <c r="I189" s="1017"/>
      <c r="J189" s="1029"/>
      <c r="K189" s="1030"/>
      <c r="L189" s="984"/>
      <c r="M189" s="985"/>
      <c r="N189" s="985"/>
      <c r="O189" s="985"/>
      <c r="P189" s="985"/>
      <c r="Q189" s="978"/>
      <c r="R189" s="972"/>
      <c r="S189" s="973"/>
      <c r="T189" s="1258"/>
      <c r="U189" s="1337"/>
      <c r="Y189" s="74"/>
      <c r="Z189" s="77"/>
      <c r="AA189" s="77"/>
      <c r="AB189" s="78">
        <f t="shared" si="2"/>
        <v>0</v>
      </c>
      <c r="AJ189" s="68"/>
      <c r="AK189" s="68"/>
    </row>
    <row r="190" spans="1:37" ht="15" customHeight="1" thickBot="1" x14ac:dyDescent="0.3">
      <c r="A190" s="1595"/>
      <c r="B190" s="1487" t="s">
        <v>427</v>
      </c>
      <c r="C190" s="1488"/>
      <c r="D190" s="1488"/>
      <c r="E190" s="1488"/>
      <c r="F190" s="1488"/>
      <c r="G190" s="1489"/>
      <c r="H190" s="981" t="s">
        <v>100</v>
      </c>
      <c r="I190" s="1017"/>
      <c r="J190" s="1029"/>
      <c r="K190" s="1030"/>
      <c r="L190" s="1539"/>
      <c r="M190" s="1540"/>
      <c r="N190" s="1540"/>
      <c r="O190" s="1540"/>
      <c r="P190" s="1540"/>
      <c r="Q190" s="978" t="s">
        <v>100</v>
      </c>
      <c r="R190" s="972"/>
      <c r="S190" s="973"/>
      <c r="T190" s="1258"/>
      <c r="U190" s="1337"/>
      <c r="V190" s="72">
        <f>IF(AND(Q190="ja",R190=""),1,0)</f>
        <v>0</v>
      </c>
      <c r="Y190" s="74">
        <v>1.5E-3</v>
      </c>
      <c r="Z190" s="77">
        <f>IF(H190="ja",Y190,0)</f>
        <v>0</v>
      </c>
      <c r="AA190" s="78"/>
      <c r="AB190" s="78">
        <f t="shared" si="2"/>
        <v>0</v>
      </c>
      <c r="AJ190" s="68"/>
      <c r="AK190" s="68"/>
    </row>
    <row r="191" spans="1:37" ht="15" customHeight="1" thickBot="1" x14ac:dyDescent="0.3">
      <c r="A191" s="1595"/>
      <c r="B191" s="1490"/>
      <c r="C191" s="1491"/>
      <c r="D191" s="1491"/>
      <c r="E191" s="1491"/>
      <c r="F191" s="1491"/>
      <c r="G191" s="1492"/>
      <c r="H191" s="983"/>
      <c r="I191" s="1018"/>
      <c r="J191" s="1031"/>
      <c r="K191" s="1032"/>
      <c r="L191" s="1541"/>
      <c r="M191" s="1542"/>
      <c r="N191" s="1542"/>
      <c r="O191" s="1542"/>
      <c r="P191" s="1542"/>
      <c r="Q191" s="979"/>
      <c r="R191" s="974"/>
      <c r="S191" s="975"/>
      <c r="T191" s="1259"/>
      <c r="U191" s="1337"/>
      <c r="Y191" s="74"/>
      <c r="Z191" s="77"/>
      <c r="AA191" s="78"/>
      <c r="AB191" s="78">
        <f t="shared" si="2"/>
        <v>0</v>
      </c>
      <c r="AJ191" s="68"/>
      <c r="AK191" s="68"/>
    </row>
    <row r="192" spans="1:37" ht="14.55" thickBot="1" x14ac:dyDescent="0.3">
      <c r="A192" s="1595"/>
      <c r="B192" s="1511" t="s">
        <v>428</v>
      </c>
      <c r="C192" s="1512"/>
      <c r="D192" s="1512"/>
      <c r="E192" s="1512"/>
      <c r="F192" s="1512"/>
      <c r="G192" s="1513"/>
      <c r="H192" s="342"/>
      <c r="I192" s="343"/>
      <c r="J192" s="344"/>
      <c r="K192" s="344"/>
      <c r="L192" s="1534">
        <f>SUM(R178:S191)</f>
        <v>0</v>
      </c>
      <c r="M192" s="1535"/>
      <c r="N192" s="1535"/>
      <c r="O192" s="1535"/>
      <c r="P192" s="1535"/>
      <c r="Q192" s="338"/>
      <c r="R192" s="1495"/>
      <c r="S192" s="1496"/>
      <c r="U192" s="334"/>
      <c r="Y192" s="74"/>
      <c r="Z192" s="152">
        <f>SUM(Z178:Z190)</f>
        <v>0</v>
      </c>
      <c r="AA192" s="78"/>
      <c r="AB192" s="78">
        <f t="shared" si="2"/>
        <v>0</v>
      </c>
      <c r="AJ192" s="68"/>
      <c r="AK192" s="68"/>
    </row>
    <row r="193" spans="1:37" ht="15" customHeight="1" thickBot="1" x14ac:dyDescent="0.3">
      <c r="A193" s="1595"/>
      <c r="B193" s="1497" t="s">
        <v>429</v>
      </c>
      <c r="C193" s="1498"/>
      <c r="D193" s="1498"/>
      <c r="E193" s="1498"/>
      <c r="F193" s="1498"/>
      <c r="G193" s="1499"/>
      <c r="H193" s="1194" t="s">
        <v>100</v>
      </c>
      <c r="I193" s="1016">
        <f>Z234</f>
        <v>0</v>
      </c>
      <c r="J193" s="1027">
        <f>I115*I193</f>
        <v>0</v>
      </c>
      <c r="K193" s="1028"/>
      <c r="L193" s="1285" t="s">
        <v>430</v>
      </c>
      <c r="M193" s="1286"/>
      <c r="N193" s="1286"/>
      <c r="O193" s="1286"/>
      <c r="P193" s="1287"/>
      <c r="Q193" s="1677" t="s">
        <v>100</v>
      </c>
      <c r="R193" s="1296"/>
      <c r="S193" s="1297"/>
      <c r="T193" s="1257" t="str">
        <f>IFERROR(IF((VLOOKUP(U193,Überblick!$M$125:$N$133,2))="ja","ja","nein"),"")</f>
        <v/>
      </c>
      <c r="U193" s="1337"/>
      <c r="V193" s="72">
        <f>IF(AND(Q193="ja",R193=""),1,0)</f>
        <v>0</v>
      </c>
      <c r="Y193" s="74">
        <v>0.17499999999999999</v>
      </c>
      <c r="Z193" s="77">
        <f>IF(H193="ja",Y193,0)</f>
        <v>0</v>
      </c>
      <c r="AA193" s="78"/>
      <c r="AB193" s="78">
        <f t="shared" si="2"/>
        <v>0</v>
      </c>
      <c r="AJ193" s="68"/>
      <c r="AK193" s="68"/>
    </row>
    <row r="194" spans="1:37" ht="15" customHeight="1" thickBot="1" x14ac:dyDescent="0.3">
      <c r="A194" s="1595"/>
      <c r="B194" s="1493"/>
      <c r="C194" s="1317"/>
      <c r="D194" s="1317"/>
      <c r="E194" s="1317"/>
      <c r="F194" s="1317"/>
      <c r="G194" s="1494"/>
      <c r="H194" s="982"/>
      <c r="I194" s="1017"/>
      <c r="J194" s="1029"/>
      <c r="K194" s="1030"/>
      <c r="L194" s="1288"/>
      <c r="M194" s="1289"/>
      <c r="N194" s="1289"/>
      <c r="O194" s="1289"/>
      <c r="P194" s="1290"/>
      <c r="Q194" s="1678"/>
      <c r="R194" s="1007"/>
      <c r="S194" s="1008"/>
      <c r="T194" s="1258"/>
      <c r="U194" s="1337"/>
      <c r="Y194" s="74"/>
      <c r="Z194" s="77"/>
      <c r="AA194" s="78"/>
      <c r="AB194" s="78">
        <f t="shared" si="2"/>
        <v>0</v>
      </c>
      <c r="AJ194" s="68"/>
      <c r="AK194" s="68"/>
    </row>
    <row r="195" spans="1:37" ht="15" customHeight="1" thickBot="1" x14ac:dyDescent="0.3">
      <c r="A195" s="1595"/>
      <c r="B195" s="1493"/>
      <c r="C195" s="1317"/>
      <c r="D195" s="1317"/>
      <c r="E195" s="1317"/>
      <c r="F195" s="1317"/>
      <c r="G195" s="1494"/>
      <c r="H195" s="982"/>
      <c r="I195" s="1017"/>
      <c r="J195" s="1029"/>
      <c r="K195" s="1030"/>
      <c r="L195" s="1288"/>
      <c r="M195" s="1289"/>
      <c r="N195" s="1289"/>
      <c r="O195" s="1289"/>
      <c r="P195" s="1290"/>
      <c r="Q195" s="1678"/>
      <c r="R195" s="1007"/>
      <c r="S195" s="1008"/>
      <c r="T195" s="1258"/>
      <c r="U195" s="1337"/>
      <c r="Y195" s="74"/>
      <c r="Z195" s="77"/>
      <c r="AA195" s="78"/>
      <c r="AB195" s="78">
        <f t="shared" si="2"/>
        <v>0</v>
      </c>
      <c r="AJ195" s="68"/>
      <c r="AK195" s="68"/>
    </row>
    <row r="196" spans="1:37" ht="15" customHeight="1" thickBot="1" x14ac:dyDescent="0.3">
      <c r="A196" s="1595"/>
      <c r="B196" s="1493"/>
      <c r="C196" s="1317"/>
      <c r="D196" s="1317"/>
      <c r="E196" s="1317"/>
      <c r="F196" s="1317"/>
      <c r="G196" s="1494"/>
      <c r="H196" s="982"/>
      <c r="I196" s="1017"/>
      <c r="J196" s="1029"/>
      <c r="K196" s="1030"/>
      <c r="L196" s="1288"/>
      <c r="M196" s="1289"/>
      <c r="N196" s="1289"/>
      <c r="O196" s="1289"/>
      <c r="P196" s="1290"/>
      <c r="Q196" s="1678"/>
      <c r="R196" s="1007"/>
      <c r="S196" s="1008"/>
      <c r="T196" s="1258"/>
      <c r="U196" s="1337"/>
      <c r="V196" s="72">
        <f>IF(AND(Q196="ja",R196=""),1,0)</f>
        <v>0</v>
      </c>
      <c r="Y196" s="74"/>
      <c r="Z196" s="77"/>
      <c r="AA196" s="78"/>
      <c r="AB196" s="78">
        <f t="shared" si="2"/>
        <v>0</v>
      </c>
      <c r="AJ196" s="68"/>
      <c r="AK196" s="68"/>
    </row>
    <row r="197" spans="1:37" ht="15" customHeight="1" thickBot="1" x14ac:dyDescent="0.3">
      <c r="A197" s="1595"/>
      <c r="B197" s="1493"/>
      <c r="C197" s="1317"/>
      <c r="D197" s="1317"/>
      <c r="E197" s="1317"/>
      <c r="F197" s="1317"/>
      <c r="G197" s="1494"/>
      <c r="H197" s="982"/>
      <c r="I197" s="1017"/>
      <c r="J197" s="1029"/>
      <c r="K197" s="1030"/>
      <c r="L197" s="1288"/>
      <c r="M197" s="1289"/>
      <c r="N197" s="1289"/>
      <c r="O197" s="1289"/>
      <c r="P197" s="1290"/>
      <c r="Q197" s="1678"/>
      <c r="R197" s="1007"/>
      <c r="S197" s="1008"/>
      <c r="T197" s="1258"/>
      <c r="U197" s="1337"/>
      <c r="Y197" s="74"/>
      <c r="Z197" s="77"/>
      <c r="AA197" s="78"/>
      <c r="AB197" s="78">
        <f t="shared" si="2"/>
        <v>0</v>
      </c>
      <c r="AJ197" s="68"/>
      <c r="AK197" s="68"/>
    </row>
    <row r="198" spans="1:37" ht="15" customHeight="1" thickBot="1" x14ac:dyDescent="0.3">
      <c r="A198" s="1595"/>
      <c r="B198" s="1493"/>
      <c r="C198" s="1317"/>
      <c r="D198" s="1317"/>
      <c r="E198" s="1317"/>
      <c r="F198" s="1317"/>
      <c r="G198" s="1494"/>
      <c r="H198" s="982"/>
      <c r="I198" s="1017"/>
      <c r="J198" s="1029"/>
      <c r="K198" s="1030"/>
      <c r="L198" s="1288"/>
      <c r="M198" s="1289"/>
      <c r="N198" s="1289"/>
      <c r="O198" s="1289"/>
      <c r="P198" s="1290"/>
      <c r="Q198" s="1678"/>
      <c r="R198" s="1007"/>
      <c r="S198" s="1008"/>
      <c r="T198" s="1258"/>
      <c r="U198" s="1337"/>
      <c r="Y198" s="74"/>
      <c r="Z198" s="77"/>
      <c r="AA198" s="78"/>
      <c r="AB198" s="78">
        <f t="shared" si="2"/>
        <v>0</v>
      </c>
      <c r="AJ198" s="68"/>
      <c r="AK198" s="68"/>
    </row>
    <row r="199" spans="1:37" ht="15" customHeight="1" thickBot="1" x14ac:dyDescent="0.3">
      <c r="A199" s="1595"/>
      <c r="B199" s="1490"/>
      <c r="C199" s="1491"/>
      <c r="D199" s="1491"/>
      <c r="E199" s="1491"/>
      <c r="F199" s="1491"/>
      <c r="G199" s="1492"/>
      <c r="H199" s="983"/>
      <c r="I199" s="1017"/>
      <c r="J199" s="1029"/>
      <c r="K199" s="1030"/>
      <c r="L199" s="1288"/>
      <c r="M199" s="1289"/>
      <c r="N199" s="1289"/>
      <c r="O199" s="1289"/>
      <c r="P199" s="1290"/>
      <c r="Q199" s="1678"/>
      <c r="R199" s="1007"/>
      <c r="S199" s="1008"/>
      <c r="T199" s="1258"/>
      <c r="U199" s="1337"/>
      <c r="V199" s="72">
        <f>IF(AND(Q199="ja",R199=""),1,0)</f>
        <v>0</v>
      </c>
      <c r="Y199" s="74"/>
      <c r="Z199" s="77"/>
      <c r="AA199" s="78"/>
      <c r="AB199" s="78">
        <f t="shared" si="2"/>
        <v>0</v>
      </c>
      <c r="AJ199" s="68"/>
      <c r="AK199" s="68"/>
    </row>
    <row r="200" spans="1:37" ht="15" customHeight="1" thickBot="1" x14ac:dyDescent="0.3">
      <c r="A200" s="1595"/>
      <c r="B200" s="1103" t="s">
        <v>431</v>
      </c>
      <c r="C200" s="1104"/>
      <c r="D200" s="1104"/>
      <c r="E200" s="1104"/>
      <c r="F200" s="1104"/>
      <c r="G200" s="1105"/>
      <c r="H200" s="314" t="s">
        <v>100</v>
      </c>
      <c r="I200" s="1017"/>
      <c r="J200" s="1029"/>
      <c r="K200" s="1030"/>
      <c r="L200" s="1288"/>
      <c r="M200" s="1289"/>
      <c r="N200" s="1289"/>
      <c r="O200" s="1289"/>
      <c r="P200" s="1290"/>
      <c r="Q200" s="1678"/>
      <c r="R200" s="1007"/>
      <c r="S200" s="1008"/>
      <c r="T200" s="1258"/>
      <c r="U200" s="1337"/>
      <c r="Y200" s="74">
        <v>3.0000000000000001E-3</v>
      </c>
      <c r="Z200" s="77">
        <f>IF(H200="ja",Y200,0)</f>
        <v>0</v>
      </c>
      <c r="AA200" s="78"/>
      <c r="AB200" s="78">
        <f t="shared" si="2"/>
        <v>0</v>
      </c>
      <c r="AJ200" s="68"/>
      <c r="AK200" s="68"/>
    </row>
    <row r="201" spans="1:37" ht="15" customHeight="1" thickBot="1" x14ac:dyDescent="0.3">
      <c r="A201" s="1595"/>
      <c r="B201" s="1487" t="s">
        <v>432</v>
      </c>
      <c r="C201" s="1488"/>
      <c r="D201" s="1488"/>
      <c r="E201" s="1488"/>
      <c r="F201" s="1488"/>
      <c r="G201" s="1489"/>
      <c r="H201" s="981" t="s">
        <v>100</v>
      </c>
      <c r="I201" s="1017"/>
      <c r="J201" s="1029"/>
      <c r="K201" s="1030"/>
      <c r="L201" s="1288"/>
      <c r="M201" s="1289"/>
      <c r="N201" s="1289"/>
      <c r="O201" s="1289"/>
      <c r="P201" s="1290"/>
      <c r="Q201" s="1678"/>
      <c r="R201" s="1007"/>
      <c r="S201" s="1008"/>
      <c r="T201" s="1258"/>
      <c r="U201" s="1337"/>
      <c r="Y201" s="74">
        <v>6.4999999999999997E-3</v>
      </c>
      <c r="Z201" s="77">
        <f>IF(H201="ja",Y201,0)</f>
        <v>0</v>
      </c>
      <c r="AA201" s="78"/>
      <c r="AB201" s="78">
        <f t="shared" si="2"/>
        <v>0</v>
      </c>
      <c r="AJ201" s="68"/>
      <c r="AK201" s="68"/>
    </row>
    <row r="202" spans="1:37" ht="15" customHeight="1" thickBot="1" x14ac:dyDescent="0.3">
      <c r="A202" s="1595"/>
      <c r="B202" s="1490"/>
      <c r="C202" s="1491"/>
      <c r="D202" s="1491"/>
      <c r="E202" s="1491"/>
      <c r="F202" s="1491"/>
      <c r="G202" s="1492"/>
      <c r="H202" s="983"/>
      <c r="I202" s="1017"/>
      <c r="J202" s="1029"/>
      <c r="K202" s="1030"/>
      <c r="L202" s="1288"/>
      <c r="M202" s="1289"/>
      <c r="N202" s="1289"/>
      <c r="O202" s="1289"/>
      <c r="P202" s="1290"/>
      <c r="Q202" s="1679"/>
      <c r="R202" s="1269"/>
      <c r="S202" s="1270"/>
      <c r="T202" s="1258"/>
      <c r="U202" s="1337"/>
      <c r="V202" s="72">
        <f>IF(AND(Q203="ja",R203=""),1,0)</f>
        <v>0</v>
      </c>
      <c r="Y202" s="74"/>
      <c r="Z202" s="77"/>
      <c r="AA202" s="78"/>
      <c r="AB202" s="78">
        <f>IF(Q203="ja",1,0)</f>
        <v>0</v>
      </c>
      <c r="AJ202" s="68"/>
      <c r="AK202" s="68"/>
    </row>
    <row r="203" spans="1:37" ht="15" customHeight="1" thickBot="1" x14ac:dyDescent="0.3">
      <c r="A203" s="1595"/>
      <c r="B203" s="1103" t="s">
        <v>433</v>
      </c>
      <c r="C203" s="1104"/>
      <c r="D203" s="1104"/>
      <c r="E203" s="1104"/>
      <c r="F203" s="1104"/>
      <c r="G203" s="1105"/>
      <c r="H203" s="314" t="s">
        <v>100</v>
      </c>
      <c r="I203" s="1017"/>
      <c r="J203" s="1029"/>
      <c r="K203" s="1030"/>
      <c r="L203" s="1484" t="s">
        <v>247</v>
      </c>
      <c r="M203" s="1485"/>
      <c r="N203" s="1485"/>
      <c r="O203" s="1485"/>
      <c r="P203" s="1486"/>
      <c r="Q203" s="979" t="s">
        <v>100</v>
      </c>
      <c r="R203" s="1005"/>
      <c r="S203" s="1006"/>
      <c r="T203" s="1258"/>
      <c r="U203" s="1337"/>
      <c r="Y203" s="74">
        <v>5.0000000000000001E-3</v>
      </c>
      <c r="Z203" s="77">
        <f>IF(H203="ja",Y203,0)</f>
        <v>0</v>
      </c>
      <c r="AA203" s="78"/>
      <c r="AB203" s="78">
        <f>IF(Q204="ja",1,0)</f>
        <v>0</v>
      </c>
      <c r="AJ203" s="68"/>
      <c r="AK203" s="68"/>
    </row>
    <row r="204" spans="1:37" ht="15" customHeight="1" thickBot="1" x14ac:dyDescent="0.3">
      <c r="A204" s="1595"/>
      <c r="B204" s="1487" t="s">
        <v>434</v>
      </c>
      <c r="C204" s="1488"/>
      <c r="D204" s="1488"/>
      <c r="E204" s="1488"/>
      <c r="F204" s="1488"/>
      <c r="G204" s="1489"/>
      <c r="H204" s="981" t="s">
        <v>100</v>
      </c>
      <c r="I204" s="1017"/>
      <c r="J204" s="1029"/>
      <c r="K204" s="1030"/>
      <c r="L204" s="1291"/>
      <c r="M204" s="1292"/>
      <c r="N204" s="1292"/>
      <c r="O204" s="1292"/>
      <c r="P204" s="1293"/>
      <c r="Q204" s="1295"/>
      <c r="R204" s="1269"/>
      <c r="S204" s="1270"/>
      <c r="T204" s="1258"/>
      <c r="U204" s="1337"/>
      <c r="Y204" s="74">
        <v>1E-3</v>
      </c>
      <c r="Z204" s="77">
        <f>IF(H204="ja",Y204,0)</f>
        <v>0</v>
      </c>
      <c r="AA204" s="78"/>
      <c r="AB204" s="78">
        <f t="shared" si="2"/>
        <v>0</v>
      </c>
      <c r="AJ204" s="68"/>
      <c r="AK204" s="68"/>
    </row>
    <row r="205" spans="1:37" ht="15" customHeight="1" thickBot="1" x14ac:dyDescent="0.3">
      <c r="A205" s="1595"/>
      <c r="B205" s="1493"/>
      <c r="C205" s="1317"/>
      <c r="D205" s="1317"/>
      <c r="E205" s="1317"/>
      <c r="F205" s="1317"/>
      <c r="G205" s="1494"/>
      <c r="H205" s="982"/>
      <c r="I205" s="1017"/>
      <c r="J205" s="1029"/>
      <c r="K205" s="1030"/>
      <c r="L205" s="984"/>
      <c r="M205" s="985"/>
      <c r="N205" s="985"/>
      <c r="O205" s="985"/>
      <c r="P205" s="985"/>
      <c r="Q205" s="978" t="s">
        <v>100</v>
      </c>
      <c r="R205" s="972"/>
      <c r="S205" s="973"/>
      <c r="T205" s="1258"/>
      <c r="U205" s="1337"/>
      <c r="V205" s="72">
        <f>IF(AND(Q205="ja",R205=""),1,0)</f>
        <v>0</v>
      </c>
      <c r="Y205" s="74"/>
      <c r="Z205" s="77"/>
      <c r="AA205" s="78"/>
      <c r="AB205" s="78">
        <f t="shared" si="2"/>
        <v>0</v>
      </c>
      <c r="AJ205" s="68"/>
      <c r="AK205" s="68"/>
    </row>
    <row r="206" spans="1:37" ht="15" customHeight="1" thickBot="1" x14ac:dyDescent="0.3">
      <c r="A206" s="1595"/>
      <c r="B206" s="1490"/>
      <c r="C206" s="1491"/>
      <c r="D206" s="1491"/>
      <c r="E206" s="1491"/>
      <c r="F206" s="1491"/>
      <c r="G206" s="1492"/>
      <c r="H206" s="983"/>
      <c r="I206" s="1017"/>
      <c r="J206" s="1029"/>
      <c r="K206" s="1030"/>
      <c r="L206" s="984"/>
      <c r="M206" s="985"/>
      <c r="N206" s="985"/>
      <c r="O206" s="985"/>
      <c r="P206" s="985"/>
      <c r="Q206" s="978"/>
      <c r="R206" s="972"/>
      <c r="S206" s="973"/>
      <c r="T206" s="1258"/>
      <c r="U206" s="1337"/>
      <c r="Y206" s="74"/>
      <c r="Z206" s="77"/>
      <c r="AA206" s="78"/>
      <c r="AB206" s="78">
        <f t="shared" si="2"/>
        <v>0</v>
      </c>
      <c r="AJ206" s="68"/>
      <c r="AK206" s="68"/>
    </row>
    <row r="207" spans="1:37" ht="15" customHeight="1" thickBot="1" x14ac:dyDescent="0.3">
      <c r="A207" s="1595"/>
      <c r="B207" s="1103" t="s">
        <v>435</v>
      </c>
      <c r="C207" s="1104"/>
      <c r="D207" s="1104"/>
      <c r="E207" s="1104"/>
      <c r="F207" s="1104"/>
      <c r="G207" s="1105"/>
      <c r="H207" s="314" t="s">
        <v>100</v>
      </c>
      <c r="I207" s="1017"/>
      <c r="J207" s="1029"/>
      <c r="K207" s="1030"/>
      <c r="L207" s="984"/>
      <c r="M207" s="985"/>
      <c r="N207" s="985"/>
      <c r="O207" s="985"/>
      <c r="P207" s="985"/>
      <c r="Q207" s="978"/>
      <c r="R207" s="972"/>
      <c r="S207" s="973"/>
      <c r="T207" s="1258"/>
      <c r="U207" s="1337"/>
      <c r="Y207" s="74">
        <v>2.2499999999999999E-2</v>
      </c>
      <c r="Z207" s="77">
        <f>IF(H207="ja",Y207,0)</f>
        <v>0</v>
      </c>
      <c r="AA207" s="78"/>
      <c r="AB207" s="78">
        <f t="shared" si="2"/>
        <v>0</v>
      </c>
      <c r="AJ207" s="68"/>
      <c r="AK207" s="68"/>
    </row>
    <row r="208" spans="1:37" ht="15" customHeight="1" thickBot="1" x14ac:dyDescent="0.3">
      <c r="A208" s="1595"/>
      <c r="B208" s="1487" t="s">
        <v>436</v>
      </c>
      <c r="C208" s="1488"/>
      <c r="D208" s="1488"/>
      <c r="E208" s="1488"/>
      <c r="F208" s="1488"/>
      <c r="G208" s="1489"/>
      <c r="H208" s="981" t="s">
        <v>100</v>
      </c>
      <c r="I208" s="1017"/>
      <c r="J208" s="1029"/>
      <c r="K208" s="1030"/>
      <c r="L208" s="984" t="s">
        <v>437</v>
      </c>
      <c r="M208" s="985"/>
      <c r="N208" s="985"/>
      <c r="O208" s="985"/>
      <c r="P208" s="985"/>
      <c r="Q208" s="978" t="s">
        <v>100</v>
      </c>
      <c r="R208" s="972"/>
      <c r="S208" s="973"/>
      <c r="T208" s="1258"/>
      <c r="U208" s="1337"/>
      <c r="V208" s="72">
        <f>IF(AND(Q208="ja",R208=""),1,0)</f>
        <v>0</v>
      </c>
      <c r="Y208" s="74">
        <v>6.5000000000000002E-2</v>
      </c>
      <c r="Z208" s="77">
        <f>IF(H208="ja",Y208,0)</f>
        <v>0</v>
      </c>
      <c r="AA208" s="78"/>
      <c r="AB208" s="78">
        <f t="shared" si="2"/>
        <v>0</v>
      </c>
      <c r="AJ208" s="68"/>
      <c r="AK208" s="68"/>
    </row>
    <row r="209" spans="1:37" ht="15" customHeight="1" thickBot="1" x14ac:dyDescent="0.3">
      <c r="A209" s="1595"/>
      <c r="B209" s="1493"/>
      <c r="C209" s="1317"/>
      <c r="D209" s="1317"/>
      <c r="E209" s="1317"/>
      <c r="F209" s="1317"/>
      <c r="G209" s="1494"/>
      <c r="H209" s="982"/>
      <c r="I209" s="1017"/>
      <c r="J209" s="1029"/>
      <c r="K209" s="1030"/>
      <c r="L209" s="984"/>
      <c r="M209" s="985"/>
      <c r="N209" s="985"/>
      <c r="O209" s="985"/>
      <c r="P209" s="985"/>
      <c r="Q209" s="978"/>
      <c r="R209" s="972"/>
      <c r="S209" s="973"/>
      <c r="T209" s="1258"/>
      <c r="U209" s="1337"/>
      <c r="Y209" s="74"/>
      <c r="Z209" s="77"/>
      <c r="AA209" s="78"/>
      <c r="AB209" s="78">
        <f t="shared" si="2"/>
        <v>0</v>
      </c>
      <c r="AJ209" s="68"/>
      <c r="AK209" s="68"/>
    </row>
    <row r="210" spans="1:37" ht="15" customHeight="1" thickBot="1" x14ac:dyDescent="0.3">
      <c r="A210" s="159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78">
        <f t="shared" si="2"/>
        <v>0</v>
      </c>
      <c r="AJ210" s="68"/>
      <c r="AK210" s="68"/>
    </row>
    <row r="211" spans="1:37" ht="15" customHeight="1" thickBot="1" x14ac:dyDescent="0.3">
      <c r="A211" s="1595"/>
      <c r="B211" s="1490"/>
      <c r="C211" s="1491"/>
      <c r="D211" s="1491"/>
      <c r="E211" s="1491"/>
      <c r="F211" s="1491"/>
      <c r="G211" s="1492"/>
      <c r="H211" s="983"/>
      <c r="I211" s="1017"/>
      <c r="J211" s="1029"/>
      <c r="K211" s="1030"/>
      <c r="L211" s="1484" t="s">
        <v>438</v>
      </c>
      <c r="M211" s="1485"/>
      <c r="N211" s="1485"/>
      <c r="O211" s="1485"/>
      <c r="P211" s="1486"/>
      <c r="Q211" s="978" t="s">
        <v>100</v>
      </c>
      <c r="R211" s="972"/>
      <c r="S211" s="973"/>
      <c r="T211" s="1258"/>
      <c r="U211" s="1337"/>
      <c r="V211" s="72">
        <f>IF(AND(Q211="ja",R211=""),1,0)</f>
        <v>0</v>
      </c>
      <c r="Y211" s="74"/>
      <c r="Z211" s="77"/>
      <c r="AA211" s="78"/>
      <c r="AB211" s="78">
        <f t="shared" si="2"/>
        <v>0</v>
      </c>
      <c r="AJ211" s="68"/>
      <c r="AK211" s="68"/>
    </row>
    <row r="212" spans="1:37" ht="15" customHeight="1" thickBot="1" x14ac:dyDescent="0.3">
      <c r="A212" s="1595"/>
      <c r="B212" s="1487" t="s">
        <v>439</v>
      </c>
      <c r="C212" s="1488"/>
      <c r="D212" s="1488"/>
      <c r="E212" s="1488"/>
      <c r="F212" s="1488"/>
      <c r="G212" s="1489"/>
      <c r="H212" s="981" t="s">
        <v>100</v>
      </c>
      <c r="I212" s="1017"/>
      <c r="J212" s="1029"/>
      <c r="K212" s="1030"/>
      <c r="L212" s="1288"/>
      <c r="M212" s="1289"/>
      <c r="N212" s="1289"/>
      <c r="O212" s="1289"/>
      <c r="P212" s="1290"/>
      <c r="Q212" s="978"/>
      <c r="R212" s="972"/>
      <c r="S212" s="973"/>
      <c r="T212" s="1258"/>
      <c r="U212" s="1337"/>
      <c r="Y212" s="74">
        <v>8.5000000000000006E-3</v>
      </c>
      <c r="Z212" s="77">
        <f>IF(H212="ja",Y212,0)</f>
        <v>0</v>
      </c>
      <c r="AA212" s="78"/>
      <c r="AB212" s="78">
        <f t="shared" si="2"/>
        <v>0</v>
      </c>
      <c r="AJ212" s="68"/>
      <c r="AK212" s="68"/>
    </row>
    <row r="213" spans="1:37" ht="15" customHeight="1" thickBot="1" x14ac:dyDescent="0.3">
      <c r="A213" s="1595"/>
      <c r="B213" s="1493"/>
      <c r="C213" s="1317"/>
      <c r="D213" s="1317"/>
      <c r="E213" s="1317"/>
      <c r="F213" s="1317"/>
      <c r="G213" s="1494"/>
      <c r="H213" s="982"/>
      <c r="I213" s="1017"/>
      <c r="J213" s="1029"/>
      <c r="K213" s="1030"/>
      <c r="L213" s="1288"/>
      <c r="M213" s="1289"/>
      <c r="N213" s="1289"/>
      <c r="O213" s="1289"/>
      <c r="P213" s="1290"/>
      <c r="Q213" s="978"/>
      <c r="R213" s="972"/>
      <c r="S213" s="973"/>
      <c r="T213" s="1258"/>
      <c r="U213" s="1337"/>
      <c r="Y213" s="74"/>
      <c r="Z213" s="77"/>
      <c r="AA213" s="78"/>
      <c r="AB213" s="78">
        <f t="shared" si="2"/>
        <v>0</v>
      </c>
      <c r="AJ213" s="68"/>
      <c r="AK213" s="68"/>
    </row>
    <row r="214" spans="1:37" ht="15" customHeight="1" thickBot="1" x14ac:dyDescent="0.3">
      <c r="A214" s="1595"/>
      <c r="B214" s="1493"/>
      <c r="C214" s="1317"/>
      <c r="D214" s="1317"/>
      <c r="E214" s="1317"/>
      <c r="F214" s="1317"/>
      <c r="G214" s="1494"/>
      <c r="H214" s="982"/>
      <c r="I214" s="1017"/>
      <c r="J214" s="1029"/>
      <c r="K214" s="1030"/>
      <c r="L214" s="1288"/>
      <c r="M214" s="1289"/>
      <c r="N214" s="1289"/>
      <c r="O214" s="1289"/>
      <c r="P214" s="1290"/>
      <c r="Q214" s="978" t="s">
        <v>100</v>
      </c>
      <c r="R214" s="972"/>
      <c r="S214" s="973"/>
      <c r="T214" s="1258"/>
      <c r="U214" s="1337"/>
      <c r="V214" s="72">
        <f>IF(AND(Q214="ja",R214=""),1,0)</f>
        <v>0</v>
      </c>
      <c r="Y214" s="74"/>
      <c r="Z214" s="77"/>
      <c r="AA214" s="78"/>
      <c r="AB214" s="78">
        <f t="shared" si="2"/>
        <v>0</v>
      </c>
      <c r="AJ214" s="68"/>
      <c r="AK214" s="68"/>
    </row>
    <row r="215" spans="1:37" ht="15" customHeight="1" thickBot="1" x14ac:dyDescent="0.3">
      <c r="A215" s="1595"/>
      <c r="B215" s="1490"/>
      <c r="C215" s="1491"/>
      <c r="D215" s="1491"/>
      <c r="E215" s="1491"/>
      <c r="F215" s="1491"/>
      <c r="G215" s="1492"/>
      <c r="H215" s="983"/>
      <c r="I215" s="1017"/>
      <c r="J215" s="1029"/>
      <c r="K215" s="1030"/>
      <c r="L215" s="1288"/>
      <c r="M215" s="1289"/>
      <c r="N215" s="1289"/>
      <c r="O215" s="1289"/>
      <c r="P215" s="1290"/>
      <c r="Q215" s="978"/>
      <c r="R215" s="972"/>
      <c r="S215" s="973"/>
      <c r="T215" s="1258"/>
      <c r="U215" s="1337"/>
      <c r="Y215" s="74"/>
      <c r="Z215" s="77"/>
      <c r="AA215" s="78"/>
      <c r="AB215" s="78">
        <f t="shared" si="2"/>
        <v>0</v>
      </c>
      <c r="AJ215" s="68"/>
      <c r="AK215" s="68"/>
    </row>
    <row r="216" spans="1:37" ht="15" customHeight="1" thickBot="1" x14ac:dyDescent="0.3">
      <c r="A216" s="1595"/>
      <c r="B216" s="1103" t="s">
        <v>440</v>
      </c>
      <c r="C216" s="1104"/>
      <c r="D216" s="1104"/>
      <c r="E216" s="1104"/>
      <c r="F216" s="1104"/>
      <c r="G216" s="1105"/>
      <c r="H216" s="314" t="s">
        <v>100</v>
      </c>
      <c r="I216" s="1017"/>
      <c r="J216" s="1029"/>
      <c r="K216" s="1030"/>
      <c r="L216" s="1291"/>
      <c r="M216" s="1292"/>
      <c r="N216" s="1292"/>
      <c r="O216" s="1292"/>
      <c r="P216" s="1293"/>
      <c r="Q216" s="978"/>
      <c r="R216" s="972"/>
      <c r="S216" s="973"/>
      <c r="T216" s="1258"/>
      <c r="U216" s="1337"/>
      <c r="Y216" s="74">
        <v>8.0000000000000002E-3</v>
      </c>
      <c r="Z216" s="77">
        <f>IF(H216="ja",Y216,0)</f>
        <v>0</v>
      </c>
      <c r="AA216" s="78"/>
      <c r="AB216" s="78">
        <f t="shared" si="2"/>
        <v>0</v>
      </c>
      <c r="AJ216" s="68"/>
      <c r="AK216" s="68"/>
    </row>
    <row r="217" spans="1:37" ht="15" customHeight="1" thickBot="1" x14ac:dyDescent="0.3">
      <c r="A217" s="1595"/>
      <c r="B217" s="1103" t="s">
        <v>441</v>
      </c>
      <c r="C217" s="1104"/>
      <c r="D217" s="1104"/>
      <c r="E217" s="1104"/>
      <c r="F217" s="1104"/>
      <c r="G217" s="1105"/>
      <c r="H217" s="314" t="s">
        <v>100</v>
      </c>
      <c r="I217" s="1017"/>
      <c r="J217" s="1029"/>
      <c r="K217" s="1030"/>
      <c r="L217" s="1484" t="s">
        <v>442</v>
      </c>
      <c r="M217" s="1485"/>
      <c r="N217" s="1485"/>
      <c r="O217" s="1485"/>
      <c r="P217" s="1486"/>
      <c r="Q217" s="979" t="s">
        <v>100</v>
      </c>
      <c r="R217" s="1005"/>
      <c r="S217" s="1006"/>
      <c r="T217" s="1258"/>
      <c r="U217" s="1337"/>
      <c r="V217" s="72">
        <f>IF(AND(Q217="ja",R217=""),1,0)</f>
        <v>0</v>
      </c>
      <c r="Y217" s="74">
        <v>5.0000000000000001E-3</v>
      </c>
      <c r="Z217" s="77">
        <f>IF(H217="ja",Y217,0)</f>
        <v>0</v>
      </c>
      <c r="AA217" s="78"/>
      <c r="AB217" s="78">
        <f t="shared" si="2"/>
        <v>0</v>
      </c>
      <c r="AJ217" s="68"/>
      <c r="AK217" s="68"/>
    </row>
    <row r="218" spans="1:37" ht="15" customHeight="1" thickBot="1" x14ac:dyDescent="0.3">
      <c r="A218" s="1595"/>
      <c r="B218" s="1487" t="s">
        <v>443</v>
      </c>
      <c r="C218" s="1488"/>
      <c r="D218" s="1488"/>
      <c r="E218" s="1488"/>
      <c r="F218" s="1488"/>
      <c r="G218" s="1489"/>
      <c r="H218" s="981" t="s">
        <v>100</v>
      </c>
      <c r="I218" s="1017"/>
      <c r="J218" s="1029"/>
      <c r="K218" s="1030"/>
      <c r="L218" s="1288"/>
      <c r="M218" s="1289"/>
      <c r="N218" s="1289"/>
      <c r="O218" s="1289"/>
      <c r="P218" s="1290"/>
      <c r="Q218" s="1003"/>
      <c r="R218" s="1007"/>
      <c r="S218" s="1008"/>
      <c r="T218" s="1258"/>
      <c r="U218" s="1337"/>
      <c r="Y218" s="74">
        <v>2.5000000000000001E-2</v>
      </c>
      <c r="Z218" s="77">
        <f>IF(H218="ja",Y218,0)</f>
        <v>0</v>
      </c>
      <c r="AA218" s="78"/>
      <c r="AB218" s="78">
        <f t="shared" si="2"/>
        <v>0</v>
      </c>
      <c r="AJ218" s="68"/>
      <c r="AK218" s="68"/>
    </row>
    <row r="219" spans="1:37" ht="15" customHeight="1" thickBot="1" x14ac:dyDescent="0.3">
      <c r="A219" s="1595"/>
      <c r="B219" s="1493"/>
      <c r="C219" s="1317"/>
      <c r="D219" s="1317"/>
      <c r="E219" s="1317"/>
      <c r="F219" s="1317"/>
      <c r="G219" s="1494"/>
      <c r="H219" s="982"/>
      <c r="I219" s="1017"/>
      <c r="J219" s="1029"/>
      <c r="K219" s="1030"/>
      <c r="L219" s="1288"/>
      <c r="M219" s="1289"/>
      <c r="N219" s="1289"/>
      <c r="O219" s="1289"/>
      <c r="P219" s="1290"/>
      <c r="Q219" s="1003"/>
      <c r="R219" s="1007"/>
      <c r="S219" s="1008"/>
      <c r="T219" s="1258"/>
      <c r="U219" s="1337"/>
      <c r="Y219" s="74"/>
      <c r="Z219" s="77"/>
      <c r="AA219" s="78"/>
      <c r="AB219" s="78">
        <f t="shared" si="2"/>
        <v>0</v>
      </c>
      <c r="AJ219" s="68"/>
      <c r="AK219" s="68"/>
    </row>
    <row r="220" spans="1:37" ht="15" customHeight="1" thickBot="1" x14ac:dyDescent="0.3">
      <c r="A220" s="159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V220" s="72">
        <f>IF(AND(Q220="ja",R220=""),1,0)</f>
        <v>0</v>
      </c>
      <c r="Y220" s="74"/>
      <c r="Z220" s="77"/>
      <c r="AA220" s="78"/>
      <c r="AB220" s="78">
        <f t="shared" si="2"/>
        <v>0</v>
      </c>
      <c r="AJ220" s="68"/>
      <c r="AK220" s="68"/>
    </row>
    <row r="221" spans="1:37" ht="15" customHeight="1" thickBot="1" x14ac:dyDescent="0.3">
      <c r="A221" s="1595"/>
      <c r="B221" s="1490"/>
      <c r="C221" s="1491"/>
      <c r="D221" s="1491"/>
      <c r="E221" s="1491"/>
      <c r="F221" s="1491"/>
      <c r="G221" s="1492"/>
      <c r="H221" s="983"/>
      <c r="I221" s="1017"/>
      <c r="J221" s="1029"/>
      <c r="K221" s="1030"/>
      <c r="L221" s="1288"/>
      <c r="M221" s="1289"/>
      <c r="N221" s="1289"/>
      <c r="O221" s="1289"/>
      <c r="P221" s="1290"/>
      <c r="Q221" s="1003"/>
      <c r="R221" s="1007"/>
      <c r="S221" s="1008"/>
      <c r="T221" s="1258"/>
      <c r="U221" s="1337"/>
      <c r="Y221" s="74"/>
      <c r="Z221" s="77"/>
      <c r="AA221" s="78"/>
      <c r="AB221" s="78">
        <f t="shared" si="2"/>
        <v>0</v>
      </c>
      <c r="AJ221" s="68"/>
      <c r="AK221" s="68"/>
    </row>
    <row r="222" spans="1:37" ht="15" customHeight="1" thickBot="1" x14ac:dyDescent="0.3">
      <c r="A222" s="1595"/>
      <c r="B222" s="1103" t="s">
        <v>444</v>
      </c>
      <c r="C222" s="1104"/>
      <c r="D222" s="1104"/>
      <c r="E222" s="1104"/>
      <c r="F222" s="1104"/>
      <c r="G222" s="1105"/>
      <c r="H222" s="314" t="s">
        <v>100</v>
      </c>
      <c r="I222" s="1017"/>
      <c r="J222" s="1029"/>
      <c r="K222" s="1030"/>
      <c r="L222" s="1288"/>
      <c r="M222" s="1289"/>
      <c r="N222" s="1289"/>
      <c r="O222" s="1289"/>
      <c r="P222" s="1290"/>
      <c r="Q222" s="1003"/>
      <c r="R222" s="1007"/>
      <c r="S222" s="1008"/>
      <c r="T222" s="1258"/>
      <c r="U222" s="1337"/>
      <c r="Y222" s="74">
        <v>1E-3</v>
      </c>
      <c r="Z222" s="77">
        <f>IF(H222="ja",Y222,0)</f>
        <v>0</v>
      </c>
      <c r="AA222" s="78"/>
      <c r="AB222" s="78">
        <f t="shared" si="2"/>
        <v>0</v>
      </c>
      <c r="AJ222" s="68"/>
      <c r="AK222" s="68"/>
    </row>
    <row r="223" spans="1:37" ht="15" customHeight="1" thickBot="1" x14ac:dyDescent="0.3">
      <c r="A223" s="1595"/>
      <c r="B223" s="1487" t="s">
        <v>445</v>
      </c>
      <c r="C223" s="1488"/>
      <c r="D223" s="1488"/>
      <c r="E223" s="1488"/>
      <c r="F223" s="1488"/>
      <c r="G223" s="1489"/>
      <c r="H223" s="981" t="s">
        <v>100</v>
      </c>
      <c r="I223" s="1017"/>
      <c r="J223" s="1029"/>
      <c r="K223" s="1030"/>
      <c r="L223" s="1288"/>
      <c r="M223" s="1289"/>
      <c r="N223" s="1289"/>
      <c r="O223" s="1289"/>
      <c r="P223" s="1290"/>
      <c r="Q223" s="1003"/>
      <c r="R223" s="1007"/>
      <c r="S223" s="1008"/>
      <c r="T223" s="1258"/>
      <c r="U223" s="1337"/>
      <c r="V223" s="72">
        <f>IF(AND(Q223="ja",R223=""),1,0)</f>
        <v>0</v>
      </c>
      <c r="Y223" s="74">
        <v>7.4999999999999997E-3</v>
      </c>
      <c r="Z223" s="77">
        <f>IF(H223="ja",Y223,0)</f>
        <v>0</v>
      </c>
      <c r="AA223" s="78"/>
      <c r="AB223" s="78">
        <f t="shared" si="2"/>
        <v>0</v>
      </c>
      <c r="AJ223" s="68"/>
      <c r="AK223" s="68"/>
    </row>
    <row r="224" spans="1:37" ht="15" customHeight="1" thickBot="1" x14ac:dyDescent="0.3">
      <c r="A224" s="1595"/>
      <c r="B224" s="1493"/>
      <c r="C224" s="1317"/>
      <c r="D224" s="1317"/>
      <c r="E224" s="1317"/>
      <c r="F224" s="1317"/>
      <c r="G224" s="1494"/>
      <c r="H224" s="982"/>
      <c r="I224" s="1017"/>
      <c r="J224" s="1029"/>
      <c r="K224" s="1030"/>
      <c r="L224" s="1288"/>
      <c r="M224" s="1289"/>
      <c r="N224" s="1289"/>
      <c r="O224" s="1289"/>
      <c r="P224" s="1290"/>
      <c r="Q224" s="1003"/>
      <c r="R224" s="1007"/>
      <c r="S224" s="1008"/>
      <c r="T224" s="1258"/>
      <c r="U224" s="1337"/>
      <c r="Y224" s="74"/>
      <c r="Z224" s="77"/>
      <c r="AA224" s="78"/>
      <c r="AB224" s="78">
        <f t="shared" si="2"/>
        <v>0</v>
      </c>
      <c r="AJ224" s="68"/>
      <c r="AK224" s="68"/>
    </row>
    <row r="225" spans="1:37" ht="15" customHeight="1" thickBot="1" x14ac:dyDescent="0.3">
      <c r="A225" s="1595"/>
      <c r="B225" s="1493"/>
      <c r="C225" s="1317"/>
      <c r="D225" s="1317"/>
      <c r="E225" s="1317"/>
      <c r="F225" s="1317"/>
      <c r="G225" s="1494"/>
      <c r="H225" s="982"/>
      <c r="I225" s="1017"/>
      <c r="J225" s="1029"/>
      <c r="K225" s="1030"/>
      <c r="L225" s="1291"/>
      <c r="M225" s="1292"/>
      <c r="N225" s="1292"/>
      <c r="O225" s="1292"/>
      <c r="P225" s="1293"/>
      <c r="Q225" s="1295"/>
      <c r="R225" s="1269"/>
      <c r="S225" s="1270"/>
      <c r="T225" s="1258"/>
      <c r="U225" s="1337"/>
      <c r="Y225" s="74"/>
      <c r="Z225" s="77"/>
      <c r="AA225" s="78"/>
      <c r="AB225" s="78">
        <f t="shared" si="2"/>
        <v>0</v>
      </c>
      <c r="AJ225" s="68"/>
      <c r="AK225" s="68"/>
    </row>
    <row r="226" spans="1:37" ht="15" customHeight="1" thickBot="1" x14ac:dyDescent="0.3">
      <c r="A226" s="1595"/>
      <c r="B226" s="1490"/>
      <c r="C226" s="1491"/>
      <c r="D226" s="1491"/>
      <c r="E226" s="1491"/>
      <c r="F226" s="1491"/>
      <c r="G226" s="1492"/>
      <c r="H226" s="983"/>
      <c r="I226" s="1017"/>
      <c r="J226" s="1029"/>
      <c r="K226" s="1030"/>
      <c r="L226" s="984" t="s">
        <v>254</v>
      </c>
      <c r="M226" s="985"/>
      <c r="N226" s="985"/>
      <c r="O226" s="985"/>
      <c r="P226" s="985"/>
      <c r="Q226" s="978" t="s">
        <v>100</v>
      </c>
      <c r="R226" s="972"/>
      <c r="S226" s="973"/>
      <c r="T226" s="1258"/>
      <c r="U226" s="1337"/>
      <c r="V226" s="72">
        <f>IF(AND(Q226="ja",R226=""),1,0)</f>
        <v>0</v>
      </c>
      <c r="Y226" s="74"/>
      <c r="Z226" s="77"/>
      <c r="AA226" s="78"/>
      <c r="AB226" s="78">
        <f t="shared" si="2"/>
        <v>0</v>
      </c>
      <c r="AJ226" s="68"/>
      <c r="AK226" s="68"/>
    </row>
    <row r="227" spans="1:37" ht="15" customHeight="1" thickBot="1" x14ac:dyDescent="0.3">
      <c r="A227" s="1595"/>
      <c r="B227" s="1487" t="s">
        <v>446</v>
      </c>
      <c r="C227" s="1488"/>
      <c r="D227" s="1488"/>
      <c r="E227" s="1488"/>
      <c r="F227" s="1488"/>
      <c r="G227" s="1489"/>
      <c r="H227" s="981" t="s">
        <v>100</v>
      </c>
      <c r="I227" s="1017"/>
      <c r="J227" s="1029"/>
      <c r="K227" s="1030"/>
      <c r="L227" s="984"/>
      <c r="M227" s="985"/>
      <c r="N227" s="985"/>
      <c r="O227" s="985"/>
      <c r="P227" s="985"/>
      <c r="Q227" s="978"/>
      <c r="R227" s="972"/>
      <c r="S227" s="973"/>
      <c r="T227" s="1258"/>
      <c r="U227" s="1337"/>
      <c r="Y227" s="74">
        <v>1E-3</v>
      </c>
      <c r="Z227" s="77">
        <f>IF(H227="ja",Y227,0)</f>
        <v>0</v>
      </c>
      <c r="AA227" s="78"/>
      <c r="AB227" s="78">
        <f t="shared" si="2"/>
        <v>0</v>
      </c>
      <c r="AJ227" s="68"/>
      <c r="AK227" s="68"/>
    </row>
    <row r="228" spans="1:37" ht="15" customHeight="1" thickBot="1" x14ac:dyDescent="0.3">
      <c r="A228" s="1595"/>
      <c r="B228" s="1490"/>
      <c r="C228" s="1491"/>
      <c r="D228" s="1491"/>
      <c r="E228" s="1491"/>
      <c r="F228" s="1491"/>
      <c r="G228" s="1492"/>
      <c r="H228" s="983"/>
      <c r="I228" s="1017"/>
      <c r="J228" s="1029"/>
      <c r="K228" s="1030"/>
      <c r="L228" s="984"/>
      <c r="M228" s="985"/>
      <c r="N228" s="985"/>
      <c r="O228" s="985"/>
      <c r="P228" s="985"/>
      <c r="Q228" s="978"/>
      <c r="R228" s="972"/>
      <c r="S228" s="973"/>
      <c r="T228" s="1258"/>
      <c r="U228" s="1337"/>
      <c r="Y228" s="74"/>
      <c r="Z228" s="77"/>
      <c r="AA228" s="78"/>
      <c r="AB228" s="78">
        <f t="shared" si="2"/>
        <v>0</v>
      </c>
      <c r="AJ228" s="68"/>
      <c r="AK228" s="68"/>
    </row>
    <row r="229" spans="1:37" ht="15" customHeight="1" thickBot="1" x14ac:dyDescent="0.3">
      <c r="A229" s="1595"/>
      <c r="B229" s="1487" t="s">
        <v>270</v>
      </c>
      <c r="C229" s="1488"/>
      <c r="D229" s="1488"/>
      <c r="E229" s="1488"/>
      <c r="F229" s="1488"/>
      <c r="G229" s="1489"/>
      <c r="H229" s="981" t="s">
        <v>100</v>
      </c>
      <c r="I229" s="1017"/>
      <c r="J229" s="1029"/>
      <c r="K229" s="1030"/>
      <c r="L229" s="1484" t="s">
        <v>263</v>
      </c>
      <c r="M229" s="1485"/>
      <c r="N229" s="1485"/>
      <c r="O229" s="1485"/>
      <c r="P229" s="1486"/>
      <c r="Q229" s="979" t="s">
        <v>100</v>
      </c>
      <c r="R229" s="1005"/>
      <c r="S229" s="1006"/>
      <c r="T229" s="1258"/>
      <c r="U229" s="1337"/>
      <c r="V229" s="72">
        <f>IF(AND(Q229="ja",R229=""),1,0)</f>
        <v>0</v>
      </c>
      <c r="Y229" s="74">
        <v>1.4999999999999999E-2</v>
      </c>
      <c r="Z229" s="77">
        <f>IF(H229="ja",Y229,0)</f>
        <v>0</v>
      </c>
      <c r="AA229" s="78"/>
      <c r="AB229" s="78">
        <f t="shared" si="2"/>
        <v>0</v>
      </c>
      <c r="AJ229" s="68"/>
      <c r="AK229" s="68"/>
    </row>
    <row r="230" spans="1:37" ht="15" customHeight="1" thickBot="1" x14ac:dyDescent="0.3">
      <c r="A230" s="1595"/>
      <c r="B230" s="1490"/>
      <c r="C230" s="1491"/>
      <c r="D230" s="1491"/>
      <c r="E230" s="1491"/>
      <c r="F230" s="1491"/>
      <c r="G230" s="1492"/>
      <c r="H230" s="983"/>
      <c r="I230" s="1017"/>
      <c r="J230" s="1029"/>
      <c r="K230" s="1030"/>
      <c r="L230" s="1288"/>
      <c r="M230" s="1289"/>
      <c r="N230" s="1289"/>
      <c r="O230" s="1289"/>
      <c r="P230" s="1290"/>
      <c r="Q230" s="1003"/>
      <c r="R230" s="1007"/>
      <c r="S230" s="1008"/>
      <c r="T230" s="1258"/>
      <c r="U230" s="1337"/>
      <c r="Y230" s="74"/>
      <c r="Z230" s="77"/>
      <c r="AA230" s="78"/>
      <c r="AB230" s="78">
        <f t="shared" si="2"/>
        <v>0</v>
      </c>
      <c r="AJ230" s="68"/>
      <c r="AK230" s="68"/>
    </row>
    <row r="231" spans="1:37" ht="15" customHeight="1" thickBot="1" x14ac:dyDescent="0.3">
      <c r="A231" s="1595"/>
      <c r="B231" s="1487" t="s">
        <v>447</v>
      </c>
      <c r="C231" s="1488"/>
      <c r="D231" s="1488"/>
      <c r="E231" s="1488"/>
      <c r="F231" s="1488"/>
      <c r="G231" s="1489"/>
      <c r="H231" s="981" t="s">
        <v>100</v>
      </c>
      <c r="I231" s="1017"/>
      <c r="J231" s="1029"/>
      <c r="K231" s="1030"/>
      <c r="L231" s="1288"/>
      <c r="M231" s="1289"/>
      <c r="N231" s="1289"/>
      <c r="O231" s="1289"/>
      <c r="P231" s="1290"/>
      <c r="Q231" s="1003"/>
      <c r="R231" s="1007"/>
      <c r="S231" s="1008"/>
      <c r="T231" s="1258"/>
      <c r="U231" s="1337"/>
      <c r="Y231" s="74">
        <v>1E-3</v>
      </c>
      <c r="Z231" s="77">
        <f>IF(H231="ja",Y231,0)</f>
        <v>0</v>
      </c>
      <c r="AA231" s="77"/>
      <c r="AB231" s="78">
        <f t="shared" si="2"/>
        <v>0</v>
      </c>
      <c r="AJ231" s="68"/>
      <c r="AK231" s="68"/>
    </row>
    <row r="232" spans="1:37" ht="15" customHeight="1" thickBot="1" x14ac:dyDescent="0.3">
      <c r="A232" s="1595"/>
      <c r="B232" s="1493"/>
      <c r="C232" s="1317"/>
      <c r="D232" s="1317"/>
      <c r="E232" s="1317"/>
      <c r="F232" s="1317"/>
      <c r="G232" s="1494"/>
      <c r="H232" s="982"/>
      <c r="I232" s="1017"/>
      <c r="J232" s="1029"/>
      <c r="K232" s="1030"/>
      <c r="L232" s="1288"/>
      <c r="M232" s="1289"/>
      <c r="N232" s="1289"/>
      <c r="O232" s="1289"/>
      <c r="P232" s="1290"/>
      <c r="Q232" s="1003"/>
      <c r="R232" s="1007"/>
      <c r="S232" s="1008"/>
      <c r="T232" s="1258"/>
      <c r="U232" s="1337"/>
      <c r="V232" s="72">
        <f>IF(AND(Q232="ja",R232=""),1,0)</f>
        <v>0</v>
      </c>
      <c r="Y232" s="74"/>
      <c r="Z232" s="77"/>
      <c r="AA232" s="78"/>
      <c r="AB232" s="78">
        <f t="shared" ref="AB232:AB243" si="3">IF(Q232="ja",1,0)</f>
        <v>0</v>
      </c>
      <c r="AJ232" s="68"/>
      <c r="AK232" s="68"/>
    </row>
    <row r="233" spans="1:37" ht="15" customHeight="1" thickBot="1" x14ac:dyDescent="0.3">
      <c r="A233" s="1595"/>
      <c r="B233" s="1490"/>
      <c r="C233" s="1491"/>
      <c r="D233" s="1491"/>
      <c r="E233" s="1491"/>
      <c r="F233" s="1491"/>
      <c r="G233" s="1492"/>
      <c r="H233" s="983"/>
      <c r="I233" s="1018"/>
      <c r="J233" s="1031"/>
      <c r="K233" s="1032"/>
      <c r="L233" s="1508"/>
      <c r="M233" s="1509"/>
      <c r="N233" s="1509"/>
      <c r="O233" s="1509"/>
      <c r="P233" s="1510"/>
      <c r="Q233" s="1004"/>
      <c r="R233" s="1009"/>
      <c r="S233" s="1010"/>
      <c r="T233" s="1259"/>
      <c r="U233" s="1337"/>
      <c r="Y233" s="74"/>
      <c r="Z233" s="77"/>
      <c r="AA233" s="78"/>
      <c r="AB233" s="78">
        <f t="shared" si="3"/>
        <v>0</v>
      </c>
      <c r="AJ233" s="68"/>
      <c r="AK233" s="68"/>
    </row>
    <row r="234" spans="1:37" ht="14.55" thickBot="1" x14ac:dyDescent="0.3">
      <c r="A234" s="1595"/>
      <c r="B234" s="1511" t="s">
        <v>272</v>
      </c>
      <c r="C234" s="1512"/>
      <c r="D234" s="1512"/>
      <c r="E234" s="1512"/>
      <c r="F234" s="1512"/>
      <c r="G234" s="1513"/>
      <c r="H234" s="342"/>
      <c r="I234" s="1361"/>
      <c r="J234" s="1362"/>
      <c r="K234" s="1362"/>
      <c r="L234" s="1534">
        <f>SUM(R193:S233)</f>
        <v>0</v>
      </c>
      <c r="M234" s="1535"/>
      <c r="N234" s="1535"/>
      <c r="O234" s="1535"/>
      <c r="P234" s="1535"/>
      <c r="Q234" s="338"/>
      <c r="R234" s="1495"/>
      <c r="S234" s="1496"/>
      <c r="U234" s="334"/>
      <c r="Y234" s="74"/>
      <c r="Z234" s="152">
        <f>SUM(Z193:Z231)</f>
        <v>0</v>
      </c>
      <c r="AA234" s="78"/>
      <c r="AB234" s="78">
        <f t="shared" si="3"/>
        <v>0</v>
      </c>
      <c r="AJ234" s="68"/>
      <c r="AK234" s="68"/>
    </row>
    <row r="235" spans="1:37" ht="15" customHeight="1" thickBot="1" x14ac:dyDescent="0.3">
      <c r="A235" s="1595"/>
      <c r="B235" s="1497" t="s">
        <v>503</v>
      </c>
      <c r="C235" s="1498"/>
      <c r="D235" s="1498"/>
      <c r="E235" s="1498"/>
      <c r="F235" s="1498"/>
      <c r="G235" s="1499"/>
      <c r="H235" s="1194" t="s">
        <v>100</v>
      </c>
      <c r="I235" s="1016">
        <f>Z244</f>
        <v>0</v>
      </c>
      <c r="J235" s="1027">
        <f>I235*I115</f>
        <v>0</v>
      </c>
      <c r="K235" s="1028"/>
      <c r="L235" s="984"/>
      <c r="M235" s="985"/>
      <c r="N235" s="985"/>
      <c r="O235" s="985"/>
      <c r="P235" s="985"/>
      <c r="Q235" s="978" t="s">
        <v>100</v>
      </c>
      <c r="R235" s="972"/>
      <c r="S235" s="973"/>
      <c r="T235" s="1257" t="str">
        <f>IFERROR(IF((VLOOKUP(U235,Überblick!$M$125:$N$133,2))="ja","ja","nein"),"")</f>
        <v/>
      </c>
      <c r="U235" s="1337"/>
      <c r="V235" s="72">
        <f>IF(AND(Q235="ja",R235=""),1,0)</f>
        <v>0</v>
      </c>
      <c r="Y235" s="74">
        <v>5.0000000000000001E-3</v>
      </c>
      <c r="Z235" s="77">
        <f>IF(H235="ja",Y235,0)</f>
        <v>0</v>
      </c>
      <c r="AA235" s="78"/>
      <c r="AB235" s="78">
        <f t="shared" si="3"/>
        <v>0</v>
      </c>
      <c r="AJ235" s="68"/>
      <c r="AK235" s="68"/>
    </row>
    <row r="236" spans="1:37" ht="15" customHeight="1" thickBot="1" x14ac:dyDescent="0.3">
      <c r="A236" s="1595"/>
      <c r="B236" s="1493"/>
      <c r="C236" s="1317"/>
      <c r="D236" s="1317"/>
      <c r="E236" s="1317"/>
      <c r="F236" s="1317"/>
      <c r="G236" s="1494"/>
      <c r="H236" s="982"/>
      <c r="I236" s="1017"/>
      <c r="J236" s="1029"/>
      <c r="K236" s="1030"/>
      <c r="L236" s="984"/>
      <c r="M236" s="985"/>
      <c r="N236" s="985"/>
      <c r="O236" s="985"/>
      <c r="P236" s="985"/>
      <c r="Q236" s="978"/>
      <c r="R236" s="972"/>
      <c r="S236" s="973"/>
      <c r="T236" s="1258"/>
      <c r="U236" s="1337"/>
      <c r="Y236" s="74"/>
      <c r="Z236" s="77"/>
      <c r="AA236" s="78"/>
      <c r="AB236" s="78">
        <f t="shared" si="3"/>
        <v>0</v>
      </c>
      <c r="AJ236" s="68"/>
      <c r="AK236" s="68"/>
    </row>
    <row r="237" spans="1:37" ht="15" customHeight="1" thickBot="1" x14ac:dyDescent="0.3">
      <c r="A237" s="159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78">
        <f t="shared" si="3"/>
        <v>0</v>
      </c>
      <c r="AJ237" s="68"/>
      <c r="AK237" s="68"/>
    </row>
    <row r="238" spans="1:37" ht="15" customHeight="1" thickBot="1" x14ac:dyDescent="0.3">
      <c r="A238" s="1595"/>
      <c r="B238" s="1493"/>
      <c r="C238" s="1317"/>
      <c r="D238" s="1317"/>
      <c r="E238" s="1317"/>
      <c r="F238" s="1317"/>
      <c r="G238" s="1494"/>
      <c r="H238" s="982"/>
      <c r="I238" s="1017"/>
      <c r="J238" s="1029"/>
      <c r="K238" s="1030"/>
      <c r="L238" s="984"/>
      <c r="M238" s="985"/>
      <c r="N238" s="985"/>
      <c r="O238" s="985"/>
      <c r="P238" s="985"/>
      <c r="Q238" s="978" t="s">
        <v>100</v>
      </c>
      <c r="R238" s="972"/>
      <c r="S238" s="973"/>
      <c r="T238" s="1258"/>
      <c r="U238" s="1337"/>
      <c r="V238" s="72">
        <f>IF(AND(Q238="ja",R238=""),1,0)</f>
        <v>0</v>
      </c>
      <c r="Y238" s="74"/>
      <c r="Z238" s="77"/>
      <c r="AA238" s="78"/>
      <c r="AB238" s="78">
        <f t="shared" si="3"/>
        <v>0</v>
      </c>
      <c r="AJ238" s="68"/>
      <c r="AK238" s="68"/>
    </row>
    <row r="239" spans="1:37" ht="15" customHeight="1" thickBot="1" x14ac:dyDescent="0.3">
      <c r="A239" s="1595"/>
      <c r="B239" s="1490"/>
      <c r="C239" s="1491"/>
      <c r="D239" s="1491"/>
      <c r="E239" s="1491"/>
      <c r="F239" s="1491"/>
      <c r="G239" s="1492"/>
      <c r="H239" s="983"/>
      <c r="I239" s="1017"/>
      <c r="J239" s="1029"/>
      <c r="K239" s="1030"/>
      <c r="L239" s="984"/>
      <c r="M239" s="985"/>
      <c r="N239" s="985"/>
      <c r="O239" s="985"/>
      <c r="P239" s="985"/>
      <c r="Q239" s="978"/>
      <c r="R239" s="972"/>
      <c r="S239" s="973"/>
      <c r="T239" s="1258"/>
      <c r="U239" s="1337"/>
      <c r="Y239" s="74"/>
      <c r="Z239" s="77"/>
      <c r="AA239" s="78"/>
      <c r="AB239" s="78">
        <f t="shared" si="3"/>
        <v>0</v>
      </c>
      <c r="AJ239" s="68"/>
      <c r="AK239" s="68"/>
    </row>
    <row r="240" spans="1:37" ht="15" customHeight="1" thickBot="1" x14ac:dyDescent="0.3">
      <c r="A240" s="1595"/>
      <c r="B240" s="1487" t="s">
        <v>275</v>
      </c>
      <c r="C240" s="1488"/>
      <c r="D240" s="1488"/>
      <c r="E240" s="1488"/>
      <c r="F240" s="1488"/>
      <c r="G240" s="1489"/>
      <c r="H240" s="981" t="s">
        <v>100</v>
      </c>
      <c r="I240" s="1017"/>
      <c r="J240" s="1029"/>
      <c r="K240" s="1030"/>
      <c r="L240" s="984"/>
      <c r="M240" s="985"/>
      <c r="N240" s="985"/>
      <c r="O240" s="985"/>
      <c r="P240" s="985"/>
      <c r="Q240" s="978"/>
      <c r="R240" s="972"/>
      <c r="S240" s="973"/>
      <c r="T240" s="1258"/>
      <c r="U240" s="1337"/>
      <c r="Y240" s="74">
        <v>4.0000000000000001E-3</v>
      </c>
      <c r="Z240" s="77">
        <f>IF(H240="ja",Y240,0)</f>
        <v>0</v>
      </c>
      <c r="AA240" s="78"/>
      <c r="AB240" s="78">
        <f t="shared" si="3"/>
        <v>0</v>
      </c>
      <c r="AJ240" s="68"/>
      <c r="AK240" s="68"/>
    </row>
    <row r="241" spans="1:37" ht="15" customHeight="1" thickBot="1" x14ac:dyDescent="0.3">
      <c r="A241" s="1595"/>
      <c r="B241" s="1493"/>
      <c r="C241" s="1317"/>
      <c r="D241" s="1317"/>
      <c r="E241" s="1317"/>
      <c r="F241" s="1317"/>
      <c r="G241" s="1494"/>
      <c r="H241" s="982"/>
      <c r="I241" s="1017"/>
      <c r="J241" s="1029"/>
      <c r="K241" s="1030"/>
      <c r="L241" s="984"/>
      <c r="M241" s="985"/>
      <c r="N241" s="985"/>
      <c r="O241" s="985"/>
      <c r="P241" s="985"/>
      <c r="Q241" s="978" t="s">
        <v>100</v>
      </c>
      <c r="R241" s="972"/>
      <c r="S241" s="973"/>
      <c r="T241" s="1258"/>
      <c r="U241" s="1337"/>
      <c r="V241" s="72">
        <f>IF(AND(Q241="ja",R241=""),1,0)</f>
        <v>0</v>
      </c>
      <c r="Y241" s="74"/>
      <c r="Z241" s="77"/>
      <c r="AB241" s="78">
        <f t="shared" si="3"/>
        <v>0</v>
      </c>
      <c r="AJ241" s="68"/>
      <c r="AK241" s="68"/>
    </row>
    <row r="242" spans="1:37" ht="15" customHeight="1" thickBot="1" x14ac:dyDescent="0.3">
      <c r="A242" s="1595"/>
      <c r="B242" s="1490"/>
      <c r="C242" s="1491"/>
      <c r="D242" s="1491"/>
      <c r="E242" s="1491"/>
      <c r="F242" s="1491"/>
      <c r="G242" s="1492"/>
      <c r="H242" s="983"/>
      <c r="I242" s="1017"/>
      <c r="J242" s="1029"/>
      <c r="K242" s="1030"/>
      <c r="L242" s="984"/>
      <c r="M242" s="985"/>
      <c r="N242" s="985"/>
      <c r="O242" s="985"/>
      <c r="P242" s="985"/>
      <c r="Q242" s="978"/>
      <c r="R242" s="972"/>
      <c r="S242" s="973"/>
      <c r="T242" s="1258"/>
      <c r="U242" s="1337"/>
      <c r="Y242" s="74"/>
      <c r="Z242" s="77"/>
      <c r="AB242" s="78">
        <f t="shared" si="3"/>
        <v>0</v>
      </c>
      <c r="AJ242" s="68"/>
      <c r="AK242" s="68"/>
    </row>
    <row r="243" spans="1:37" ht="15" customHeight="1" thickBot="1" x14ac:dyDescent="0.3">
      <c r="A243" s="1595"/>
      <c r="B243" s="1184" t="s">
        <v>276</v>
      </c>
      <c r="C243" s="1185"/>
      <c r="D243" s="1185"/>
      <c r="E243" s="1185"/>
      <c r="F243" s="1185"/>
      <c r="G243" s="1186"/>
      <c r="H243" s="315" t="s">
        <v>100</v>
      </c>
      <c r="I243" s="1018"/>
      <c r="J243" s="1031"/>
      <c r="K243" s="1032"/>
      <c r="L243" s="1369"/>
      <c r="M243" s="1370"/>
      <c r="N243" s="1370"/>
      <c r="O243" s="1370"/>
      <c r="P243" s="1370"/>
      <c r="Q243" s="979"/>
      <c r="R243" s="974"/>
      <c r="S243" s="975"/>
      <c r="T243" s="1259"/>
      <c r="U243" s="1337"/>
      <c r="Y243" s="74">
        <v>1E-3</v>
      </c>
      <c r="Z243" s="77">
        <f>IF(H243="ja",Y243,0)</f>
        <v>0</v>
      </c>
      <c r="AB243" s="78">
        <f t="shared" si="3"/>
        <v>0</v>
      </c>
      <c r="AJ243" s="68"/>
      <c r="AK243" s="68"/>
    </row>
    <row r="244" spans="1:37" ht="14.55" thickBot="1" x14ac:dyDescent="0.3">
      <c r="B244" s="1502" t="s">
        <v>277</v>
      </c>
      <c r="C244" s="1503"/>
      <c r="D244" s="1503"/>
      <c r="E244" s="1503"/>
      <c r="F244" s="1503"/>
      <c r="G244" s="1503"/>
      <c r="H244" s="1503"/>
      <c r="I244" s="1321">
        <f>I235+I193+I178+I154+I128+I119+I82+I55+I39+I133+I143+I144+I145+I150</f>
        <v>0</v>
      </c>
      <c r="J244" s="1035">
        <f>J235+J193+J178+J154+J128+J119+J82+J55+J39+J133+J143+J144+J145+J150</f>
        <v>0</v>
      </c>
      <c r="K244" s="1037"/>
      <c r="L244" s="1355">
        <f>SUM(R235:S243)</f>
        <v>0</v>
      </c>
      <c r="M244" s="1356"/>
      <c r="N244" s="1356"/>
      <c r="O244" s="1356"/>
      <c r="P244" s="1666"/>
      <c r="Q244" s="1329"/>
      <c r="R244" s="1327">
        <f>SUM(R235:S243)+SUM(R193:S233)+SUM(R178:S191)+SUM(R154:S176)+SUM(R128:S152)+SUM(R119:S126)+SUM(R82:S114)+SUM(R55:S77)+SUM(R39:S53)</f>
        <v>0</v>
      </c>
      <c r="S244" s="1037"/>
      <c r="T244" s="1567"/>
      <c r="U244" s="1610"/>
      <c r="Z244" s="152">
        <f>SUM(Z235:Z243)</f>
        <v>0</v>
      </c>
      <c r="AJ244" s="68"/>
      <c r="AK244" s="68"/>
    </row>
    <row r="245" spans="1:37" ht="15" customHeight="1" thickBot="1" x14ac:dyDescent="0.3">
      <c r="B245" s="1504"/>
      <c r="C245" s="1505"/>
      <c r="D245" s="1505"/>
      <c r="E245" s="1505"/>
      <c r="F245" s="1505"/>
      <c r="G245" s="1505"/>
      <c r="H245" s="1505"/>
      <c r="I245" s="1322"/>
      <c r="J245" s="1041"/>
      <c r="K245" s="1043"/>
      <c r="L245" s="1359"/>
      <c r="M245" s="1360"/>
      <c r="N245" s="1360"/>
      <c r="O245" s="1360"/>
      <c r="P245" s="1667"/>
      <c r="Q245" s="1330"/>
      <c r="R245" s="1328"/>
      <c r="S245" s="1043"/>
      <c r="T245" s="1569"/>
      <c r="U245" s="1610"/>
      <c r="V245" s="72">
        <f>SUM(V39:V243)+R23</f>
        <v>1</v>
      </c>
      <c r="AB245" s="72">
        <f>SUM(AB39:AB243)</f>
        <v>0</v>
      </c>
      <c r="AJ245" s="68"/>
      <c r="AK245" s="68"/>
    </row>
    <row r="247" spans="1:37" x14ac:dyDescent="0.25">
      <c r="A247" s="491" t="s">
        <v>279</v>
      </c>
      <c r="B247" s="40" t="str">
        <f>IF(B1=Q1,"Honorarangebot für die zunächst beauftragten und für die optionalen Leistungen","Honorarvereinbarung für die zunächst beauftragten und für die optionalen Leistungen ")</f>
        <v>Honorarangebot für die zunächst beauftragten und für die optionalen Leistungen</v>
      </c>
      <c r="Q247" s="40"/>
      <c r="AA247" s="151"/>
    </row>
    <row r="248" spans="1:37" ht="14.55" thickBot="1" x14ac:dyDescent="0.3">
      <c r="A248" s="491"/>
    </row>
    <row r="249" spans="1:37" x14ac:dyDescent="0.25">
      <c r="A249" s="491"/>
      <c r="B249" s="941" t="s">
        <v>55</v>
      </c>
      <c r="C249" s="942"/>
      <c r="D249" s="942"/>
      <c r="E249" s="942"/>
      <c r="F249" s="943"/>
      <c r="G249" s="99"/>
      <c r="H249" s="944">
        <f>J244</f>
        <v>0</v>
      </c>
      <c r="I249" s="944"/>
      <c r="J249" s="945"/>
    </row>
    <row r="250" spans="1:37" x14ac:dyDescent="0.25">
      <c r="A250" s="491"/>
      <c r="B250" s="301"/>
      <c r="C250" s="41"/>
      <c r="D250" s="41"/>
      <c r="E250" s="41"/>
      <c r="F250" s="302"/>
      <c r="G250" s="101"/>
      <c r="H250" s="303"/>
      <c r="I250" s="303"/>
      <c r="J250" s="304"/>
    </row>
    <row r="251" spans="1:37" ht="15.95" customHeight="1" thickBot="1" x14ac:dyDescent="0.3">
      <c r="A251" s="491"/>
      <c r="B251" s="1298" t="s">
        <v>280</v>
      </c>
      <c r="C251" s="1299"/>
      <c r="D251" s="1299"/>
      <c r="E251" s="1299"/>
      <c r="F251" s="1300"/>
      <c r="G251" s="102">
        <f>F23</f>
        <v>0</v>
      </c>
      <c r="H251" s="956">
        <f>H249*G251</f>
        <v>0</v>
      </c>
      <c r="I251" s="956"/>
      <c r="J251" s="957"/>
      <c r="K251" s="96">
        <f>H249+H251</f>
        <v>0</v>
      </c>
    </row>
    <row r="252" spans="1:37" x14ac:dyDescent="0.25">
      <c r="A252" s="491"/>
      <c r="B252" s="90"/>
      <c r="C252" s="91"/>
      <c r="D252" s="91"/>
      <c r="E252" s="91"/>
      <c r="F252" s="92"/>
      <c r="G252" s="88"/>
      <c r="J252" s="89"/>
    </row>
    <row r="253" spans="1:37" x14ac:dyDescent="0.25">
      <c r="A253" s="491"/>
      <c r="B253" s="926" t="s">
        <v>57</v>
      </c>
      <c r="C253" s="927"/>
      <c r="D253" s="927"/>
      <c r="E253" s="927"/>
      <c r="F253" s="928"/>
      <c r="G253" s="101"/>
      <c r="H253" s="954">
        <f>R244</f>
        <v>0</v>
      </c>
      <c r="I253" s="954"/>
      <c r="J253" s="955"/>
    </row>
    <row r="254" spans="1:37" ht="14.55" thickBot="1" x14ac:dyDescent="0.3">
      <c r="A254" s="491"/>
      <c r="B254" s="296"/>
      <c r="C254" s="297"/>
      <c r="D254" s="297"/>
      <c r="E254" s="297"/>
      <c r="F254" s="298"/>
      <c r="G254" s="1333"/>
      <c r="H254" s="1334"/>
      <c r="I254" s="1334"/>
      <c r="J254" s="1335"/>
    </row>
    <row r="255" spans="1:37" ht="15.95" customHeight="1" thickBot="1" x14ac:dyDescent="0.3">
      <c r="A255" s="491"/>
      <c r="B255" s="929" t="s">
        <v>59</v>
      </c>
      <c r="C255" s="930"/>
      <c r="D255" s="930"/>
      <c r="E255" s="930"/>
      <c r="F255" s="931"/>
      <c r="G255" s="107"/>
      <c r="H255" s="935">
        <f>SUM(H249:J253)</f>
        <v>0</v>
      </c>
      <c r="I255" s="935"/>
      <c r="J255" s="936"/>
    </row>
    <row r="256" spans="1:37" x14ac:dyDescent="0.25">
      <c r="A256" s="491"/>
      <c r="B256" s="320"/>
      <c r="C256" s="321"/>
      <c r="D256" s="321"/>
      <c r="E256" s="321"/>
      <c r="F256" s="322"/>
      <c r="G256" s="45"/>
      <c r="H256" s="93"/>
      <c r="I256" s="93"/>
      <c r="J256" s="94"/>
    </row>
    <row r="257" spans="1:26" ht="15" customHeight="1" x14ac:dyDescent="0.25">
      <c r="A257" s="491"/>
      <c r="B257" s="917" t="s">
        <v>60</v>
      </c>
      <c r="C257" s="918"/>
      <c r="D257" s="918"/>
      <c r="E257" s="918"/>
      <c r="F257" s="919"/>
      <c r="G257" s="100">
        <f>Überblick!$G$98</f>
        <v>0.19</v>
      </c>
      <c r="H257" s="954">
        <f>H255*G257</f>
        <v>0</v>
      </c>
      <c r="I257" s="954"/>
      <c r="J257" s="955"/>
    </row>
    <row r="258" spans="1:26" ht="14.55" thickBot="1" x14ac:dyDescent="0.3">
      <c r="A258" s="491"/>
      <c r="B258" s="305"/>
      <c r="C258" s="306"/>
      <c r="D258" s="306"/>
      <c r="E258" s="306"/>
      <c r="F258" s="307"/>
      <c r="G258" s="102"/>
      <c r="H258" s="299"/>
      <c r="I258" s="299"/>
      <c r="J258" s="300"/>
    </row>
    <row r="259" spans="1:26" ht="15" customHeight="1" x14ac:dyDescent="0.25">
      <c r="A259" s="491"/>
      <c r="B259" s="920" t="s">
        <v>281</v>
      </c>
      <c r="C259" s="921"/>
      <c r="D259" s="921"/>
      <c r="E259" s="921"/>
      <c r="F259" s="922"/>
      <c r="G259" s="97"/>
      <c r="H259" s="937">
        <f>H255+H257</f>
        <v>0</v>
      </c>
      <c r="I259" s="937"/>
      <c r="J259" s="938"/>
    </row>
    <row r="260" spans="1:26" ht="14.55" thickBot="1" x14ac:dyDescent="0.3">
      <c r="A260" s="491"/>
      <c r="B260" s="923"/>
      <c r="C260" s="924"/>
      <c r="D260" s="924"/>
      <c r="E260" s="924"/>
      <c r="F260" s="925"/>
      <c r="G260" s="98"/>
      <c r="H260" s="939"/>
      <c r="I260" s="939"/>
      <c r="J260" s="940"/>
    </row>
    <row r="261" spans="1:26" x14ac:dyDescent="0.25">
      <c r="A261" s="491"/>
    </row>
    <row r="262" spans="1:26" x14ac:dyDescent="0.25">
      <c r="A262" s="491" t="s">
        <v>282</v>
      </c>
      <c r="B262" s="60" t="str">
        <f>IF(B1=Q1,"Honorangebot für die zunächst beauftragenden Leistungen","Honorarvereinbarung für die zunächst beauftragenden Leistungen")</f>
        <v>Honorangebot für die zunächst beauftragenden Leistungen</v>
      </c>
      <c r="C262" s="60"/>
      <c r="D262" s="60"/>
      <c r="E262" s="60"/>
      <c r="F262" s="65"/>
      <c r="G262" s="65"/>
      <c r="H262" s="65"/>
      <c r="I262" s="66"/>
      <c r="J262" s="66"/>
      <c r="K262" s="66"/>
      <c r="L262" s="66"/>
      <c r="M262" s="66"/>
      <c r="N262" s="66"/>
      <c r="O262" s="66"/>
      <c r="P262" s="67"/>
      <c r="Q262" s="60"/>
      <c r="R262" s="67"/>
      <c r="S262" s="67"/>
      <c r="T262" s="67"/>
      <c r="U262" s="67"/>
      <c r="Z262" s="461"/>
    </row>
    <row r="263" spans="1:26" ht="14.55" thickBot="1" x14ac:dyDescent="0.3">
      <c r="A263" s="491"/>
      <c r="B263" s="60"/>
      <c r="C263" s="60"/>
      <c r="D263" s="60"/>
      <c r="E263" s="60"/>
      <c r="F263" s="65"/>
      <c r="G263" s="65"/>
      <c r="H263" s="65"/>
      <c r="I263" s="66"/>
      <c r="J263" s="66"/>
      <c r="K263" s="66"/>
      <c r="L263" s="66"/>
      <c r="M263" s="66"/>
      <c r="N263" s="66"/>
      <c r="O263" s="66"/>
      <c r="P263" s="67"/>
      <c r="Q263" s="67"/>
      <c r="R263" s="67"/>
      <c r="S263" s="67"/>
      <c r="T263" s="67"/>
      <c r="U263" s="67"/>
    </row>
    <row r="264" spans="1:26" x14ac:dyDescent="0.25">
      <c r="A264" s="491"/>
      <c r="B264" s="941" t="s">
        <v>55</v>
      </c>
      <c r="C264" s="942"/>
      <c r="D264" s="942"/>
      <c r="E264" s="942"/>
      <c r="F264" s="943"/>
      <c r="G264" s="99"/>
      <c r="H264" s="944">
        <f>'Berechnung - Gebäudeautomation'!C123</f>
        <v>0</v>
      </c>
      <c r="I264" s="944"/>
      <c r="J264" s="945"/>
      <c r="K264" s="66"/>
      <c r="L264" s="66"/>
      <c r="M264" s="66"/>
      <c r="N264" s="66"/>
      <c r="O264" s="66"/>
      <c r="P264" s="67"/>
      <c r="Q264" s="67"/>
      <c r="R264" s="67"/>
      <c r="S264" s="67"/>
      <c r="T264" s="67"/>
      <c r="U264" s="67"/>
    </row>
    <row r="265" spans="1:26" x14ac:dyDescent="0.25">
      <c r="A265" s="491"/>
      <c r="B265" s="301"/>
      <c r="C265" s="41"/>
      <c r="D265" s="41"/>
      <c r="E265" s="41"/>
      <c r="F265" s="302"/>
      <c r="G265" s="101"/>
      <c r="H265" s="303"/>
      <c r="I265" s="303"/>
      <c r="J265" s="304"/>
      <c r="K265" s="66"/>
      <c r="L265" s="66"/>
      <c r="M265" s="66"/>
      <c r="N265" s="66"/>
      <c r="O265" s="66"/>
      <c r="P265" s="67"/>
      <c r="Q265" s="67"/>
      <c r="R265" s="67"/>
      <c r="S265" s="67"/>
      <c r="T265" s="67"/>
      <c r="U265" s="67"/>
    </row>
    <row r="266" spans="1:26" ht="15" customHeight="1" thickBot="1" x14ac:dyDescent="0.3">
      <c r="A266" s="491"/>
      <c r="B266" s="1298" t="s">
        <v>280</v>
      </c>
      <c r="C266" s="1299"/>
      <c r="D266" s="1299"/>
      <c r="E266" s="1299"/>
      <c r="F266" s="1300"/>
      <c r="G266" s="102">
        <f>F23</f>
        <v>0</v>
      </c>
      <c r="H266" s="956">
        <f>H264*G266</f>
        <v>0</v>
      </c>
      <c r="I266" s="956"/>
      <c r="J266" s="957"/>
      <c r="K266" s="66"/>
      <c r="L266" s="66"/>
      <c r="M266" s="66"/>
      <c r="N266" s="66"/>
      <c r="O266" s="66"/>
      <c r="P266" s="67"/>
      <c r="Q266" s="67"/>
      <c r="R266" s="67"/>
      <c r="S266" s="67"/>
      <c r="T266" s="67"/>
      <c r="U266" s="67"/>
    </row>
    <row r="267" spans="1:26" x14ac:dyDescent="0.25">
      <c r="A267" s="491"/>
      <c r="B267" s="90"/>
      <c r="C267" s="91"/>
      <c r="D267" s="91"/>
      <c r="E267" s="91"/>
      <c r="F267" s="92"/>
      <c r="G267" s="45"/>
      <c r="H267" s="46"/>
      <c r="I267" s="46"/>
      <c r="J267" s="105"/>
      <c r="K267" s="66"/>
      <c r="L267" s="66"/>
      <c r="M267" s="66"/>
      <c r="N267" s="66"/>
      <c r="O267" s="66"/>
      <c r="P267" s="67"/>
      <c r="Q267" s="67"/>
      <c r="R267" s="67"/>
      <c r="S267" s="67"/>
      <c r="T267" s="67"/>
      <c r="U267" s="67"/>
    </row>
    <row r="268" spans="1:26" x14ac:dyDescent="0.25">
      <c r="A268" s="491"/>
      <c r="B268" s="926" t="s">
        <v>57</v>
      </c>
      <c r="C268" s="927"/>
      <c r="D268" s="927"/>
      <c r="E268" s="927"/>
      <c r="F268" s="928"/>
      <c r="G268" s="101"/>
      <c r="H268" s="954">
        <f>'Berechnung - Gebäudeautomation'!E123</f>
        <v>0</v>
      </c>
      <c r="I268" s="954"/>
      <c r="J268" s="955"/>
      <c r="K268" s="66"/>
      <c r="L268" s="66"/>
      <c r="M268" s="66"/>
      <c r="N268" s="66"/>
      <c r="O268" s="66"/>
      <c r="P268" s="67"/>
      <c r="Q268" s="67"/>
      <c r="R268" s="67"/>
      <c r="S268" s="67"/>
      <c r="T268" s="67"/>
      <c r="U268" s="67"/>
    </row>
    <row r="269" spans="1:26" ht="14.55" thickBot="1" x14ac:dyDescent="0.3">
      <c r="A269" s="491"/>
      <c r="B269" s="90"/>
      <c r="C269" s="91"/>
      <c r="D269" s="91"/>
      <c r="E269" s="91"/>
      <c r="F269" s="92"/>
      <c r="G269" s="1333"/>
      <c r="H269" s="1334"/>
      <c r="I269" s="1334"/>
      <c r="J269" s="1335"/>
      <c r="K269" s="66"/>
      <c r="L269" s="66"/>
      <c r="M269" s="66"/>
      <c r="N269" s="66"/>
      <c r="O269" s="66"/>
      <c r="P269" s="67"/>
      <c r="Q269" s="67"/>
      <c r="R269" s="67"/>
      <c r="S269" s="67"/>
      <c r="T269" s="67"/>
      <c r="U269" s="67"/>
    </row>
    <row r="270" spans="1:26" ht="15.95" customHeight="1" thickBot="1" x14ac:dyDescent="0.3">
      <c r="A270" s="491"/>
      <c r="B270" s="929" t="s">
        <v>59</v>
      </c>
      <c r="C270" s="930"/>
      <c r="D270" s="930"/>
      <c r="E270" s="930"/>
      <c r="F270" s="931"/>
      <c r="G270" s="107"/>
      <c r="H270" s="1689">
        <f>SUM(H264:J268)</f>
        <v>0</v>
      </c>
      <c r="I270" s="1689"/>
      <c r="J270" s="1690"/>
      <c r="K270" s="66"/>
      <c r="L270" s="66"/>
      <c r="M270" s="66"/>
      <c r="N270" s="66"/>
      <c r="O270" s="66"/>
      <c r="P270" s="67"/>
      <c r="Q270" s="67"/>
      <c r="R270" s="67"/>
      <c r="S270" s="67"/>
      <c r="T270" s="67"/>
      <c r="U270" s="67"/>
    </row>
    <row r="271" spans="1:26" x14ac:dyDescent="0.25">
      <c r="A271" s="491"/>
      <c r="B271" s="320"/>
      <c r="C271" s="321"/>
      <c r="D271" s="321"/>
      <c r="E271" s="321"/>
      <c r="F271" s="322"/>
      <c r="G271" s="45"/>
      <c r="H271" s="93"/>
      <c r="I271" s="93"/>
      <c r="J271" s="94"/>
      <c r="K271" s="66"/>
      <c r="L271" s="66"/>
      <c r="M271" s="66"/>
      <c r="N271" s="66"/>
      <c r="O271" s="66"/>
      <c r="P271" s="67"/>
      <c r="Q271" s="67"/>
      <c r="R271" s="67"/>
      <c r="S271" s="67"/>
      <c r="T271" s="67"/>
      <c r="U271" s="67"/>
    </row>
    <row r="272" spans="1:26" ht="15" customHeight="1" x14ac:dyDescent="0.25">
      <c r="A272" s="491"/>
      <c r="B272" s="917" t="s">
        <v>94</v>
      </c>
      <c r="C272" s="918"/>
      <c r="D272" s="918"/>
      <c r="E272" s="918"/>
      <c r="F272" s="919"/>
      <c r="G272" s="100">
        <f>Überblick!$G$98</f>
        <v>0.19</v>
      </c>
      <c r="H272" s="954">
        <f>H270*G272</f>
        <v>0</v>
      </c>
      <c r="I272" s="954"/>
      <c r="J272" s="955"/>
      <c r="K272" s="66"/>
      <c r="L272" s="66"/>
      <c r="M272" s="66"/>
      <c r="N272" s="66"/>
      <c r="O272" s="66"/>
      <c r="P272" s="67"/>
      <c r="Q272" s="67"/>
      <c r="R272" s="67"/>
      <c r="S272" s="67"/>
      <c r="T272" s="67"/>
      <c r="U272" s="67"/>
    </row>
    <row r="273" spans="1:21" ht="14.55" thickBot="1" x14ac:dyDescent="0.3">
      <c r="A273" s="491"/>
      <c r="B273" s="305"/>
      <c r="C273" s="306"/>
      <c r="D273" s="306"/>
      <c r="E273" s="306"/>
      <c r="F273" s="307"/>
      <c r="G273" s="102"/>
      <c r="H273" s="299"/>
      <c r="I273" s="299"/>
      <c r="J273" s="300"/>
      <c r="K273" s="66"/>
      <c r="L273" s="66"/>
      <c r="M273" s="66"/>
      <c r="N273" s="66"/>
      <c r="O273" s="66"/>
      <c r="P273" s="67"/>
      <c r="Q273" s="67"/>
      <c r="R273" s="67"/>
      <c r="S273" s="67"/>
      <c r="T273" s="67"/>
      <c r="U273" s="67"/>
    </row>
    <row r="274" spans="1:21" ht="15" customHeight="1" x14ac:dyDescent="0.25">
      <c r="A274" s="491"/>
      <c r="B274" s="920" t="s">
        <v>98</v>
      </c>
      <c r="C274" s="921"/>
      <c r="D274" s="921"/>
      <c r="E274" s="921"/>
      <c r="F274" s="922"/>
      <c r="G274" s="172"/>
      <c r="H274" s="937">
        <f>H270+H272</f>
        <v>0</v>
      </c>
      <c r="I274" s="937"/>
      <c r="J274" s="938"/>
      <c r="K274" s="66"/>
      <c r="L274" s="66"/>
      <c r="M274" s="66"/>
      <c r="N274" s="66"/>
      <c r="O274" s="66"/>
      <c r="P274" s="67"/>
      <c r="Q274" s="67"/>
      <c r="R274" s="67"/>
      <c r="S274" s="67"/>
      <c r="T274" s="67"/>
      <c r="U274" s="67"/>
    </row>
    <row r="275" spans="1:21" ht="14.55" thickBot="1" x14ac:dyDescent="0.3">
      <c r="A275" s="491"/>
      <c r="B275" s="923"/>
      <c r="C275" s="924"/>
      <c r="D275" s="924"/>
      <c r="E275" s="924"/>
      <c r="F275" s="925"/>
      <c r="G275" s="98"/>
      <c r="H275" s="939"/>
      <c r="I275" s="939"/>
      <c r="J275" s="940"/>
      <c r="K275" s="66"/>
      <c r="L275" s="66"/>
      <c r="M275" s="66"/>
      <c r="N275" s="66"/>
      <c r="O275" s="66"/>
      <c r="P275" s="67"/>
      <c r="Q275" s="67"/>
      <c r="R275" s="67"/>
      <c r="S275" s="67"/>
      <c r="T275" s="67"/>
      <c r="U275" s="67"/>
    </row>
    <row r="276" spans="1:21" x14ac:dyDescent="0.25">
      <c r="A276" s="491"/>
      <c r="B276" s="60"/>
      <c r="C276" s="60"/>
      <c r="D276" s="60"/>
      <c r="E276" s="60"/>
      <c r="F276" s="65"/>
      <c r="G276" s="65"/>
      <c r="H276" s="65"/>
      <c r="I276" s="66"/>
      <c r="J276" s="66"/>
      <c r="K276" s="66"/>
      <c r="L276" s="66"/>
      <c r="M276" s="66"/>
      <c r="N276" s="66"/>
      <c r="O276" s="66"/>
      <c r="P276" s="67"/>
      <c r="Q276" s="67"/>
      <c r="R276" s="67"/>
      <c r="S276" s="67"/>
      <c r="T276" s="67"/>
      <c r="U276" s="67"/>
    </row>
    <row r="277" spans="1:21" x14ac:dyDescent="0.25">
      <c r="A277" s="491" t="s">
        <v>284</v>
      </c>
      <c r="B277" s="40" t="str">
        <f>IF(B1=Q1,"Gemäß des Honorarangebotes werden die Stufen wie folgt vergütet (netto):","Gemäß der Honorarvereinbarung werden die Stufen wie folgt vergütet (netto): ")</f>
        <v>Gemäß des Honorarangebotes werden die Stufen wie folgt vergütet (netto):</v>
      </c>
      <c r="C277" s="40"/>
      <c r="D277" s="40"/>
      <c r="E277" s="40"/>
      <c r="F277" s="40"/>
      <c r="G277" s="40"/>
      <c r="H277" s="40"/>
      <c r="I277" s="40"/>
      <c r="J277" s="40"/>
      <c r="K277" s="40"/>
      <c r="L277" s="60"/>
      <c r="M277" s="66"/>
      <c r="N277" s="66"/>
      <c r="O277" s="40"/>
      <c r="P277" s="67"/>
      <c r="Q277" s="67"/>
      <c r="R277" s="67"/>
      <c r="S277" s="67"/>
      <c r="T277" s="67"/>
      <c r="U277" s="67"/>
    </row>
    <row r="278" spans="1:21" ht="14.55" thickBot="1" x14ac:dyDescent="0.3">
      <c r="A278" s="491"/>
      <c r="B278" s="60"/>
      <c r="C278" s="60"/>
      <c r="D278" s="60"/>
      <c r="E278" s="60"/>
      <c r="F278" s="65"/>
      <c r="G278" s="65"/>
      <c r="H278" s="65"/>
      <c r="I278" s="66"/>
      <c r="J278" s="66"/>
      <c r="K278" s="66"/>
      <c r="L278" s="66"/>
      <c r="M278" s="66"/>
      <c r="N278" s="66"/>
      <c r="O278" s="40"/>
      <c r="P278" s="67"/>
      <c r="Q278" s="67"/>
      <c r="R278" s="67"/>
      <c r="S278" s="67"/>
      <c r="T278" s="67"/>
      <c r="U278" s="67"/>
    </row>
    <row r="279" spans="1:21" ht="15.2" thickTop="1" thickBot="1" x14ac:dyDescent="0.3">
      <c r="A279" s="491"/>
      <c r="B279" s="357" t="s">
        <v>105</v>
      </c>
      <c r="C279" s="358" t="s">
        <v>285</v>
      </c>
      <c r="D279" s="359" t="s">
        <v>286</v>
      </c>
      <c r="E279" s="360" t="s">
        <v>287</v>
      </c>
      <c r="F279" s="360" t="s">
        <v>288</v>
      </c>
      <c r="G279" s="361" t="s">
        <v>289</v>
      </c>
      <c r="H279" s="361" t="s">
        <v>290</v>
      </c>
      <c r="I279" s="362" t="s">
        <v>291</v>
      </c>
      <c r="J279" s="362" t="s">
        <v>292</v>
      </c>
      <c r="K279" s="362" t="s">
        <v>293</v>
      </c>
      <c r="L279" s="362" t="s">
        <v>294</v>
      </c>
      <c r="M279" s="362" t="s">
        <v>295</v>
      </c>
      <c r="N279" s="362" t="s">
        <v>296</v>
      </c>
      <c r="O279" s="362" t="s">
        <v>297</v>
      </c>
      <c r="P279" s="363" t="s">
        <v>298</v>
      </c>
      <c r="Q279" s="67"/>
      <c r="R279" s="67"/>
      <c r="S279" s="67"/>
      <c r="T279" s="67"/>
      <c r="U279" s="67"/>
    </row>
    <row r="280" spans="1:21" x14ac:dyDescent="0.25">
      <c r="A280" s="492"/>
      <c r="B280" s="153" t="str">
        <f>IF(Überblick!$H$53&gt;=1,"1:",0)</f>
        <v>1:</v>
      </c>
      <c r="C280" s="481">
        <f>'Berechnung - Gebäudeautomation'!C135</f>
        <v>0</v>
      </c>
      <c r="D280" s="481">
        <f>'Berechnung - Gebäudeautomation'!D135</f>
        <v>0</v>
      </c>
      <c r="E280" s="481">
        <f>'Berechnung - Gebäudeautomation'!E135</f>
        <v>0</v>
      </c>
      <c r="F280" s="481">
        <f>'Berechnung - Gebäudeautomation'!F135</f>
        <v>0</v>
      </c>
      <c r="G280" s="481">
        <f>'Berechnung - Gebäudeautomation'!G135</f>
        <v>0</v>
      </c>
      <c r="H280" s="481">
        <f>'Berechnung - Gebäudeautomation'!H135</f>
        <v>0</v>
      </c>
      <c r="I280" s="481">
        <f>'Berechnung - Gebäudeautomation'!I135</f>
        <v>0</v>
      </c>
      <c r="J280" s="481">
        <f>'Berechnung - Gebäudeautomation'!J135</f>
        <v>0</v>
      </c>
      <c r="K280" s="481">
        <f>'Berechnung - Gebäudeautomation'!K135</f>
        <v>0</v>
      </c>
      <c r="L280" s="481">
        <f>'Berechnung - Gebäudeautomation'!L135</f>
        <v>0</v>
      </c>
      <c r="M280" s="481">
        <f>'Berechnung - Gebäudeautomation'!M135</f>
        <v>0</v>
      </c>
      <c r="N280" s="481">
        <f>'Berechnung - Gebäudeautomation'!N135</f>
        <v>0</v>
      </c>
      <c r="O280" s="481">
        <f>'Berechnung - Gebäudeautomation'!O135</f>
        <v>0</v>
      </c>
      <c r="P280" s="481">
        <f>'Berechnung - Gebäudeautomation'!P135</f>
        <v>0</v>
      </c>
      <c r="Q280" s="96">
        <f>SUM(C280:P280)</f>
        <v>0</v>
      </c>
      <c r="S280" s="63"/>
      <c r="T280" s="63"/>
      <c r="U280" s="63"/>
    </row>
    <row r="281" spans="1:21" ht="15.95" customHeight="1" x14ac:dyDescent="0.25">
      <c r="A281" s="492"/>
      <c r="B281" s="153" t="str">
        <f>IF(Überblick!$H$53&gt;=2,"2:",0)</f>
        <v>2:</v>
      </c>
      <c r="C281" s="481">
        <f>'Berechnung - Gebäudeautomation'!C136</f>
        <v>0</v>
      </c>
      <c r="D281" s="481">
        <f>'Berechnung - Gebäudeautomation'!D136</f>
        <v>0</v>
      </c>
      <c r="E281" s="481">
        <f>'Berechnung - Gebäudeautomation'!E136</f>
        <v>0</v>
      </c>
      <c r="F281" s="481">
        <f>'Berechnung - Gebäudeautomation'!F136</f>
        <v>0</v>
      </c>
      <c r="G281" s="481">
        <f>'Berechnung - Gebäudeautomation'!G136</f>
        <v>0</v>
      </c>
      <c r="H281" s="481">
        <f>'Berechnung - Gebäudeautomation'!H136</f>
        <v>0</v>
      </c>
      <c r="I281" s="481">
        <f>'Berechnung - Gebäudeautomation'!I136</f>
        <v>0</v>
      </c>
      <c r="J281" s="481">
        <f>'Berechnung - Gebäudeautomation'!J136</f>
        <v>0</v>
      </c>
      <c r="K281" s="481">
        <f>'Berechnung - Gebäudeautomation'!K136</f>
        <v>0</v>
      </c>
      <c r="L281" s="481">
        <f>'Berechnung - Gebäudeautomation'!L136</f>
        <v>0</v>
      </c>
      <c r="M281" s="481">
        <f>'Berechnung - Gebäudeautomation'!M136</f>
        <v>0</v>
      </c>
      <c r="N281" s="481">
        <f>'Berechnung - Gebäudeautomation'!N136</f>
        <v>0</v>
      </c>
      <c r="O281" s="481">
        <f>'Berechnung - Gebäudeautomation'!O136</f>
        <v>0</v>
      </c>
      <c r="P281" s="481">
        <f>'Berechnung - Gebäudeautomation'!P136</f>
        <v>0</v>
      </c>
      <c r="Q281" s="96">
        <f t="shared" ref="Q281:Q287" si="4">SUM(C281:P281)</f>
        <v>0</v>
      </c>
    </row>
    <row r="282" spans="1:21" x14ac:dyDescent="0.25">
      <c r="A282" s="59"/>
      <c r="B282" s="153" t="str">
        <f>IF(Überblick!$H$53&gt;=3,"3:",0)</f>
        <v>3:</v>
      </c>
      <c r="C282" s="481">
        <f>'Berechnung - Gebäudeautomation'!C137</f>
        <v>0</v>
      </c>
      <c r="D282" s="481">
        <f>'Berechnung - Gebäudeautomation'!D137</f>
        <v>0</v>
      </c>
      <c r="E282" s="481">
        <f>'Berechnung - Gebäudeautomation'!E137</f>
        <v>0</v>
      </c>
      <c r="F282" s="481">
        <f>'Berechnung - Gebäudeautomation'!F137</f>
        <v>0</v>
      </c>
      <c r="G282" s="481">
        <f>'Berechnung - Gebäudeautomation'!G137</f>
        <v>0</v>
      </c>
      <c r="H282" s="481">
        <f>'Berechnung - Gebäudeautomation'!H137</f>
        <v>0</v>
      </c>
      <c r="I282" s="481">
        <f>'Berechnung - Gebäudeautomation'!I137</f>
        <v>0</v>
      </c>
      <c r="J282" s="481">
        <f>'Berechnung - Gebäudeautomation'!J137</f>
        <v>0</v>
      </c>
      <c r="K282" s="481">
        <f>'Berechnung - Gebäudeautomation'!K137</f>
        <v>0</v>
      </c>
      <c r="L282" s="481">
        <f>'Berechnung - Gebäudeautomation'!L137</f>
        <v>0</v>
      </c>
      <c r="M282" s="481">
        <f>'Berechnung - Gebäudeautomation'!M137</f>
        <v>0</v>
      </c>
      <c r="N282" s="481">
        <f>'Berechnung - Gebäudeautomation'!N137</f>
        <v>0</v>
      </c>
      <c r="O282" s="481">
        <f>'Berechnung - Gebäudeautomation'!O137</f>
        <v>0</v>
      </c>
      <c r="P282" s="481">
        <f>'Berechnung - Gebäudeautomation'!P137</f>
        <v>0</v>
      </c>
      <c r="Q282" s="96">
        <f t="shared" si="4"/>
        <v>0</v>
      </c>
    </row>
    <row r="283" spans="1:21" x14ac:dyDescent="0.25">
      <c r="A283" s="491"/>
      <c r="B283" s="153" t="str">
        <f>IF(Überblick!$H$53&gt;=4,"4:",0)</f>
        <v>4:</v>
      </c>
      <c r="C283" s="481">
        <f>'Berechnung - Gebäudeautomation'!C138</f>
        <v>0</v>
      </c>
      <c r="D283" s="481">
        <f>'Berechnung - Gebäudeautomation'!D138</f>
        <v>0</v>
      </c>
      <c r="E283" s="481">
        <f>'Berechnung - Gebäudeautomation'!E138</f>
        <v>0</v>
      </c>
      <c r="F283" s="481">
        <f>'Berechnung - Gebäudeautomation'!F138</f>
        <v>0</v>
      </c>
      <c r="G283" s="481">
        <f>'Berechnung - Gebäudeautomation'!G138</f>
        <v>0</v>
      </c>
      <c r="H283" s="481">
        <f>'Berechnung - Gebäudeautomation'!H138</f>
        <v>0</v>
      </c>
      <c r="I283" s="481">
        <f>'Berechnung - Gebäudeautomation'!I138</f>
        <v>0</v>
      </c>
      <c r="J283" s="481">
        <f>'Berechnung - Gebäudeautomation'!J138</f>
        <v>0</v>
      </c>
      <c r="K283" s="481">
        <f>'Berechnung - Gebäudeautomation'!K138</f>
        <v>0</v>
      </c>
      <c r="L283" s="481">
        <f>'Berechnung - Gebäudeautomation'!L138</f>
        <v>0</v>
      </c>
      <c r="M283" s="481">
        <f>'Berechnung - Gebäudeautomation'!M138</f>
        <v>0</v>
      </c>
      <c r="N283" s="481">
        <f>'Berechnung - Gebäudeautomation'!N138</f>
        <v>0</v>
      </c>
      <c r="O283" s="481">
        <f>'Berechnung - Gebäudeautomation'!O138</f>
        <v>0</v>
      </c>
      <c r="P283" s="481">
        <f>'Berechnung - Gebäudeautomation'!P138</f>
        <v>0</v>
      </c>
      <c r="Q283" s="96">
        <f t="shared" si="4"/>
        <v>0</v>
      </c>
    </row>
    <row r="284" spans="1:21" x14ac:dyDescent="0.25">
      <c r="A284" s="491"/>
      <c r="B284" s="153" t="str">
        <f>IF(Überblick!$H$53&gt;=5,"5:",0)</f>
        <v>5:</v>
      </c>
      <c r="C284" s="481">
        <f>'Berechnung - Gebäudeautomation'!C139</f>
        <v>0</v>
      </c>
      <c r="D284" s="481">
        <f>'Berechnung - Gebäudeautomation'!D139</f>
        <v>0</v>
      </c>
      <c r="E284" s="481">
        <f>'Berechnung - Gebäudeautomation'!E139</f>
        <v>0</v>
      </c>
      <c r="F284" s="481">
        <f>'Berechnung - Gebäudeautomation'!F139</f>
        <v>0</v>
      </c>
      <c r="G284" s="481">
        <f>'Berechnung - Gebäudeautomation'!G139</f>
        <v>0</v>
      </c>
      <c r="H284" s="481">
        <f>'Berechnung - Gebäudeautomation'!H139</f>
        <v>0</v>
      </c>
      <c r="I284" s="481">
        <f>'Berechnung - Gebäudeautomation'!I139</f>
        <v>0</v>
      </c>
      <c r="J284" s="481">
        <f>'Berechnung - Gebäudeautomation'!J139</f>
        <v>0</v>
      </c>
      <c r="K284" s="481">
        <f>'Berechnung - Gebäudeautomation'!K139</f>
        <v>0</v>
      </c>
      <c r="L284" s="481">
        <f>'Berechnung - Gebäudeautomation'!L139</f>
        <v>0</v>
      </c>
      <c r="M284" s="481">
        <f>'Berechnung - Gebäudeautomation'!M139</f>
        <v>0</v>
      </c>
      <c r="N284" s="481">
        <f>'Berechnung - Gebäudeautomation'!N139</f>
        <v>0</v>
      </c>
      <c r="O284" s="481">
        <f>'Berechnung - Gebäudeautomation'!O139</f>
        <v>0</v>
      </c>
      <c r="P284" s="481">
        <f>'Berechnung - Gebäudeautomation'!P139</f>
        <v>0</v>
      </c>
      <c r="Q284" s="96">
        <f t="shared" si="4"/>
        <v>0</v>
      </c>
    </row>
    <row r="285" spans="1:21" ht="15.95" customHeight="1" x14ac:dyDescent="0.25">
      <c r="A285" s="491"/>
      <c r="B285" s="153" t="str">
        <f>IF(Überblick!$H$53&gt;=6,"6:",0)</f>
        <v>6:</v>
      </c>
      <c r="C285" s="481">
        <f>'Berechnung - Gebäudeautomation'!C140</f>
        <v>0</v>
      </c>
      <c r="D285" s="481">
        <f>'Berechnung - Gebäudeautomation'!D140</f>
        <v>0</v>
      </c>
      <c r="E285" s="481">
        <f>'Berechnung - Gebäudeautomation'!E140</f>
        <v>0</v>
      </c>
      <c r="F285" s="481">
        <f>'Berechnung - Gebäudeautomation'!F140</f>
        <v>0</v>
      </c>
      <c r="G285" s="481">
        <f>'Berechnung - Gebäudeautomation'!G140</f>
        <v>0</v>
      </c>
      <c r="H285" s="481">
        <f>'Berechnung - Gebäudeautomation'!H140</f>
        <v>0</v>
      </c>
      <c r="I285" s="481">
        <f>'Berechnung - Gebäudeautomation'!I140</f>
        <v>0</v>
      </c>
      <c r="J285" s="481">
        <f>'Berechnung - Gebäudeautomation'!J140</f>
        <v>0</v>
      </c>
      <c r="K285" s="481">
        <f>'Berechnung - Gebäudeautomation'!K140</f>
        <v>0</v>
      </c>
      <c r="L285" s="481">
        <f>'Berechnung - Gebäudeautomation'!L140</f>
        <v>0</v>
      </c>
      <c r="M285" s="481">
        <f>'Berechnung - Gebäudeautomation'!M140</f>
        <v>0</v>
      </c>
      <c r="N285" s="481">
        <f>'Berechnung - Gebäudeautomation'!N140</f>
        <v>0</v>
      </c>
      <c r="O285" s="481">
        <f>'Berechnung - Gebäudeautomation'!O140</f>
        <v>0</v>
      </c>
      <c r="P285" s="481">
        <f>'Berechnung - Gebäudeautomation'!P140</f>
        <v>0</v>
      </c>
      <c r="Q285" s="96">
        <f t="shared" si="4"/>
        <v>0</v>
      </c>
    </row>
    <row r="286" spans="1:21" x14ac:dyDescent="0.25">
      <c r="A286" s="491"/>
      <c r="B286" s="153">
        <f>IF(Überblick!$H$53&gt;=7,"7:",0)</f>
        <v>0</v>
      </c>
      <c r="C286" s="481">
        <f>'Berechnung - Gebäudeautomation'!C141</f>
        <v>0</v>
      </c>
      <c r="D286" s="481">
        <f>'Berechnung - Gebäudeautomation'!D141</f>
        <v>0</v>
      </c>
      <c r="E286" s="481">
        <f>'Berechnung - Gebäudeautomation'!E141</f>
        <v>0</v>
      </c>
      <c r="F286" s="481">
        <f>'Berechnung - Gebäudeautomation'!F141</f>
        <v>0</v>
      </c>
      <c r="G286" s="481">
        <f>'Berechnung - Gebäudeautomation'!G141</f>
        <v>0</v>
      </c>
      <c r="H286" s="481">
        <f>'Berechnung - Gebäudeautomation'!H141</f>
        <v>0</v>
      </c>
      <c r="I286" s="481">
        <f>'Berechnung - Gebäudeautomation'!I141</f>
        <v>0</v>
      </c>
      <c r="J286" s="481">
        <f>'Berechnung - Gebäudeautomation'!J141</f>
        <v>0</v>
      </c>
      <c r="K286" s="481">
        <f>'Berechnung - Gebäudeautomation'!K141</f>
        <v>0</v>
      </c>
      <c r="L286" s="481">
        <f>'Berechnung - Gebäudeautomation'!L141</f>
        <v>0</v>
      </c>
      <c r="M286" s="481">
        <f>'Berechnung - Gebäudeautomation'!M141</f>
        <v>0</v>
      </c>
      <c r="N286" s="481">
        <f>'Berechnung - Gebäudeautomation'!N141</f>
        <v>0</v>
      </c>
      <c r="O286" s="481">
        <f>'Berechnung - Gebäudeautomation'!O141</f>
        <v>0</v>
      </c>
      <c r="P286" s="481">
        <f>'Berechnung - Gebäudeautomation'!P141</f>
        <v>0</v>
      </c>
      <c r="Q286" s="96">
        <f t="shared" si="4"/>
        <v>0</v>
      </c>
    </row>
    <row r="287" spans="1:21" ht="15" customHeight="1" x14ac:dyDescent="0.25">
      <c r="A287" s="491"/>
      <c r="B287" s="153">
        <f>IF(Überblick!$H$53&gt;=8,"8:",0)</f>
        <v>0</v>
      </c>
      <c r="C287" s="481">
        <f>'Berechnung - Gebäudeautomation'!C142</f>
        <v>0</v>
      </c>
      <c r="D287" s="481">
        <f>'Berechnung - Gebäudeautomation'!D142</f>
        <v>0</v>
      </c>
      <c r="E287" s="481">
        <f>'Berechnung - Gebäudeautomation'!E142</f>
        <v>0</v>
      </c>
      <c r="F287" s="481">
        <f>'Berechnung - Gebäudeautomation'!F142</f>
        <v>0</v>
      </c>
      <c r="G287" s="481">
        <f>'Berechnung - Gebäudeautomation'!G142</f>
        <v>0</v>
      </c>
      <c r="H287" s="481">
        <f>'Berechnung - Gebäudeautomation'!H142</f>
        <v>0</v>
      </c>
      <c r="I287" s="481">
        <f>'Berechnung - Gebäudeautomation'!I142</f>
        <v>0</v>
      </c>
      <c r="J287" s="481">
        <f>'Berechnung - Gebäudeautomation'!J142</f>
        <v>0</v>
      </c>
      <c r="K287" s="481">
        <f>'Berechnung - Gebäudeautomation'!K142</f>
        <v>0</v>
      </c>
      <c r="L287" s="481">
        <f>'Berechnung - Gebäudeautomation'!L142</f>
        <v>0</v>
      </c>
      <c r="M287" s="481">
        <f>'Berechnung - Gebäudeautomation'!M142</f>
        <v>0</v>
      </c>
      <c r="N287" s="481">
        <f>'Berechnung - Gebäudeautomation'!N142</f>
        <v>0</v>
      </c>
      <c r="O287" s="481">
        <f>'Berechnung - Gebäudeautomation'!O142</f>
        <v>0</v>
      </c>
      <c r="P287" s="481">
        <f>'Berechnung - Gebäudeautomation'!P142</f>
        <v>0</v>
      </c>
      <c r="Q287" s="96">
        <f t="shared" si="4"/>
        <v>0</v>
      </c>
    </row>
    <row r="288" spans="1:21" x14ac:dyDescent="0.25">
      <c r="B288" s="153">
        <f>IF(Überblick!$H$53&gt;=9,"9:",0)</f>
        <v>0</v>
      </c>
      <c r="C288" s="481">
        <f>'Berechnung - Gebäudeautomation'!C143</f>
        <v>0</v>
      </c>
      <c r="D288" s="481">
        <f>'Berechnung - Gebäudeautomation'!D143</f>
        <v>0</v>
      </c>
      <c r="E288" s="481">
        <f>'Berechnung - Gebäudeautomation'!E143</f>
        <v>0</v>
      </c>
      <c r="F288" s="481">
        <f>'Berechnung - Gebäudeautomation'!F143</f>
        <v>0</v>
      </c>
      <c r="G288" s="481">
        <f>'Berechnung - Gebäudeautomation'!G143</f>
        <v>0</v>
      </c>
      <c r="H288" s="481">
        <f>'Berechnung - Gebäudeautomation'!H143</f>
        <v>0</v>
      </c>
      <c r="I288" s="481">
        <f>'Berechnung - Gebäudeautomation'!I143</f>
        <v>0</v>
      </c>
      <c r="J288" s="481">
        <f>'Berechnung - Gebäudeautomation'!J143</f>
        <v>0</v>
      </c>
      <c r="K288" s="481">
        <f>'Berechnung - Gebäudeautomation'!K143</f>
        <v>0</v>
      </c>
      <c r="L288" s="481">
        <f>'Berechnung - Gebäudeautomation'!L143</f>
        <v>0</v>
      </c>
      <c r="M288" s="481">
        <f>'Berechnung - Gebäudeautomation'!M143</f>
        <v>0</v>
      </c>
      <c r="N288" s="481">
        <f>'Berechnung - Gebäudeautomation'!N143</f>
        <v>0</v>
      </c>
      <c r="O288" s="481">
        <f>'Berechnung - Gebäudeautomation'!O143</f>
        <v>0</v>
      </c>
      <c r="P288" s="481">
        <f>'Berechnung - Gebäudeautomation'!P143</f>
        <v>0</v>
      </c>
    </row>
    <row r="289" spans="2:16" x14ac:dyDescent="0.25">
      <c r="B289" s="140"/>
      <c r="C289" s="140"/>
      <c r="D289" s="140"/>
      <c r="E289" s="140"/>
      <c r="F289" s="140"/>
      <c r="G289" s="140"/>
      <c r="H289" s="140"/>
      <c r="I289" s="140"/>
      <c r="J289" s="140"/>
      <c r="K289" s="140"/>
      <c r="L289" s="140"/>
      <c r="M289" s="140"/>
      <c r="N289" s="140"/>
      <c r="O289" s="140"/>
      <c r="P289" s="140"/>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row r="294" spans="2:16" x14ac:dyDescent="0.25">
      <c r="B294" s="140"/>
      <c r="C294" s="140"/>
      <c r="D294" s="140"/>
      <c r="E294" s="140"/>
      <c r="F294" s="140"/>
      <c r="G294" s="140"/>
      <c r="H294" s="140"/>
      <c r="I294" s="140"/>
      <c r="J294" s="140"/>
      <c r="K294" s="140"/>
      <c r="L294" s="140"/>
      <c r="M294" s="140"/>
      <c r="N294" s="140"/>
      <c r="O294" s="140"/>
      <c r="P294" s="140"/>
    </row>
    <row r="295" spans="2:16" x14ac:dyDescent="0.25">
      <c r="B295" s="140"/>
      <c r="C295" s="140"/>
      <c r="D295" s="140"/>
      <c r="E295" s="140"/>
      <c r="F295" s="140"/>
      <c r="G295" s="140"/>
      <c r="H295" s="140"/>
      <c r="I295" s="140"/>
      <c r="J295" s="140"/>
      <c r="K295" s="140"/>
      <c r="L295" s="140"/>
      <c r="M295" s="140"/>
      <c r="N295" s="140"/>
      <c r="O295" s="140"/>
      <c r="P295" s="140"/>
    </row>
  </sheetData>
  <sheetProtection algorithmName="SHA-512" hashValue="PiADUs+UVIsIWHm0wGl+kRFIOUQo1Nypo4FsTi701lDn+mtNWz6ci1is9FX8xj5bDBHhTX6CM5q+eDXisdN+9g==" saltValue="xPoE3O0AWHsGNt+1mtBXFg==" spinCount="100000" sheet="1" objects="1" scenarios="1"/>
  <mergeCells count="476">
    <mergeCell ref="S2:U2"/>
    <mergeCell ref="S3:U3"/>
    <mergeCell ref="S4:U4"/>
    <mergeCell ref="R144:S144"/>
    <mergeCell ref="R115:S117"/>
    <mergeCell ref="T82:T114"/>
    <mergeCell ref="R113:S114"/>
    <mergeCell ref="P7:Q7"/>
    <mergeCell ref="U35:U37"/>
    <mergeCell ref="Q39:Q43"/>
    <mergeCell ref="R39:S43"/>
    <mergeCell ref="U39:U53"/>
    <mergeCell ref="Q44:Q46"/>
    <mergeCell ref="R44:S46"/>
    <mergeCell ref="Q47:Q48"/>
    <mergeCell ref="R47:S48"/>
    <mergeCell ref="L122:P124"/>
    <mergeCell ref="Q115:Q117"/>
    <mergeCell ref="L104:P106"/>
    <mergeCell ref="L85:P87"/>
    <mergeCell ref="T78:T80"/>
    <mergeCell ref="L35:P37"/>
    <mergeCell ref="T35:T37"/>
    <mergeCell ref="R53:S53"/>
    <mergeCell ref="T1:U1"/>
    <mergeCell ref="F9:I11"/>
    <mergeCell ref="J9:M11"/>
    <mergeCell ref="N9:Q11"/>
    <mergeCell ref="G269:J269"/>
    <mergeCell ref="G254:J254"/>
    <mergeCell ref="B255:F255"/>
    <mergeCell ref="H255:J255"/>
    <mergeCell ref="B257:F257"/>
    <mergeCell ref="H257:J257"/>
    <mergeCell ref="B259:F260"/>
    <mergeCell ref="H259:J260"/>
    <mergeCell ref="B234:G234"/>
    <mergeCell ref="I234:K234"/>
    <mergeCell ref="L234:P234"/>
    <mergeCell ref="B235:G239"/>
    <mergeCell ref="H235:H239"/>
    <mergeCell ref="I235:I243"/>
    <mergeCell ref="J235:K243"/>
    <mergeCell ref="L235:P237"/>
    <mergeCell ref="L244:P245"/>
    <mergeCell ref="B249:F249"/>
    <mergeCell ref="H249:J249"/>
    <mergeCell ref="B251:F251"/>
    <mergeCell ref="H251:J251"/>
    <mergeCell ref="B270:F270"/>
    <mergeCell ref="H270:J270"/>
    <mergeCell ref="B272:F272"/>
    <mergeCell ref="H272:J272"/>
    <mergeCell ref="B274:F275"/>
    <mergeCell ref="H274:J275"/>
    <mergeCell ref="B264:F264"/>
    <mergeCell ref="H264:J264"/>
    <mergeCell ref="B266:F266"/>
    <mergeCell ref="H266:J266"/>
    <mergeCell ref="B268:F268"/>
    <mergeCell ref="H268:J268"/>
    <mergeCell ref="B253:F253"/>
    <mergeCell ref="H253:J253"/>
    <mergeCell ref="B244:H245"/>
    <mergeCell ref="I244:I245"/>
    <mergeCell ref="J244:K245"/>
    <mergeCell ref="L238:P240"/>
    <mergeCell ref="B240:G242"/>
    <mergeCell ref="H240:H242"/>
    <mergeCell ref="L241:P243"/>
    <mergeCell ref="B243:G243"/>
    <mergeCell ref="B217:G217"/>
    <mergeCell ref="B218:G221"/>
    <mergeCell ref="H218:H221"/>
    <mergeCell ref="B222:G222"/>
    <mergeCell ref="B229:G230"/>
    <mergeCell ref="H229:H230"/>
    <mergeCell ref="B231:G233"/>
    <mergeCell ref="H231:H233"/>
    <mergeCell ref="B223:G226"/>
    <mergeCell ref="H223:H226"/>
    <mergeCell ref="L226:P228"/>
    <mergeCell ref="B227:G228"/>
    <mergeCell ref="H227:H228"/>
    <mergeCell ref="L217:P225"/>
    <mergeCell ref="L229:P233"/>
    <mergeCell ref="B208:G211"/>
    <mergeCell ref="H208:H211"/>
    <mergeCell ref="L208:P210"/>
    <mergeCell ref="B212:G215"/>
    <mergeCell ref="H212:H215"/>
    <mergeCell ref="L193:P202"/>
    <mergeCell ref="L203:P204"/>
    <mergeCell ref="L211:P216"/>
    <mergeCell ref="B193:G199"/>
    <mergeCell ref="H193:H199"/>
    <mergeCell ref="I193:I233"/>
    <mergeCell ref="J193:K233"/>
    <mergeCell ref="B200:G200"/>
    <mergeCell ref="B201:G202"/>
    <mergeCell ref="H201:H202"/>
    <mergeCell ref="B203:G203"/>
    <mergeCell ref="B204:G206"/>
    <mergeCell ref="H204:H206"/>
    <mergeCell ref="B216:G216"/>
    <mergeCell ref="H170:H172"/>
    <mergeCell ref="B192:G192"/>
    <mergeCell ref="L192:P192"/>
    <mergeCell ref="H190:H191"/>
    <mergeCell ref="L190:P191"/>
    <mergeCell ref="B188:G189"/>
    <mergeCell ref="H188:H189"/>
    <mergeCell ref="L205:P207"/>
    <mergeCell ref="B207:G207"/>
    <mergeCell ref="L150:P152"/>
    <mergeCell ref="A153:A243"/>
    <mergeCell ref="B153:G153"/>
    <mergeCell ref="I153:K153"/>
    <mergeCell ref="L153:P153"/>
    <mergeCell ref="B154:G156"/>
    <mergeCell ref="H154:H156"/>
    <mergeCell ref="I154:I176"/>
    <mergeCell ref="L154:P156"/>
    <mergeCell ref="B177:G177"/>
    <mergeCell ref="L177:P177"/>
    <mergeCell ref="B178:G178"/>
    <mergeCell ref="I178:I191"/>
    <mergeCell ref="J178:K191"/>
    <mergeCell ref="L178:P180"/>
    <mergeCell ref="H185:H187"/>
    <mergeCell ref="L187:P189"/>
    <mergeCell ref="L173:P175"/>
    <mergeCell ref="B176:G176"/>
    <mergeCell ref="L176:P176"/>
    <mergeCell ref="B167:G169"/>
    <mergeCell ref="H167:H169"/>
    <mergeCell ref="L169:P172"/>
    <mergeCell ref="B170:G172"/>
    <mergeCell ref="B157:G166"/>
    <mergeCell ref="H157:H166"/>
    <mergeCell ref="L157:P165"/>
    <mergeCell ref="L166:P168"/>
    <mergeCell ref="B190:G191"/>
    <mergeCell ref="A145:A149"/>
    <mergeCell ref="B145:G149"/>
    <mergeCell ref="H145:H149"/>
    <mergeCell ref="I145:I149"/>
    <mergeCell ref="J145:K149"/>
    <mergeCell ref="J154:K176"/>
    <mergeCell ref="A150:A152"/>
    <mergeCell ref="B150:G152"/>
    <mergeCell ref="H150:H152"/>
    <mergeCell ref="I150:I152"/>
    <mergeCell ref="J150:K152"/>
    <mergeCell ref="B173:G175"/>
    <mergeCell ref="H173:H175"/>
    <mergeCell ref="B179:G183"/>
    <mergeCell ref="H179:H183"/>
    <mergeCell ref="L181:P183"/>
    <mergeCell ref="B184:G184"/>
    <mergeCell ref="L184:P186"/>
    <mergeCell ref="B185:G187"/>
    <mergeCell ref="Q145:Q147"/>
    <mergeCell ref="R145:S147"/>
    <mergeCell ref="R127:S127"/>
    <mergeCell ref="L128:P130"/>
    <mergeCell ref="Q128:Q130"/>
    <mergeCell ref="R128:S130"/>
    <mergeCell ref="T133:T142"/>
    <mergeCell ref="B143:G143"/>
    <mergeCell ref="J143:K143"/>
    <mergeCell ref="L143:P143"/>
    <mergeCell ref="T128:T132"/>
    <mergeCell ref="R143:S143"/>
    <mergeCell ref="B144:G144"/>
    <mergeCell ref="J144:K144"/>
    <mergeCell ref="L144:P144"/>
    <mergeCell ref="A133:A142"/>
    <mergeCell ref="B133:G142"/>
    <mergeCell ref="H133:H142"/>
    <mergeCell ref="I133:I142"/>
    <mergeCell ref="J133:K142"/>
    <mergeCell ref="B127:G127"/>
    <mergeCell ref="I127:K127"/>
    <mergeCell ref="L127:P127"/>
    <mergeCell ref="A128:A132"/>
    <mergeCell ref="B128:G132"/>
    <mergeCell ref="H128:H132"/>
    <mergeCell ref="I128:I132"/>
    <mergeCell ref="J128:K132"/>
    <mergeCell ref="B124:G126"/>
    <mergeCell ref="H124:H126"/>
    <mergeCell ref="L125:P126"/>
    <mergeCell ref="B119:G123"/>
    <mergeCell ref="H119:H123"/>
    <mergeCell ref="I119:I126"/>
    <mergeCell ref="J119:K126"/>
    <mergeCell ref="L119:P121"/>
    <mergeCell ref="A32:A126"/>
    <mergeCell ref="B32:G34"/>
    <mergeCell ref="H32:H34"/>
    <mergeCell ref="I32:I34"/>
    <mergeCell ref="J32:K34"/>
    <mergeCell ref="B54:G54"/>
    <mergeCell ref="I54:K54"/>
    <mergeCell ref="L115:P117"/>
    <mergeCell ref="L118:P118"/>
    <mergeCell ref="B113:G114"/>
    <mergeCell ref="H113:H114"/>
    <mergeCell ref="L113:P114"/>
    <mergeCell ref="I115:K117"/>
    <mergeCell ref="B115:G117"/>
    <mergeCell ref="H115:H117"/>
    <mergeCell ref="L101:P103"/>
    <mergeCell ref="L88:P90"/>
    <mergeCell ref="L91:P93"/>
    <mergeCell ref="L82:P84"/>
    <mergeCell ref="B107:G108"/>
    <mergeCell ref="H107:H108"/>
    <mergeCell ref="L107:P109"/>
    <mergeCell ref="B109:G110"/>
    <mergeCell ref="H109:H110"/>
    <mergeCell ref="L110:P112"/>
    <mergeCell ref="B111:G112"/>
    <mergeCell ref="H111:H112"/>
    <mergeCell ref="L94:P97"/>
    <mergeCell ref="L98:P100"/>
    <mergeCell ref="B101:G106"/>
    <mergeCell ref="H101:H106"/>
    <mergeCell ref="L81:P81"/>
    <mergeCell ref="L78:P80"/>
    <mergeCell ref="Q78:Q80"/>
    <mergeCell ref="R78:S80"/>
    <mergeCell ref="B78:G80"/>
    <mergeCell ref="H78:H80"/>
    <mergeCell ref="L64:P66"/>
    <mergeCell ref="L73:P75"/>
    <mergeCell ref="B74:G75"/>
    <mergeCell ref="H74:H75"/>
    <mergeCell ref="B76:G77"/>
    <mergeCell ref="H76:H77"/>
    <mergeCell ref="L76:P77"/>
    <mergeCell ref="B65:G66"/>
    <mergeCell ref="H65:H66"/>
    <mergeCell ref="B67:G70"/>
    <mergeCell ref="H67:H70"/>
    <mergeCell ref="L67:P69"/>
    <mergeCell ref="L70:P72"/>
    <mergeCell ref="B38:G38"/>
    <mergeCell ref="I38:K38"/>
    <mergeCell ref="L38:P38"/>
    <mergeCell ref="Q35:Q37"/>
    <mergeCell ref="R35:S37"/>
    <mergeCell ref="H45:H53"/>
    <mergeCell ref="L47:P48"/>
    <mergeCell ref="L49:P49"/>
    <mergeCell ref="L50:P50"/>
    <mergeCell ref="L51:P52"/>
    <mergeCell ref="L53:P53"/>
    <mergeCell ref="J39:K53"/>
    <mergeCell ref="L39:P43"/>
    <mergeCell ref="B35:G37"/>
    <mergeCell ref="H35:H37"/>
    <mergeCell ref="I35:K37"/>
    <mergeCell ref="B39:G41"/>
    <mergeCell ref="H39:H41"/>
    <mergeCell ref="I39:I53"/>
    <mergeCell ref="R38:S38"/>
    <mergeCell ref="R49:S49"/>
    <mergeCell ref="R50:S50"/>
    <mergeCell ref="Q51:Q52"/>
    <mergeCell ref="R51:S52"/>
    <mergeCell ref="B118:G118"/>
    <mergeCell ref="I118:K118"/>
    <mergeCell ref="B42:G44"/>
    <mergeCell ref="H42:H44"/>
    <mergeCell ref="B55:G56"/>
    <mergeCell ref="H55:H56"/>
    <mergeCell ref="I55:I77"/>
    <mergeCell ref="J55:K77"/>
    <mergeCell ref="B71:G73"/>
    <mergeCell ref="H71:H73"/>
    <mergeCell ref="B57:G64"/>
    <mergeCell ref="H57:H64"/>
    <mergeCell ref="B45:G53"/>
    <mergeCell ref="I78:K80"/>
    <mergeCell ref="B82:G86"/>
    <mergeCell ref="H82:H86"/>
    <mergeCell ref="I82:I114"/>
    <mergeCell ref="J82:K114"/>
    <mergeCell ref="B81:G81"/>
    <mergeCell ref="I81:K81"/>
    <mergeCell ref="B87:G87"/>
    <mergeCell ref="B88:G100"/>
    <mergeCell ref="H88:H100"/>
    <mergeCell ref="F19:I19"/>
    <mergeCell ref="J19:M19"/>
    <mergeCell ref="N19:Q19"/>
    <mergeCell ref="B23:E23"/>
    <mergeCell ref="F23:Q23"/>
    <mergeCell ref="B15:E15"/>
    <mergeCell ref="F15:Q15"/>
    <mergeCell ref="B16:E16"/>
    <mergeCell ref="F16:Q16"/>
    <mergeCell ref="F17:I18"/>
    <mergeCell ref="J17:M18"/>
    <mergeCell ref="N17:Q18"/>
    <mergeCell ref="B8:E8"/>
    <mergeCell ref="F8:G8"/>
    <mergeCell ref="H8:I8"/>
    <mergeCell ref="J8:K8"/>
    <mergeCell ref="L8:M8"/>
    <mergeCell ref="N8:O8"/>
    <mergeCell ref="P8:Q8"/>
    <mergeCell ref="B7:E7"/>
    <mergeCell ref="F7:G7"/>
    <mergeCell ref="H7:I7"/>
    <mergeCell ref="J7:K7"/>
    <mergeCell ref="L7:M7"/>
    <mergeCell ref="N7:O7"/>
    <mergeCell ref="F5:I5"/>
    <mergeCell ref="J5:M5"/>
    <mergeCell ref="N5:Q5"/>
    <mergeCell ref="F6:G6"/>
    <mergeCell ref="H6:I6"/>
    <mergeCell ref="J6:K6"/>
    <mergeCell ref="L6:M6"/>
    <mergeCell ref="N6:O6"/>
    <mergeCell ref="P6:Q6"/>
    <mergeCell ref="T39:T53"/>
    <mergeCell ref="L54:P54"/>
    <mergeCell ref="R54:S54"/>
    <mergeCell ref="Q55:Q57"/>
    <mergeCell ref="R55:S57"/>
    <mergeCell ref="L55:P57"/>
    <mergeCell ref="L44:P46"/>
    <mergeCell ref="U55:U77"/>
    <mergeCell ref="Q58:Q60"/>
    <mergeCell ref="R58:S60"/>
    <mergeCell ref="Q61:Q63"/>
    <mergeCell ref="R61:S63"/>
    <mergeCell ref="Q64:Q66"/>
    <mergeCell ref="R64:S66"/>
    <mergeCell ref="Q67:Q69"/>
    <mergeCell ref="R67:S69"/>
    <mergeCell ref="Q70:Q72"/>
    <mergeCell ref="R70:S72"/>
    <mergeCell ref="Q73:Q75"/>
    <mergeCell ref="R73:S75"/>
    <mergeCell ref="Q76:Q77"/>
    <mergeCell ref="R76:S77"/>
    <mergeCell ref="T55:T77"/>
    <mergeCell ref="L58:P60"/>
    <mergeCell ref="L61:P63"/>
    <mergeCell ref="U78:U80"/>
    <mergeCell ref="R81:S81"/>
    <mergeCell ref="Q82:Q84"/>
    <mergeCell ref="R82:S84"/>
    <mergeCell ref="U82:U114"/>
    <mergeCell ref="Q85:Q87"/>
    <mergeCell ref="R85:S87"/>
    <mergeCell ref="Q88:Q90"/>
    <mergeCell ref="R88:S90"/>
    <mergeCell ref="Q91:Q93"/>
    <mergeCell ref="R91:S93"/>
    <mergeCell ref="Q94:Q97"/>
    <mergeCell ref="R94:S97"/>
    <mergeCell ref="Q98:Q100"/>
    <mergeCell ref="R98:S100"/>
    <mergeCell ref="Q101:Q103"/>
    <mergeCell ref="R101:S103"/>
    <mergeCell ref="Q104:Q106"/>
    <mergeCell ref="R104:S106"/>
    <mergeCell ref="Q107:Q109"/>
    <mergeCell ref="R107:S109"/>
    <mergeCell ref="Q110:Q112"/>
    <mergeCell ref="R110:S112"/>
    <mergeCell ref="Q113:Q114"/>
    <mergeCell ref="U115:U117"/>
    <mergeCell ref="R118:S118"/>
    <mergeCell ref="Q119:Q121"/>
    <mergeCell ref="R119:S121"/>
    <mergeCell ref="U119:U126"/>
    <mergeCell ref="Q122:Q124"/>
    <mergeCell ref="R122:S124"/>
    <mergeCell ref="Q125:Q126"/>
    <mergeCell ref="R125:S126"/>
    <mergeCell ref="T115:T117"/>
    <mergeCell ref="T119:T126"/>
    <mergeCell ref="U128:U132"/>
    <mergeCell ref="L131:P132"/>
    <mergeCell ref="Q131:Q132"/>
    <mergeCell ref="R131:S132"/>
    <mergeCell ref="L133:P135"/>
    <mergeCell ref="Q133:Q135"/>
    <mergeCell ref="R133:S135"/>
    <mergeCell ref="U133:U142"/>
    <mergeCell ref="L136:P138"/>
    <mergeCell ref="Q136:Q138"/>
    <mergeCell ref="R136:S138"/>
    <mergeCell ref="L139:P141"/>
    <mergeCell ref="Q139:Q141"/>
    <mergeCell ref="R139:S141"/>
    <mergeCell ref="L142:P142"/>
    <mergeCell ref="R142:S142"/>
    <mergeCell ref="U145:U149"/>
    <mergeCell ref="L148:P149"/>
    <mergeCell ref="Q148:Q149"/>
    <mergeCell ref="R148:S149"/>
    <mergeCell ref="Q150:Q152"/>
    <mergeCell ref="R150:S152"/>
    <mergeCell ref="U150:U152"/>
    <mergeCell ref="R153:S153"/>
    <mergeCell ref="Q154:Q156"/>
    <mergeCell ref="R154:S156"/>
    <mergeCell ref="U154:U176"/>
    <mergeCell ref="Q157:Q165"/>
    <mergeCell ref="R157:S165"/>
    <mergeCell ref="Q166:Q168"/>
    <mergeCell ref="R166:S168"/>
    <mergeCell ref="Q169:Q172"/>
    <mergeCell ref="R169:S172"/>
    <mergeCell ref="Q173:Q175"/>
    <mergeCell ref="R173:S175"/>
    <mergeCell ref="R176:S176"/>
    <mergeCell ref="T145:T149"/>
    <mergeCell ref="T154:T176"/>
    <mergeCell ref="T150:T152"/>
    <mergeCell ref="L145:P147"/>
    <mergeCell ref="U178:U191"/>
    <mergeCell ref="Q181:Q183"/>
    <mergeCell ref="R181:S183"/>
    <mergeCell ref="Q184:Q186"/>
    <mergeCell ref="R184:S186"/>
    <mergeCell ref="Q187:Q189"/>
    <mergeCell ref="R187:S189"/>
    <mergeCell ref="Q190:Q191"/>
    <mergeCell ref="R190:S191"/>
    <mergeCell ref="T178:T191"/>
    <mergeCell ref="R177:S177"/>
    <mergeCell ref="Q178:Q180"/>
    <mergeCell ref="R178:S180"/>
    <mergeCell ref="Q205:Q207"/>
    <mergeCell ref="R205:S207"/>
    <mergeCell ref="Q208:Q210"/>
    <mergeCell ref="R208:S210"/>
    <mergeCell ref="Q211:Q213"/>
    <mergeCell ref="R211:S213"/>
    <mergeCell ref="R192:S192"/>
    <mergeCell ref="R203:S204"/>
    <mergeCell ref="Q203:Q204"/>
    <mergeCell ref="R193:S202"/>
    <mergeCell ref="Q193:Q202"/>
    <mergeCell ref="Q214:Q216"/>
    <mergeCell ref="R214:S216"/>
    <mergeCell ref="U235:U243"/>
    <mergeCell ref="Q238:Q240"/>
    <mergeCell ref="R238:S240"/>
    <mergeCell ref="Q241:Q243"/>
    <mergeCell ref="R241:S243"/>
    <mergeCell ref="Q244:Q245"/>
    <mergeCell ref="R244:S245"/>
    <mergeCell ref="U244:U245"/>
    <mergeCell ref="Q226:Q228"/>
    <mergeCell ref="R226:S228"/>
    <mergeCell ref="R234:S234"/>
    <mergeCell ref="Q235:Q237"/>
    <mergeCell ref="R235:S237"/>
    <mergeCell ref="T193:T233"/>
    <mergeCell ref="T235:T243"/>
    <mergeCell ref="T244:T245"/>
    <mergeCell ref="U193:U233"/>
    <mergeCell ref="R229:S233"/>
    <mergeCell ref="Q229:Q233"/>
    <mergeCell ref="R217:S225"/>
    <mergeCell ref="Q217:Q225"/>
  </mergeCells>
  <conditionalFormatting sqref="AA39">
    <cfRule type="containsText" dxfId="928" priority="130" operator="containsText" text="Ja">
      <formula>NOT(ISERROR(SEARCH("Ja",AA39)))</formula>
    </cfRule>
  </conditionalFormatting>
  <conditionalFormatting sqref="AA232">
    <cfRule type="containsText" dxfId="927" priority="122" operator="containsText" text="Ja">
      <formula>NOT(ISERROR(SEARCH("Ja",AA232)))</formula>
    </cfRule>
  </conditionalFormatting>
  <conditionalFormatting sqref="AA55">
    <cfRule type="containsText" dxfId="926" priority="129" operator="containsText" text="Ja">
      <formula>NOT(ISERROR(SEARCH("Ja",AA55)))</formula>
    </cfRule>
  </conditionalFormatting>
  <conditionalFormatting sqref="AA79">
    <cfRule type="containsText" dxfId="925" priority="128" operator="containsText" text="Ja">
      <formula>NOT(ISERROR(SEARCH("Ja",AA79)))</formula>
    </cfRule>
  </conditionalFormatting>
  <conditionalFormatting sqref="AA113">
    <cfRule type="containsText" dxfId="924" priority="127" operator="containsText" text="Ja">
      <formula>NOT(ISERROR(SEARCH("Ja",AA113)))</formula>
    </cfRule>
  </conditionalFormatting>
  <conditionalFormatting sqref="AA125">
    <cfRule type="containsText" dxfId="923" priority="126" operator="containsText" text="Ja">
      <formula>NOT(ISERROR(SEARCH("Ja",AA125)))</formula>
    </cfRule>
  </conditionalFormatting>
  <conditionalFormatting sqref="AA151">
    <cfRule type="containsText" dxfId="922" priority="125" operator="containsText" text="Ja">
      <formula>NOT(ISERROR(SEARCH("Ja",AA151)))</formula>
    </cfRule>
  </conditionalFormatting>
  <conditionalFormatting sqref="AA175">
    <cfRule type="containsText" dxfId="921" priority="124" operator="containsText" text="Ja">
      <formula>NOT(ISERROR(SEARCH("Ja",AA175)))</formula>
    </cfRule>
  </conditionalFormatting>
  <conditionalFormatting sqref="AA190">
    <cfRule type="containsText" dxfId="920" priority="123" operator="containsText" text="Ja">
      <formula>NOT(ISERROR(SEARCH("Ja",AA190)))</formula>
    </cfRule>
  </conditionalFormatting>
  <conditionalFormatting sqref="B280:B287">
    <cfRule type="cellIs" dxfId="919" priority="74" operator="greaterThan">
      <formula>0</formula>
    </cfRule>
  </conditionalFormatting>
  <conditionalFormatting sqref="C280:P288">
    <cfRule type="expression" dxfId="918" priority="73">
      <formula>$B280&gt;=1</formula>
    </cfRule>
  </conditionalFormatting>
  <conditionalFormatting sqref="C281:P281">
    <cfRule type="expression" dxfId="917" priority="72">
      <formula>$B281&gt;=1</formula>
    </cfRule>
  </conditionalFormatting>
  <conditionalFormatting sqref="C282:P282">
    <cfRule type="expression" dxfId="916" priority="71">
      <formula>$B282&gt;=1</formula>
    </cfRule>
  </conditionalFormatting>
  <conditionalFormatting sqref="C283:P283">
    <cfRule type="expression" dxfId="915" priority="70">
      <formula>$B283&gt;=1</formula>
    </cfRule>
  </conditionalFormatting>
  <conditionalFormatting sqref="C284:P284">
    <cfRule type="expression" dxfId="914" priority="69">
      <formula>$B284&gt;=1</formula>
    </cfRule>
  </conditionalFormatting>
  <conditionalFormatting sqref="C285:P285">
    <cfRule type="expression" dxfId="913" priority="68">
      <formula>$B285&gt;=1</formula>
    </cfRule>
  </conditionalFormatting>
  <conditionalFormatting sqref="C286:P286">
    <cfRule type="expression" dxfId="912" priority="67">
      <formula>$B286&gt;=1</formula>
    </cfRule>
  </conditionalFormatting>
  <conditionalFormatting sqref="C287:P288">
    <cfRule type="expression" dxfId="911" priority="66">
      <formula>$B287&gt;=1</formula>
    </cfRule>
  </conditionalFormatting>
  <conditionalFormatting sqref="C280:P288">
    <cfRule type="cellIs" dxfId="910" priority="65" operator="greaterThan">
      <formula>0</formula>
    </cfRule>
  </conditionalFormatting>
  <conditionalFormatting sqref="F23">
    <cfRule type="expression" dxfId="909" priority="64">
      <formula>$H$8+$L$8+$P$8&gt;0</formula>
    </cfRule>
  </conditionalFormatting>
  <conditionalFormatting sqref="R229">
    <cfRule type="expression" dxfId="908" priority="8">
      <formula>Q229="ja"</formula>
    </cfRule>
  </conditionalFormatting>
  <conditionalFormatting sqref="R235">
    <cfRule type="expression" dxfId="907" priority="6">
      <formula>Q235="ja"</formula>
    </cfRule>
  </conditionalFormatting>
  <conditionalFormatting sqref="R238">
    <cfRule type="expression" dxfId="906" priority="5">
      <formula>Q238="ja"</formula>
    </cfRule>
  </conditionalFormatting>
  <conditionalFormatting sqref="R241">
    <cfRule type="expression" dxfId="905" priority="4">
      <formula>Q241="ja"</formula>
    </cfRule>
  </conditionalFormatting>
  <conditionalFormatting sqref="R39">
    <cfRule type="expression" dxfId="904" priority="55">
      <formula>Q39="ja"</formula>
    </cfRule>
  </conditionalFormatting>
  <conditionalFormatting sqref="R44">
    <cfRule type="expression" dxfId="903" priority="54">
      <formula>Q44="ja"</formula>
    </cfRule>
  </conditionalFormatting>
  <conditionalFormatting sqref="R47">
    <cfRule type="expression" dxfId="902" priority="53">
      <formula>Q47="ja"</formula>
    </cfRule>
  </conditionalFormatting>
  <conditionalFormatting sqref="R49 R51 R53">
    <cfRule type="expression" dxfId="901" priority="52">
      <formula>Q49="ja"</formula>
    </cfRule>
  </conditionalFormatting>
  <conditionalFormatting sqref="R50">
    <cfRule type="expression" dxfId="900" priority="51">
      <formula>Q50="ja"</formula>
    </cfRule>
  </conditionalFormatting>
  <conditionalFormatting sqref="R55">
    <cfRule type="expression" dxfId="899" priority="50">
      <formula>Q55="ja"</formula>
    </cfRule>
  </conditionalFormatting>
  <conditionalFormatting sqref="R58 R61 R64 R67 R70 R73">
    <cfRule type="expression" dxfId="898" priority="49">
      <formula>Q58="ja"</formula>
    </cfRule>
  </conditionalFormatting>
  <conditionalFormatting sqref="R76">
    <cfRule type="expression" dxfId="897" priority="48">
      <formula>Q76="ja"</formula>
    </cfRule>
  </conditionalFormatting>
  <conditionalFormatting sqref="R82 R85 R88 R91 R94:R95 R98 R101 R104 R107 R110">
    <cfRule type="expression" dxfId="896" priority="47">
      <formula>Q82="ja"</formula>
    </cfRule>
  </conditionalFormatting>
  <conditionalFormatting sqref="R113">
    <cfRule type="expression" dxfId="895" priority="46">
      <formula>Q113="ja"</formula>
    </cfRule>
  </conditionalFormatting>
  <conditionalFormatting sqref="R125">
    <cfRule type="expression" dxfId="894" priority="43">
      <formula>Q125="ja"</formula>
    </cfRule>
  </conditionalFormatting>
  <conditionalFormatting sqref="R119">
    <cfRule type="expression" dxfId="893" priority="45">
      <formula>Q119="ja"</formula>
    </cfRule>
  </conditionalFormatting>
  <conditionalFormatting sqref="R122">
    <cfRule type="expression" dxfId="892" priority="44">
      <formula>Q122="ja"</formula>
    </cfRule>
  </conditionalFormatting>
  <conditionalFormatting sqref="R128">
    <cfRule type="expression" dxfId="891" priority="42">
      <formula>Q128="ja"</formula>
    </cfRule>
  </conditionalFormatting>
  <conditionalFormatting sqref="R131">
    <cfRule type="expression" dxfId="890" priority="41">
      <formula>Q131="ja"</formula>
    </cfRule>
  </conditionalFormatting>
  <conditionalFormatting sqref="R133">
    <cfRule type="expression" dxfId="889" priority="40">
      <formula>Q133="ja"</formula>
    </cfRule>
  </conditionalFormatting>
  <conditionalFormatting sqref="R136">
    <cfRule type="expression" dxfId="888" priority="39">
      <formula>Q136="ja"</formula>
    </cfRule>
  </conditionalFormatting>
  <conditionalFormatting sqref="R139">
    <cfRule type="expression" dxfId="887" priority="38">
      <formula>Q139="ja"</formula>
    </cfRule>
  </conditionalFormatting>
  <conditionalFormatting sqref="R142">
    <cfRule type="expression" dxfId="886" priority="37">
      <formula>Q142="ja"</formula>
    </cfRule>
  </conditionalFormatting>
  <conditionalFormatting sqref="R143">
    <cfRule type="expression" dxfId="885" priority="36">
      <formula>Q143="ja"</formula>
    </cfRule>
  </conditionalFormatting>
  <conditionalFormatting sqref="R144">
    <cfRule type="expression" dxfId="884" priority="35">
      <formula>Q144="ja"</formula>
    </cfRule>
  </conditionalFormatting>
  <conditionalFormatting sqref="R145">
    <cfRule type="expression" dxfId="883" priority="34">
      <formula>Q145="ja"</formula>
    </cfRule>
  </conditionalFormatting>
  <conditionalFormatting sqref="R148">
    <cfRule type="expression" dxfId="882" priority="33">
      <formula>Q148="ja"</formula>
    </cfRule>
  </conditionalFormatting>
  <conditionalFormatting sqref="R150">
    <cfRule type="expression" dxfId="881" priority="32">
      <formula>Q150="ja"</formula>
    </cfRule>
  </conditionalFormatting>
  <conditionalFormatting sqref="R154">
    <cfRule type="expression" dxfId="880" priority="31">
      <formula>Q154="ja"</formula>
    </cfRule>
  </conditionalFormatting>
  <conditionalFormatting sqref="R157:R163">
    <cfRule type="expression" dxfId="879" priority="30">
      <formula>Q157="ja"</formula>
    </cfRule>
  </conditionalFormatting>
  <conditionalFormatting sqref="R166">
    <cfRule type="expression" dxfId="878" priority="29">
      <formula>Q166="ja"</formula>
    </cfRule>
  </conditionalFormatting>
  <conditionalFormatting sqref="R169">
    <cfRule type="expression" dxfId="877" priority="28">
      <formula>Q169="ja"</formula>
    </cfRule>
  </conditionalFormatting>
  <conditionalFormatting sqref="R173">
    <cfRule type="expression" dxfId="876" priority="27">
      <formula>Q173="ja"</formula>
    </cfRule>
  </conditionalFormatting>
  <conditionalFormatting sqref="R176">
    <cfRule type="expression" dxfId="875" priority="26">
      <formula>Q176="ja"</formula>
    </cfRule>
  </conditionalFormatting>
  <conditionalFormatting sqref="R178">
    <cfRule type="expression" dxfId="874" priority="25">
      <formula>Q178="ja"</formula>
    </cfRule>
  </conditionalFormatting>
  <conditionalFormatting sqref="R181">
    <cfRule type="expression" dxfId="873" priority="24">
      <formula>Q181="ja"</formula>
    </cfRule>
  </conditionalFormatting>
  <conditionalFormatting sqref="R184">
    <cfRule type="expression" dxfId="872" priority="23">
      <formula>Q184="ja"</formula>
    </cfRule>
  </conditionalFormatting>
  <conditionalFormatting sqref="R187">
    <cfRule type="expression" dxfId="871" priority="22">
      <formula>Q187="ja"</formula>
    </cfRule>
  </conditionalFormatting>
  <conditionalFormatting sqref="R190">
    <cfRule type="expression" dxfId="870" priority="21">
      <formula>Q190="ja"</formula>
    </cfRule>
  </conditionalFormatting>
  <conditionalFormatting sqref="R226">
    <cfRule type="expression" dxfId="869" priority="9">
      <formula>Q226="ja"</formula>
    </cfRule>
  </conditionalFormatting>
  <conditionalFormatting sqref="R193">
    <cfRule type="expression" dxfId="868" priority="20">
      <formula>Q193="ja"</formula>
    </cfRule>
  </conditionalFormatting>
  <conditionalFormatting sqref="R205">
    <cfRule type="expression" dxfId="867" priority="16">
      <formula>Q205="ja"</formula>
    </cfRule>
  </conditionalFormatting>
  <conditionalFormatting sqref="R208">
    <cfRule type="expression" dxfId="866" priority="15">
      <formula>Q208="ja"</formula>
    </cfRule>
  </conditionalFormatting>
  <conditionalFormatting sqref="R211">
    <cfRule type="expression" dxfId="865" priority="14">
      <formula>Q211="ja"</formula>
    </cfRule>
  </conditionalFormatting>
  <conditionalFormatting sqref="R214">
    <cfRule type="expression" dxfId="864" priority="13">
      <formula>Q214="ja"</formula>
    </cfRule>
  </conditionalFormatting>
  <conditionalFormatting sqref="R217">
    <cfRule type="expression" dxfId="863" priority="12">
      <formula>Q217="ja"</formula>
    </cfRule>
  </conditionalFormatting>
  <conditionalFormatting sqref="B288">
    <cfRule type="cellIs" dxfId="862" priority="3" operator="greaterThan">
      <formula>0</formula>
    </cfRule>
  </conditionalFormatting>
  <conditionalFormatting sqref="T39:T53 T55:T77 T82:T114 T119:T126 T154:T176 T178:T191 T193:T233 T235:T243 T128:T152">
    <cfRule type="cellIs" dxfId="861" priority="1" operator="equal">
      <formula>"ja"</formula>
    </cfRule>
  </conditionalFormatting>
  <conditionalFormatting sqref="R203">
    <cfRule type="expression" dxfId="860" priority="777">
      <formula>Q203="ja"</formula>
    </cfRule>
  </conditionalFormatting>
  <dataValidations disablePrompts="1" count="2">
    <dataValidation type="list" allowBlank="1" showInputMessage="1" showErrorMessage="1" sqref="F15:Q15" xr:uid="{EEDDA7F4-3CA3-4AF5-9709-C19CAF387439}">
      <formula1>$V$15:$V$17</formula1>
    </dataValidation>
    <dataValidation type="list" allowBlank="1" showInputMessage="1" showErrorMessage="1" sqref="Q39:Q53 H154:H176 H128:H152 H119:H126 H235:H243 H82:H114 H55:H77 H193:H233 H178:H191 H39:H53 Q128:Q152 Q119:Q126 Q82:Q114 Q55:Q77 Q235:Q243 Q178:Q191 Q154:Q176 Q205:Q217 Q226:Q229 Q203 Q193" xr:uid="{2BC28C1D-46F5-49F7-ACF3-762622BA4699}">
      <formula1>$T$32:$T$33</formula1>
    </dataValidation>
  </dataValidations>
  <pageMargins left="0.25" right="0.25" top="0.75" bottom="0.75" header="0.3" footer="0.3"/>
  <pageSetup paperSize="9" scale="50" orientation="portrait" r:id="rId1"/>
  <rowBreaks count="2" manualBreakCount="2">
    <brk id="87" max="16383" man="1"/>
    <brk id="187" max="16383" man="1"/>
  </rowBreak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B250EEC-43FD-428F-9722-43820E879F16}">
          <x14:formula1>
            <xm:f>'Berechnung - Hochbau'!$H$52:$H$56</xm:f>
          </x14:formula1>
          <xm:sqref>F16</xm:sqref>
        </x14:dataValidation>
        <x14:dataValidation type="list" allowBlank="1" showInputMessage="1" showErrorMessage="1" xr:uid="{45257D6F-96B3-49AB-8A04-93579A004289}">
          <x14:formula1>
            <xm:f>'Berechnung - Hochbau'!$B$109:$B$112</xm:f>
          </x14:formula1>
          <xm:sqref>R5:S6 W5:X6</xm:sqref>
        </x14:dataValidation>
        <x14:dataValidation type="list" allowBlank="1" showInputMessage="1" showErrorMessage="1" xr:uid="{C30EDCCE-4F82-4A5C-B8B3-97DCCB494547}">
          <x14:formula1>
            <xm:f>'Berechnung - Abwasser'!$B$138:$B$147</xm:f>
          </x14:formula1>
          <xm:sqref>U39:U233 U235:U243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A6A3C-5E05-49F3-8A55-08DD18298070}">
  <sheetPr codeName="Tabelle2">
    <tabColor theme="0" tint="-0.499984740745262"/>
  </sheetPr>
  <dimension ref="A1:BP136"/>
  <sheetViews>
    <sheetView topLeftCell="A39" workbookViewId="0">
      <selection activeCell="S38" sqref="S38"/>
    </sheetView>
  </sheetViews>
  <sheetFormatPr baseColWidth="10" defaultColWidth="0" defaultRowHeight="13.9" outlineLevelRow="1" x14ac:dyDescent="0.25"/>
  <cols>
    <col min="1" max="1" width="6.77734375" style="59" bestFit="1" customWidth="1"/>
    <col min="2" max="3" width="9.21875" style="39" customWidth="1"/>
    <col min="4" max="4" width="11.77734375" style="39" customWidth="1"/>
    <col min="5" max="5" width="10" style="39" customWidth="1"/>
    <col min="6" max="10" width="9.21875" style="39" customWidth="1"/>
    <col min="11" max="11" width="10.21875" style="39" customWidth="1"/>
    <col min="12" max="12" width="11" style="39" customWidth="1"/>
    <col min="13" max="14" width="9.21875" style="39" customWidth="1"/>
    <col min="15" max="18" width="9.21875" style="68" customWidth="1"/>
    <col min="19" max="45" width="7.44140625" style="68" customWidth="1"/>
    <col min="46" max="47" width="11.44140625" style="68" customWidth="1"/>
    <col min="48" max="68" width="0" style="68" hidden="1" customWidth="1"/>
    <col min="69" max="16384" width="0" style="39" hidden="1"/>
  </cols>
  <sheetData>
    <row r="1" spans="1:28" x14ac:dyDescent="0.25">
      <c r="A1" s="497">
        <f>H96</f>
        <v>33789.782639999998</v>
      </c>
      <c r="H1" s="550" t="s">
        <v>12</v>
      </c>
      <c r="Q1" s="963" t="s">
        <v>961</v>
      </c>
      <c r="R1" s="963"/>
    </row>
    <row r="2" spans="1:28" x14ac:dyDescent="0.25">
      <c r="A2" s="493" t="s">
        <v>13</v>
      </c>
      <c r="B2" s="187" t="s">
        <v>953</v>
      </c>
      <c r="F2" s="971"/>
      <c r="G2" s="971"/>
      <c r="H2" s="971"/>
      <c r="I2" s="971"/>
      <c r="J2" s="971"/>
      <c r="K2" s="971"/>
      <c r="L2" s="971"/>
      <c r="M2" s="971"/>
      <c r="N2" s="971"/>
      <c r="O2" s="971"/>
      <c r="P2" s="68" t="s">
        <v>14</v>
      </c>
      <c r="Q2" s="967"/>
      <c r="R2" s="967"/>
    </row>
    <row r="3" spans="1:28" outlineLevel="1" x14ac:dyDescent="0.25">
      <c r="J3" s="68"/>
      <c r="K3" s="68"/>
      <c r="M3" s="68"/>
      <c r="N3" s="68"/>
    </row>
    <row r="4" spans="1:28" outlineLevel="1" x14ac:dyDescent="0.25">
      <c r="A4" s="59" t="s">
        <v>15</v>
      </c>
      <c r="B4" s="40" t="s">
        <v>16</v>
      </c>
      <c r="J4" s="68"/>
      <c r="K4" s="68"/>
      <c r="L4" s="332" t="s">
        <v>953</v>
      </c>
      <c r="M4" s="68"/>
      <c r="N4" s="68"/>
      <c r="S4" s="2224"/>
      <c r="T4" s="875"/>
      <c r="U4" s="875"/>
      <c r="V4" s="875"/>
    </row>
    <row r="5" spans="1:28" outlineLevel="1" x14ac:dyDescent="0.25">
      <c r="J5" s="68"/>
      <c r="K5" s="68"/>
      <c r="L5" s="72" t="s">
        <v>954</v>
      </c>
      <c r="M5" s="68"/>
      <c r="N5" s="68"/>
    </row>
    <row r="6" spans="1:28" ht="17.7" outlineLevel="1" x14ac:dyDescent="0.3">
      <c r="B6" s="803" t="s">
        <v>926</v>
      </c>
      <c r="J6" s="68"/>
      <c r="K6" s="68"/>
      <c r="L6" s="72"/>
      <c r="M6" s="68"/>
      <c r="N6" s="68"/>
    </row>
    <row r="7" spans="1:28" outlineLevel="1" x14ac:dyDescent="0.25">
      <c r="B7" s="126" t="str">
        <f>IF(O7&gt;0,"Hinweis: Es sind in den nachfolgenden Tabellenblättern noch nicht alle notwendigen Angaben gemacht worden.","")</f>
        <v>Hinweis: Es sind in den nachfolgenden Tabellenblättern noch nicht alle notwendigen Angaben gemacht worden.</v>
      </c>
      <c r="J7" s="68"/>
      <c r="K7" s="68"/>
      <c r="L7" s="72"/>
      <c r="M7" s="68"/>
      <c r="O7" s="72">
        <f>SUM(T85:T137)</f>
        <v>15</v>
      </c>
    </row>
    <row r="8" spans="1:28" ht="17.7" outlineLevel="1" x14ac:dyDescent="0.3">
      <c r="B8" s="803" t="str">
        <f>IF(O7&gt;0,"Bitte machen Sie in den folgenden Tabellenblättern noch Angaben: ","")</f>
        <v xml:space="preserve">Bitte machen Sie in den folgenden Tabellenblättern noch Angaben: </v>
      </c>
      <c r="J8" s="68"/>
      <c r="L8" s="72"/>
      <c r="M8" s="68"/>
      <c r="O8" s="333"/>
    </row>
    <row r="9" spans="1:28" outlineLevel="1" x14ac:dyDescent="0.25">
      <c r="B9" s="964" t="str">
        <f>_xlfn.CONCAT(S77:S778)</f>
        <v xml:space="preserve">Grunddaten Bieter (siehe Zeilen 19ff. auf diesem Tabellenblatt), Projektbeteiligte (siehe Zeilen 22ff. auf diesem Tabellenblatt), Stundensätze (siehe Zeilen 28 bis 32 auf diesem Tabellenblatt), Hochbauplanung, Abwasser-, Wasser- und Gasanlagen, Wärmeversorgung, Nutzerspezifische Anlagen, Gebäudeautomation und Automation von Ingenieurbauwerken, Bauphysik - Wärmeschutz und Energiebilanzierung, Bauphysik - Wärmeschutz, Bauphysik - Bauakustik. Bauphysik - Raumakustik, Tragwerksplanung. weitere Besondere Leistungen, weitere Besondere Leistungen - GÜ Berater. </v>
      </c>
      <c r="C9" s="964"/>
      <c r="D9" s="964"/>
      <c r="E9" s="964"/>
      <c r="F9" s="964"/>
      <c r="G9" s="964"/>
      <c r="H9" s="964"/>
      <c r="I9" s="964"/>
      <c r="J9" s="964"/>
      <c r="K9" s="964"/>
      <c r="L9" s="964"/>
      <c r="M9" s="964"/>
      <c r="N9" s="964"/>
      <c r="O9" s="964"/>
      <c r="P9" s="964"/>
    </row>
    <row r="10" spans="1:28" outlineLevel="1" x14ac:dyDescent="0.25">
      <c r="B10" s="964"/>
      <c r="C10" s="964"/>
      <c r="D10" s="964"/>
      <c r="E10" s="964"/>
      <c r="F10" s="964"/>
      <c r="G10" s="964"/>
      <c r="H10" s="964"/>
      <c r="I10" s="964"/>
      <c r="J10" s="964"/>
      <c r="K10" s="964"/>
      <c r="L10" s="964"/>
      <c r="M10" s="964"/>
      <c r="N10" s="964"/>
      <c r="O10" s="964"/>
      <c r="P10" s="964"/>
    </row>
    <row r="11" spans="1:28" outlineLevel="1" x14ac:dyDescent="0.25">
      <c r="B11" s="964"/>
      <c r="C11" s="964"/>
      <c r="D11" s="964"/>
      <c r="E11" s="964"/>
      <c r="F11" s="964"/>
      <c r="G11" s="964"/>
      <c r="H11" s="964"/>
      <c r="I11" s="964"/>
      <c r="J11" s="964"/>
      <c r="K11" s="964"/>
      <c r="L11" s="964"/>
      <c r="M11" s="964"/>
      <c r="N11" s="964"/>
      <c r="O11" s="964"/>
      <c r="P11" s="964"/>
    </row>
    <row r="12" spans="1:28" outlineLevel="1" x14ac:dyDescent="0.25">
      <c r="B12" s="964"/>
      <c r="C12" s="964"/>
      <c r="D12" s="964"/>
      <c r="E12" s="964"/>
      <c r="F12" s="964"/>
      <c r="G12" s="964"/>
      <c r="H12" s="964"/>
      <c r="I12" s="964"/>
      <c r="J12" s="964"/>
      <c r="K12" s="964"/>
      <c r="L12" s="964"/>
      <c r="M12" s="964"/>
      <c r="N12" s="964"/>
      <c r="O12" s="964"/>
      <c r="P12" s="964"/>
    </row>
    <row r="13" spans="1:28" outlineLevel="1" x14ac:dyDescent="0.25">
      <c r="B13" s="964"/>
      <c r="C13" s="964"/>
      <c r="D13" s="964"/>
      <c r="E13" s="964"/>
      <c r="F13" s="964"/>
      <c r="G13" s="964"/>
      <c r="H13" s="964"/>
      <c r="I13" s="964"/>
      <c r="J13" s="964"/>
      <c r="K13" s="964"/>
      <c r="L13" s="964"/>
      <c r="M13" s="964"/>
      <c r="N13" s="964"/>
      <c r="O13" s="964"/>
      <c r="P13" s="964"/>
    </row>
    <row r="14" spans="1:28" outlineLevel="1" x14ac:dyDescent="0.25">
      <c r="B14" s="964"/>
      <c r="C14" s="964"/>
      <c r="D14" s="964"/>
      <c r="E14" s="964"/>
      <c r="F14" s="964"/>
      <c r="G14" s="964"/>
      <c r="H14" s="964"/>
      <c r="I14" s="964"/>
      <c r="J14" s="964"/>
      <c r="K14" s="964"/>
      <c r="L14" s="964"/>
      <c r="M14" s="964"/>
      <c r="N14" s="964"/>
      <c r="O14" s="964"/>
      <c r="P14" s="964"/>
    </row>
    <row r="15" spans="1:28" ht="17.7" x14ac:dyDescent="0.3">
      <c r="B15" s="805" t="str">
        <f>IF(O7&gt;0,"Wir weisen daraufhin, dass das Leerlassen von orange markierten Feldern den Ausschluss des Angebotes zur Folge haben kann.","")</f>
        <v>Wir weisen daraufhin, dass das Leerlassen von orange markierten Feldern den Ausschluss des Angebotes zur Folge haben kann.</v>
      </c>
      <c r="J15" s="68"/>
      <c r="K15" s="68"/>
      <c r="L15" s="72"/>
      <c r="M15" s="68"/>
      <c r="O15" s="333"/>
    </row>
    <row r="16" spans="1:28" s="68" customFormat="1" x14ac:dyDescent="0.25">
      <c r="A16" s="534"/>
      <c r="B16" s="508"/>
      <c r="O16" s="333"/>
      <c r="S16" s="72"/>
      <c r="T16" s="72"/>
      <c r="U16" s="72"/>
      <c r="V16" s="72"/>
      <c r="W16" s="72"/>
      <c r="X16" s="72"/>
      <c r="Y16" s="72"/>
      <c r="Z16" s="72"/>
      <c r="AA16" s="72"/>
      <c r="AB16" s="72"/>
    </row>
    <row r="17" spans="1:29" x14ac:dyDescent="0.25">
      <c r="A17" s="59" t="str">
        <f>IF($B$2=$L$5,"1.","2.")</f>
        <v>2.</v>
      </c>
      <c r="B17" s="969" t="str">
        <f>IF(A17="1.","Grunddaten Auftragnehmer","Gunddaten Bieter")</f>
        <v>Gunddaten Bieter</v>
      </c>
      <c r="C17" s="969"/>
      <c r="D17" s="969"/>
      <c r="E17" s="969"/>
      <c r="F17" s="531"/>
      <c r="G17" s="531"/>
      <c r="H17" s="531"/>
      <c r="I17" s="531"/>
      <c r="J17" s="68"/>
      <c r="K17" s="68"/>
      <c r="L17" s="72"/>
      <c r="M17" s="68"/>
      <c r="O17" s="333"/>
      <c r="S17" s="72"/>
      <c r="T17" s="72"/>
      <c r="U17" s="72"/>
      <c r="V17" s="72"/>
      <c r="W17" s="72"/>
      <c r="X17" s="72"/>
      <c r="Y17" s="72"/>
      <c r="Z17" s="72"/>
      <c r="AA17" s="72"/>
      <c r="AB17" s="72"/>
    </row>
    <row r="18" spans="1:29" x14ac:dyDescent="0.25">
      <c r="B18" s="531"/>
      <c r="C18" s="531"/>
      <c r="D18" s="531"/>
      <c r="E18" s="531"/>
      <c r="F18" s="531"/>
      <c r="G18" s="531"/>
      <c r="H18" s="531"/>
      <c r="I18" s="531"/>
      <c r="J18" s="68"/>
      <c r="K18" s="68"/>
      <c r="L18" s="68"/>
      <c r="M18" s="68"/>
      <c r="N18" s="68"/>
      <c r="O18" s="333"/>
      <c r="S18" s="72"/>
      <c r="T18" s="72"/>
      <c r="U18" s="72"/>
      <c r="V18" s="72"/>
      <c r="W18" s="72"/>
      <c r="X18" s="72"/>
      <c r="Y18" s="72"/>
      <c r="Z18" s="72"/>
      <c r="AA18" s="72"/>
      <c r="AB18" s="72"/>
    </row>
    <row r="19" spans="1:29" x14ac:dyDescent="0.25">
      <c r="B19" s="968" t="s">
        <v>17</v>
      </c>
      <c r="C19" s="968"/>
      <c r="D19" s="966"/>
      <c r="E19" s="966"/>
      <c r="F19" s="966"/>
      <c r="G19" s="966"/>
      <c r="H19" s="966"/>
      <c r="I19" s="966"/>
      <c r="J19" s="72">
        <f>IF(D19="",1,0)</f>
        <v>1</v>
      </c>
      <c r="K19" s="68"/>
      <c r="L19" s="68"/>
      <c r="M19" s="68"/>
      <c r="N19" s="68"/>
      <c r="O19" s="333"/>
      <c r="S19" s="72"/>
      <c r="T19" s="72"/>
      <c r="U19" s="72"/>
      <c r="V19" s="72"/>
      <c r="W19" s="72"/>
      <c r="X19" s="72"/>
      <c r="Y19" s="72"/>
      <c r="Z19" s="72"/>
      <c r="AA19" s="72"/>
      <c r="AB19" s="72"/>
    </row>
    <row r="20" spans="1:29" x14ac:dyDescent="0.25">
      <c r="B20" s="533"/>
      <c r="C20" s="533"/>
      <c r="D20" s="970" t="s">
        <v>18</v>
      </c>
      <c r="E20" s="970"/>
      <c r="F20" s="970"/>
      <c r="G20" s="970"/>
      <c r="H20" s="970"/>
      <c r="I20" s="970"/>
      <c r="J20" s="72"/>
      <c r="K20" s="68"/>
      <c r="L20" s="68"/>
      <c r="M20" s="68"/>
      <c r="N20" s="68"/>
      <c r="O20" s="333"/>
      <c r="S20" s="72"/>
      <c r="T20" s="72"/>
      <c r="U20" s="72"/>
      <c r="V20" s="72"/>
      <c r="W20" s="72"/>
      <c r="X20" s="72"/>
      <c r="Y20" s="72"/>
      <c r="Z20" s="72"/>
      <c r="AA20" s="72"/>
      <c r="AB20" s="72"/>
    </row>
    <row r="21" spans="1:29" x14ac:dyDescent="0.25">
      <c r="B21" s="965" t="s">
        <v>19</v>
      </c>
      <c r="C21" s="965"/>
      <c r="D21" s="966"/>
      <c r="E21" s="966"/>
      <c r="F21" s="966"/>
      <c r="G21" s="966"/>
      <c r="H21" s="966"/>
      <c r="I21" s="966"/>
      <c r="J21" s="72">
        <f>IF(D21="",1,0)</f>
        <v>1</v>
      </c>
      <c r="K21" s="68"/>
      <c r="L21" s="68"/>
      <c r="M21" s="68"/>
      <c r="N21" s="68"/>
      <c r="O21" s="333"/>
      <c r="S21" s="72"/>
      <c r="T21" s="72"/>
      <c r="U21" s="72"/>
      <c r="V21" s="72"/>
      <c r="W21" s="72"/>
      <c r="X21" s="72"/>
      <c r="Y21" s="72"/>
      <c r="Z21" s="72"/>
      <c r="AA21" s="72"/>
      <c r="AB21" s="72"/>
    </row>
    <row r="22" spans="1:29" x14ac:dyDescent="0.25">
      <c r="B22" s="968" t="s">
        <v>20</v>
      </c>
      <c r="C22" s="968"/>
      <c r="D22" s="966"/>
      <c r="E22" s="966"/>
      <c r="F22" s="966"/>
      <c r="G22" s="966"/>
      <c r="H22" s="966"/>
      <c r="I22" s="966"/>
      <c r="J22" s="72">
        <f>IF(D22="",1,0)</f>
        <v>1</v>
      </c>
      <c r="K22" s="68"/>
      <c r="L22" s="68"/>
      <c r="M22" s="68"/>
      <c r="N22" s="68"/>
      <c r="O22" s="333"/>
      <c r="S22" s="72"/>
      <c r="T22" s="72"/>
      <c r="U22" s="72"/>
      <c r="V22" s="72"/>
      <c r="W22" s="72"/>
      <c r="X22" s="72"/>
      <c r="Y22" s="72"/>
      <c r="Z22" s="72"/>
      <c r="AA22" s="72"/>
      <c r="AB22" s="72"/>
    </row>
    <row r="23" spans="1:29" x14ac:dyDescent="0.25">
      <c r="B23" s="968" t="s">
        <v>21</v>
      </c>
      <c r="C23" s="968"/>
      <c r="D23" s="966"/>
      <c r="E23" s="966"/>
      <c r="F23" s="966"/>
      <c r="G23" s="966"/>
      <c r="H23" s="966"/>
      <c r="I23" s="966"/>
      <c r="J23" s="72">
        <f>IF(D23="",1,0)</f>
        <v>1</v>
      </c>
      <c r="K23" s="68"/>
      <c r="L23" s="68"/>
      <c r="M23" s="68"/>
      <c r="N23" s="68"/>
      <c r="O23" s="333"/>
      <c r="S23" s="72"/>
      <c r="T23" s="72"/>
      <c r="U23" s="72"/>
      <c r="V23" s="72"/>
      <c r="W23" s="72"/>
      <c r="X23" s="72"/>
      <c r="Y23" s="72"/>
      <c r="Z23" s="72"/>
      <c r="AA23" s="72"/>
      <c r="AB23" s="72"/>
    </row>
    <row r="24" spans="1:29" x14ac:dyDescent="0.25">
      <c r="B24" s="965" t="s">
        <v>22</v>
      </c>
      <c r="C24" s="965"/>
      <c r="D24" s="966"/>
      <c r="E24" s="966"/>
      <c r="F24" s="966"/>
      <c r="G24" s="966"/>
      <c r="H24" s="966"/>
      <c r="I24" s="966"/>
      <c r="J24" s="72">
        <f>IF(D24="",1,0)</f>
        <v>1</v>
      </c>
      <c r="K24" s="68"/>
      <c r="L24" s="68"/>
      <c r="M24" s="68"/>
      <c r="N24" s="68"/>
      <c r="O24" s="333"/>
      <c r="P24" s="875"/>
      <c r="Q24" s="875"/>
      <c r="R24" s="875"/>
      <c r="S24" s="876"/>
      <c r="T24" s="876"/>
      <c r="U24" s="876"/>
      <c r="V24" s="876"/>
      <c r="W24" s="876"/>
      <c r="X24" s="876"/>
      <c r="Y24" s="876"/>
      <c r="Z24" s="876"/>
      <c r="AA24" s="876"/>
      <c r="AB24" s="876"/>
      <c r="AC24" s="875"/>
    </row>
    <row r="25" spans="1:29" x14ac:dyDescent="0.25">
      <c r="B25" s="965" t="s">
        <v>23</v>
      </c>
      <c r="C25" s="965"/>
      <c r="D25" s="966"/>
      <c r="E25" s="966"/>
      <c r="F25" s="966"/>
      <c r="G25" s="966"/>
      <c r="H25" s="966"/>
      <c r="I25" s="966"/>
      <c r="J25" s="72">
        <f>IF(D25="",1,0)</f>
        <v>1</v>
      </c>
      <c r="K25" s="68"/>
      <c r="L25" s="68"/>
      <c r="M25" s="68"/>
      <c r="N25" s="68"/>
      <c r="O25" s="333"/>
      <c r="P25" s="875"/>
      <c r="Q25" s="875"/>
      <c r="R25" s="875"/>
      <c r="S25" s="876"/>
      <c r="T25" s="876"/>
      <c r="U25" s="876"/>
      <c r="V25" s="876"/>
      <c r="W25" s="876"/>
      <c r="X25" s="876"/>
      <c r="Y25" s="876"/>
      <c r="Z25" s="876"/>
      <c r="AA25" s="876"/>
      <c r="AB25" s="876"/>
      <c r="AC25" s="875"/>
    </row>
    <row r="26" spans="1:29" x14ac:dyDescent="0.25">
      <c r="B26" s="126"/>
      <c r="J26" s="72">
        <f>SUM(J19:J25)</f>
        <v>6</v>
      </c>
      <c r="K26" s="68"/>
      <c r="L26" s="68"/>
      <c r="M26" s="68"/>
      <c r="N26" s="68"/>
      <c r="O26" s="333"/>
      <c r="P26" s="875"/>
      <c r="Q26" s="875"/>
      <c r="R26" s="875"/>
      <c r="S26" s="876"/>
      <c r="T26" s="876"/>
      <c r="U26" s="876"/>
      <c r="V26" s="876"/>
      <c r="W26" s="876"/>
      <c r="X26" s="876"/>
      <c r="Y26" s="876"/>
      <c r="Z26" s="876"/>
      <c r="AA26" s="876"/>
      <c r="AB26" s="876"/>
      <c r="AC26" s="875"/>
    </row>
    <row r="27" spans="1:29" x14ac:dyDescent="0.25">
      <c r="A27" s="59" t="str">
        <f>IF($B$2=$L$5,"2.","3.")</f>
        <v>3.</v>
      </c>
      <c r="B27" s="508" t="s">
        <v>24</v>
      </c>
      <c r="J27" s="68"/>
      <c r="K27" s="68"/>
      <c r="L27" s="68"/>
      <c r="M27" s="68"/>
      <c r="N27" s="68"/>
      <c r="O27" s="333"/>
      <c r="P27" s="875"/>
      <c r="Q27" s="875"/>
      <c r="R27" s="875"/>
      <c r="S27" s="876"/>
      <c r="T27" s="876"/>
      <c r="U27" s="876"/>
      <c r="V27" s="876"/>
      <c r="W27" s="876"/>
      <c r="X27" s="876"/>
      <c r="Y27" s="876"/>
      <c r="Z27" s="876"/>
      <c r="AA27" s="876"/>
      <c r="AB27" s="876"/>
      <c r="AC27" s="875"/>
    </row>
    <row r="28" spans="1:29" x14ac:dyDescent="0.25">
      <c r="B28" s="126"/>
      <c r="J28" s="68"/>
      <c r="K28" s="68"/>
      <c r="L28" s="68"/>
      <c r="M28" s="68"/>
      <c r="N28" s="68"/>
      <c r="O28" s="333"/>
      <c r="P28" s="875"/>
      <c r="Q28" s="875"/>
      <c r="R28" s="875"/>
      <c r="S28" s="876"/>
      <c r="T28" s="876"/>
      <c r="U28" s="876"/>
      <c r="V28" s="876"/>
      <c r="W28" s="876"/>
      <c r="X28" s="876"/>
      <c r="Y28" s="876"/>
      <c r="Z28" s="876"/>
      <c r="AA28" s="876"/>
      <c r="AB28" s="876"/>
      <c r="AC28" s="875"/>
    </row>
    <row r="29" spans="1:29" x14ac:dyDescent="0.25">
      <c r="B29" s="511" t="s">
        <v>26</v>
      </c>
      <c r="C29" s="512"/>
      <c r="G29" s="953" t="s">
        <v>962</v>
      </c>
      <c r="H29" s="953"/>
      <c r="I29" s="953"/>
      <c r="J29" s="953"/>
      <c r="K29" s="953"/>
      <c r="L29" s="953"/>
      <c r="M29" s="953"/>
      <c r="N29" s="953"/>
      <c r="O29" s="333"/>
      <c r="P29" s="875"/>
      <c r="Q29" s="875"/>
      <c r="R29" s="875"/>
      <c r="S29" s="876" t="s">
        <v>26</v>
      </c>
      <c r="T29" s="876"/>
      <c r="U29" s="876"/>
      <c r="V29" s="876"/>
      <c r="W29" s="876"/>
      <c r="X29" s="876"/>
      <c r="Y29" s="876"/>
      <c r="Z29" s="876"/>
      <c r="AA29" s="876"/>
      <c r="AB29" s="876"/>
      <c r="AC29" s="875"/>
    </row>
    <row r="30" spans="1:29" x14ac:dyDescent="0.25">
      <c r="B30" s="68" t="str">
        <f>IF(B29=S30,S31,S32)</f>
        <v>einen Neubau zu errichten.</v>
      </c>
      <c r="J30" s="68"/>
      <c r="K30" s="68"/>
      <c r="L30" s="72"/>
      <c r="M30" s="68"/>
      <c r="O30" s="333"/>
      <c r="P30" s="875"/>
      <c r="Q30" s="875"/>
      <c r="R30" s="875"/>
      <c r="S30" s="876" t="s">
        <v>25</v>
      </c>
      <c r="T30" s="876"/>
      <c r="U30" s="876"/>
      <c r="V30" s="876"/>
      <c r="W30" s="876"/>
      <c r="X30" s="876"/>
      <c r="Y30" s="876"/>
      <c r="Z30" s="876"/>
      <c r="AA30" s="876"/>
      <c r="AB30" s="876"/>
      <c r="AC30" s="875"/>
    </row>
    <row r="31" spans="1:29" x14ac:dyDescent="0.25">
      <c r="B31" s="126"/>
      <c r="J31" s="68"/>
      <c r="K31" s="68"/>
      <c r="L31" s="72"/>
      <c r="M31" s="68"/>
      <c r="O31" s="333"/>
      <c r="P31" s="875"/>
      <c r="Q31" s="875"/>
      <c r="R31" s="875"/>
      <c r="S31" s="876" t="s">
        <v>27</v>
      </c>
      <c r="T31" s="876"/>
      <c r="U31" s="876"/>
      <c r="V31" s="876"/>
      <c r="W31" s="876"/>
      <c r="X31" s="876"/>
      <c r="Y31" s="876"/>
      <c r="Z31" s="876"/>
      <c r="AA31" s="876"/>
      <c r="AB31" s="876"/>
      <c r="AC31" s="875"/>
    </row>
    <row r="32" spans="1:29" x14ac:dyDescent="0.25">
      <c r="A32" s="59" t="str">
        <f>IF($B$2=$L$5,"3.","4.")</f>
        <v>4.</v>
      </c>
      <c r="B32" s="508" t="s">
        <v>28</v>
      </c>
      <c r="J32" s="68"/>
      <c r="K32" s="68"/>
      <c r="L32" s="72"/>
      <c r="M32" s="68"/>
      <c r="O32" s="333"/>
      <c r="P32" s="875"/>
      <c r="Q32" s="875"/>
      <c r="R32" s="875"/>
      <c r="S32" s="876" t="s">
        <v>29</v>
      </c>
      <c r="T32" s="876"/>
      <c r="U32" s="876"/>
      <c r="V32" s="876"/>
      <c r="W32" s="876"/>
      <c r="X32" s="876"/>
      <c r="Y32" s="876"/>
      <c r="Z32" s="876"/>
      <c r="AA32" s="876"/>
      <c r="AB32" s="876"/>
      <c r="AC32" s="875"/>
    </row>
    <row r="33" spans="1:29" x14ac:dyDescent="0.25">
      <c r="B33" s="508"/>
      <c r="J33" s="68"/>
      <c r="K33" s="68"/>
      <c r="L33" s="72"/>
      <c r="M33" s="68"/>
      <c r="O33" s="333"/>
      <c r="P33" s="875"/>
      <c r="Q33" s="875"/>
      <c r="R33" s="875"/>
      <c r="S33" s="876"/>
      <c r="T33" s="876"/>
      <c r="U33" s="876"/>
      <c r="V33" s="876"/>
      <c r="W33" s="876"/>
      <c r="X33" s="876"/>
      <c r="Y33" s="876"/>
      <c r="Z33" s="876"/>
      <c r="AA33" s="876"/>
      <c r="AB33" s="876"/>
      <c r="AC33" s="875"/>
    </row>
    <row r="34" spans="1:29" x14ac:dyDescent="0.25">
      <c r="B34" s="68" t="s">
        <v>30</v>
      </c>
      <c r="E34" s="873"/>
      <c r="F34" s="874"/>
      <c r="G34" s="874"/>
      <c r="H34" s="874"/>
      <c r="I34" s="874"/>
      <c r="J34" s="874"/>
      <c r="K34" s="68"/>
      <c r="L34" s="72"/>
      <c r="M34" s="68"/>
      <c r="O34" s="333"/>
      <c r="P34" s="876">
        <f>IF(F34="",1,0)</f>
        <v>1</v>
      </c>
      <c r="Q34" s="875"/>
      <c r="R34" s="875"/>
      <c r="S34" s="876"/>
      <c r="T34" s="876"/>
      <c r="U34" s="876"/>
      <c r="V34" s="876"/>
      <c r="W34" s="876"/>
      <c r="X34" s="876"/>
      <c r="Y34" s="876"/>
      <c r="Z34" s="876"/>
      <c r="AA34" s="876"/>
      <c r="AB34" s="876"/>
      <c r="AC34" s="875"/>
    </row>
    <row r="35" spans="1:29" x14ac:dyDescent="0.25">
      <c r="B35" s="879" t="s">
        <v>31</v>
      </c>
      <c r="C35" s="880"/>
      <c r="D35" s="880"/>
      <c r="E35" s="880"/>
      <c r="F35" s="880"/>
      <c r="G35" s="880"/>
      <c r="H35" s="880"/>
      <c r="I35" s="881"/>
      <c r="J35" s="882"/>
      <c r="K35" s="882"/>
      <c r="L35" s="882"/>
      <c r="M35" s="882"/>
      <c r="N35" s="880"/>
      <c r="O35" s="333"/>
      <c r="P35" s="876">
        <f>IF(AND(B35&gt;0,J35=0),1,0)</f>
        <v>1</v>
      </c>
      <c r="Q35" s="875"/>
      <c r="R35" s="875"/>
      <c r="S35" s="876" t="s">
        <v>31</v>
      </c>
      <c r="T35" s="876"/>
      <c r="U35" s="876"/>
      <c r="V35" s="876"/>
      <c r="W35" s="876"/>
      <c r="X35" s="876"/>
      <c r="Y35" s="876"/>
      <c r="Z35" s="876"/>
      <c r="AA35" s="876"/>
      <c r="AB35" s="876"/>
      <c r="AC35" s="875"/>
    </row>
    <row r="36" spans="1:29" x14ac:dyDescent="0.25">
      <c r="B36" s="126"/>
      <c r="J36" s="68"/>
      <c r="K36" s="68"/>
      <c r="L36" s="72"/>
      <c r="M36" s="68"/>
      <c r="O36" s="333"/>
      <c r="P36" s="876">
        <f>SUM(P34:P35)</f>
        <v>2</v>
      </c>
      <c r="Q36" s="875"/>
      <c r="R36" s="875"/>
      <c r="S36" s="876"/>
      <c r="T36" s="876"/>
      <c r="U36" s="876"/>
      <c r="V36" s="876"/>
      <c r="W36" s="876"/>
      <c r="X36" s="876"/>
      <c r="Y36" s="876"/>
      <c r="Z36" s="876"/>
      <c r="AA36" s="876"/>
      <c r="AB36" s="876"/>
      <c r="AC36" s="875"/>
    </row>
    <row r="37" spans="1:29" x14ac:dyDescent="0.25">
      <c r="A37" s="59" t="str">
        <f>IF($B$2=$L$5,"4.","5.")</f>
        <v>5.</v>
      </c>
      <c r="B37" s="508" t="s">
        <v>32</v>
      </c>
      <c r="J37" s="68"/>
      <c r="K37" s="68"/>
      <c r="L37" s="72"/>
      <c r="M37" s="68"/>
      <c r="O37" s="333"/>
      <c r="P37" s="875"/>
      <c r="Q37" s="875"/>
      <c r="R37" s="875"/>
      <c r="S37" s="876"/>
      <c r="T37" s="876"/>
      <c r="U37" s="876"/>
      <c r="V37" s="876"/>
      <c r="W37" s="876"/>
      <c r="X37" s="876"/>
      <c r="Y37" s="876"/>
      <c r="Z37" s="876"/>
      <c r="AA37" s="876"/>
      <c r="AB37" s="876"/>
      <c r="AC37" s="875"/>
    </row>
    <row r="38" spans="1:29" x14ac:dyDescent="0.25">
      <c r="B38" s="508"/>
      <c r="J38" s="68"/>
      <c r="K38" s="68"/>
      <c r="L38" s="72"/>
      <c r="M38" s="68"/>
      <c r="O38" s="333"/>
      <c r="R38" s="875"/>
      <c r="S38" s="876"/>
      <c r="T38" s="876"/>
      <c r="U38" s="876"/>
      <c r="V38" s="72"/>
      <c r="W38" s="72"/>
      <c r="X38" s="72"/>
      <c r="Y38" s="72"/>
      <c r="Z38" s="72"/>
      <c r="AA38" s="72"/>
      <c r="AB38" s="72"/>
    </row>
    <row r="39" spans="1:29" x14ac:dyDescent="0.25">
      <c r="B39" s="509" t="s">
        <v>37</v>
      </c>
      <c r="J39" s="872"/>
      <c r="K39" s="916"/>
      <c r="L39" s="916"/>
      <c r="M39" s="916"/>
      <c r="N39" s="72" t="s">
        <v>34</v>
      </c>
      <c r="O39" s="333"/>
      <c r="R39" s="875"/>
      <c r="S39" s="876" t="s">
        <v>33</v>
      </c>
      <c r="T39" s="876"/>
      <c r="U39" s="876"/>
      <c r="V39" s="72"/>
      <c r="W39" s="72"/>
      <c r="X39" s="72"/>
      <c r="Y39" s="72"/>
      <c r="Z39" s="72"/>
      <c r="AA39" s="72"/>
      <c r="AB39" s="72"/>
    </row>
    <row r="40" spans="1:29" x14ac:dyDescent="0.25">
      <c r="B40" s="72" t="s">
        <v>35</v>
      </c>
      <c r="D40" s="952"/>
      <c r="E40" s="952"/>
      <c r="F40" s="72" t="s">
        <v>36</v>
      </c>
      <c r="J40" s="68"/>
      <c r="K40" s="68"/>
      <c r="L40" s="72"/>
      <c r="M40" s="68"/>
      <c r="O40" s="333"/>
      <c r="R40" s="875"/>
      <c r="S40" s="876" t="s">
        <v>37</v>
      </c>
      <c r="T40" s="876"/>
      <c r="U40" s="876"/>
      <c r="V40" s="72"/>
      <c r="W40" s="72"/>
      <c r="X40" s="72"/>
      <c r="Y40" s="72"/>
      <c r="Z40" s="72"/>
      <c r="AA40" s="72"/>
      <c r="AB40" s="72"/>
    </row>
    <row r="41" spans="1:29" x14ac:dyDescent="0.25">
      <c r="B41" s="126"/>
      <c r="J41" s="68"/>
      <c r="K41" s="68"/>
      <c r="L41" s="72"/>
      <c r="M41" s="68"/>
      <c r="O41" s="333"/>
      <c r="S41" s="72"/>
      <c r="T41" s="72"/>
      <c r="U41" s="72"/>
      <c r="V41" s="72"/>
      <c r="W41" s="72"/>
      <c r="X41" s="72"/>
      <c r="Y41" s="72"/>
      <c r="Z41" s="72"/>
      <c r="AA41" s="72"/>
      <c r="AB41" s="72"/>
    </row>
    <row r="42" spans="1:29" x14ac:dyDescent="0.25">
      <c r="A42" s="494" t="str">
        <f>IF($B$2=$L$5,"5.","6.")</f>
        <v>6.</v>
      </c>
      <c r="B42" s="40" t="s">
        <v>38</v>
      </c>
      <c r="S42" s="72"/>
      <c r="T42" s="72"/>
      <c r="U42" s="72"/>
      <c r="V42" s="72"/>
      <c r="W42" s="72"/>
      <c r="X42" s="72"/>
      <c r="Y42" s="72"/>
      <c r="Z42" s="72"/>
      <c r="AA42" s="72"/>
      <c r="AB42" s="72"/>
    </row>
    <row r="43" spans="1:29" x14ac:dyDescent="0.25">
      <c r="A43" s="494"/>
      <c r="S43" s="72"/>
      <c r="T43" s="72"/>
      <c r="U43" s="72"/>
      <c r="V43" s="72"/>
      <c r="W43" s="72"/>
      <c r="X43" s="72"/>
      <c r="Y43" s="72"/>
      <c r="Z43" s="72"/>
      <c r="AA43" s="72"/>
      <c r="AB43" s="72"/>
    </row>
    <row r="44" spans="1:29" x14ac:dyDescent="0.25">
      <c r="B44" s="39" t="s">
        <v>39</v>
      </c>
      <c r="O44" s="478"/>
      <c r="Q44" s="478"/>
      <c r="R44" s="43"/>
      <c r="S44" s="72"/>
      <c r="T44" s="72"/>
      <c r="U44" s="72"/>
      <c r="V44" s="72"/>
      <c r="W44" s="72"/>
      <c r="X44" s="72"/>
      <c r="Y44" s="72"/>
      <c r="Z44" s="72"/>
      <c r="AA44" s="72"/>
      <c r="AB44" s="72"/>
    </row>
    <row r="45" spans="1:29" x14ac:dyDescent="0.25">
      <c r="B45" s="39" t="s">
        <v>40</v>
      </c>
      <c r="K45" s="912"/>
      <c r="L45" s="912"/>
      <c r="M45" s="912"/>
      <c r="N45" s="43" t="s">
        <v>41</v>
      </c>
      <c r="O45" s="478"/>
      <c r="P45" s="72">
        <f>IF(K45="",1,0)</f>
        <v>1</v>
      </c>
      <c r="Q45" s="478"/>
      <c r="R45" s="43"/>
      <c r="S45" s="72"/>
      <c r="T45" s="72"/>
      <c r="U45" s="72"/>
      <c r="V45" s="72"/>
      <c r="W45" s="72"/>
      <c r="X45" s="72"/>
      <c r="Y45" s="72"/>
      <c r="Z45" s="72"/>
      <c r="AA45" s="72"/>
      <c r="AB45" s="72"/>
    </row>
    <row r="46" spans="1:29" x14ac:dyDescent="0.25">
      <c r="B46" s="39" t="s">
        <v>42</v>
      </c>
      <c r="K46" s="912"/>
      <c r="L46" s="912"/>
      <c r="M46" s="912"/>
      <c r="N46" s="43" t="s">
        <v>41</v>
      </c>
      <c r="O46" s="44"/>
      <c r="P46" s="72">
        <f>IF(K46="",1,0)</f>
        <v>1</v>
      </c>
      <c r="R46" s="44"/>
      <c r="S46" s="72"/>
      <c r="T46" s="72"/>
      <c r="U46" s="72"/>
      <c r="V46" s="72"/>
      <c r="W46" s="72"/>
      <c r="X46" s="72"/>
      <c r="Y46" s="72"/>
      <c r="Z46" s="72"/>
      <c r="AA46" s="72"/>
      <c r="AB46" s="72"/>
    </row>
    <row r="47" spans="1:29" x14ac:dyDescent="0.25">
      <c r="B47" s="913" t="s">
        <v>43</v>
      </c>
      <c r="C47" s="913"/>
      <c r="D47" s="913"/>
      <c r="E47" s="913"/>
      <c r="F47" s="913"/>
      <c r="G47" s="913"/>
      <c r="H47" s="913"/>
      <c r="I47" s="913"/>
      <c r="J47" s="913"/>
      <c r="K47" s="182"/>
      <c r="L47" s="41"/>
      <c r="M47" s="41"/>
      <c r="N47" s="44"/>
      <c r="O47" s="478"/>
      <c r="P47" s="72"/>
      <c r="Q47" s="478"/>
      <c r="R47" s="43"/>
      <c r="S47" s="72"/>
      <c r="T47" s="72"/>
      <c r="U47" s="72"/>
      <c r="V47" s="72"/>
      <c r="W47" s="72"/>
      <c r="X47" s="72"/>
      <c r="Y47" s="72"/>
      <c r="Z47" s="72"/>
      <c r="AA47" s="72"/>
      <c r="AB47" s="72"/>
    </row>
    <row r="48" spans="1:29" x14ac:dyDescent="0.25">
      <c r="B48" s="913"/>
      <c r="C48" s="913"/>
      <c r="D48" s="913"/>
      <c r="E48" s="913"/>
      <c r="F48" s="913"/>
      <c r="G48" s="913"/>
      <c r="H48" s="913"/>
      <c r="I48" s="913"/>
      <c r="J48" s="913"/>
      <c r="K48" s="912"/>
      <c r="L48" s="912"/>
      <c r="M48" s="912"/>
      <c r="N48" s="43" t="s">
        <v>41</v>
      </c>
      <c r="O48" s="478"/>
      <c r="P48" s="72">
        <f>IF(K48="",1,0)</f>
        <v>1</v>
      </c>
      <c r="Q48" s="478"/>
      <c r="R48" s="43"/>
      <c r="S48" s="72"/>
      <c r="T48" s="72"/>
      <c r="U48" s="72"/>
      <c r="V48" s="72"/>
      <c r="W48" s="72"/>
      <c r="X48" s="72"/>
      <c r="Y48" s="72"/>
      <c r="Z48" s="72"/>
      <c r="AA48" s="72"/>
      <c r="AB48" s="72"/>
    </row>
    <row r="49" spans="1:68" x14ac:dyDescent="0.25">
      <c r="K49" s="478"/>
      <c r="L49" s="478"/>
      <c r="M49" s="478"/>
      <c r="N49" s="43"/>
      <c r="O49" s="478"/>
      <c r="P49" s="72">
        <f>SUM(P45:P48)</f>
        <v>3</v>
      </c>
      <c r="Q49" s="478"/>
      <c r="R49" s="43"/>
      <c r="S49" s="72"/>
      <c r="T49" s="72"/>
      <c r="U49" s="72"/>
      <c r="V49" s="72"/>
      <c r="W49" s="72"/>
      <c r="X49" s="72"/>
      <c r="Y49" s="72"/>
      <c r="Z49" s="72"/>
      <c r="AA49" s="72"/>
      <c r="AB49" s="72"/>
    </row>
    <row r="50" spans="1:68" x14ac:dyDescent="0.25">
      <c r="J50" s="68"/>
      <c r="K50" s="68"/>
      <c r="L50" s="72"/>
      <c r="M50" s="68"/>
      <c r="N50" s="68"/>
      <c r="S50" s="72"/>
      <c r="T50" s="72"/>
      <c r="U50" s="72"/>
      <c r="V50" s="72"/>
      <c r="W50" s="72"/>
      <c r="X50" s="72"/>
      <c r="Y50" s="72"/>
      <c r="Z50" s="72"/>
      <c r="AA50" s="72"/>
      <c r="AB50" s="72"/>
    </row>
    <row r="51" spans="1:68" x14ac:dyDescent="0.25">
      <c r="A51" s="494" t="str">
        <f>IF($B$2=$L$5,"6.","7.")</f>
        <v>7.</v>
      </c>
      <c r="B51" s="40" t="s">
        <v>44</v>
      </c>
      <c r="J51" s="68"/>
      <c r="K51" s="68"/>
      <c r="L51" s="68"/>
      <c r="M51" s="68"/>
      <c r="N51" s="68"/>
      <c r="S51" s="2225"/>
      <c r="T51" s="876"/>
      <c r="U51" s="876"/>
      <c r="V51" s="876"/>
      <c r="W51" s="72"/>
      <c r="X51" s="72"/>
      <c r="Y51" s="72"/>
      <c r="Z51" s="72"/>
      <c r="AA51" s="72"/>
      <c r="AB51" s="72"/>
    </row>
    <row r="52" spans="1:68" x14ac:dyDescent="0.25">
      <c r="J52" s="68"/>
      <c r="K52" s="68"/>
      <c r="L52" s="68"/>
      <c r="M52" s="68"/>
      <c r="N52" s="68"/>
      <c r="S52" s="2225"/>
      <c r="T52" s="2224"/>
      <c r="U52" s="876"/>
      <c r="V52" s="876"/>
      <c r="W52" s="72"/>
      <c r="X52" s="72"/>
      <c r="Y52" s="72"/>
      <c r="Z52" s="72"/>
      <c r="AA52" s="72"/>
      <c r="AB52" s="72"/>
    </row>
    <row r="53" spans="1:68" x14ac:dyDescent="0.25">
      <c r="B53" s="489"/>
      <c r="G53" s="41" t="s">
        <v>45</v>
      </c>
      <c r="H53" s="510">
        <v>6</v>
      </c>
      <c r="I53" s="39" t="s">
        <v>46</v>
      </c>
      <c r="K53" s="68"/>
      <c r="L53" s="68"/>
      <c r="M53" s="68"/>
      <c r="N53" s="68"/>
      <c r="S53" s="2225"/>
      <c r="T53" s="2224"/>
      <c r="U53" s="876"/>
      <c r="V53" s="876"/>
      <c r="W53" s="72"/>
      <c r="X53" s="72"/>
      <c r="Y53" s="72"/>
      <c r="Z53" s="72"/>
      <c r="AA53" s="72"/>
      <c r="AB53" s="72"/>
    </row>
    <row r="54" spans="1:68" x14ac:dyDescent="0.25">
      <c r="E54" s="41"/>
      <c r="F54" s="57"/>
      <c r="J54" s="68"/>
      <c r="K54" s="68"/>
      <c r="L54" s="68"/>
      <c r="M54" s="68"/>
      <c r="N54" s="68"/>
      <c r="S54" s="2225"/>
      <c r="T54" s="2224"/>
      <c r="U54" s="876"/>
      <c r="V54" s="876"/>
      <c r="W54" s="72"/>
      <c r="X54" s="72"/>
      <c r="Y54" s="72"/>
      <c r="Z54" s="72"/>
      <c r="AA54" s="72"/>
      <c r="AB54" s="72"/>
    </row>
    <row r="55" spans="1:68" x14ac:dyDescent="0.25">
      <c r="A55" s="494" t="str">
        <f>IF($B$2=$L$5,"7.","8.")</f>
        <v>8.</v>
      </c>
      <c r="B55" s="40" t="s">
        <v>47</v>
      </c>
      <c r="E55" s="41"/>
      <c r="F55" s="57"/>
      <c r="J55" s="68"/>
      <c r="K55" s="68"/>
      <c r="L55" s="68"/>
      <c r="M55" s="68"/>
      <c r="N55" s="68"/>
      <c r="S55" s="2225"/>
      <c r="T55" s="2224"/>
      <c r="U55" s="876"/>
      <c r="V55" s="876"/>
      <c r="W55" s="72"/>
      <c r="X55" s="72"/>
      <c r="Y55" s="72"/>
      <c r="Z55" s="72"/>
      <c r="AA55" s="72"/>
      <c r="AB55" s="72"/>
    </row>
    <row r="56" spans="1:68" x14ac:dyDescent="0.25">
      <c r="E56" s="41"/>
      <c r="F56" s="57"/>
      <c r="J56" s="68"/>
      <c r="K56" s="68"/>
      <c r="L56" s="68"/>
      <c r="M56" s="68"/>
      <c r="N56" s="68"/>
      <c r="S56" s="2225"/>
      <c r="T56" s="2224"/>
      <c r="U56" s="876"/>
      <c r="V56" s="876"/>
      <c r="W56" s="72"/>
      <c r="X56" s="72"/>
      <c r="Y56" s="72"/>
      <c r="Z56" s="72"/>
      <c r="AA56" s="72"/>
      <c r="AB56" s="72"/>
    </row>
    <row r="57" spans="1:68" x14ac:dyDescent="0.25">
      <c r="B57" s="913" t="s">
        <v>48</v>
      </c>
      <c r="C57" s="913"/>
      <c r="D57" s="913"/>
      <c r="E57" s="913"/>
      <c r="F57" s="913"/>
      <c r="G57" s="913"/>
      <c r="H57" s="913"/>
      <c r="I57" s="913"/>
      <c r="J57" s="913"/>
      <c r="K57" s="913"/>
      <c r="L57" s="913"/>
      <c r="M57" s="913"/>
      <c r="N57" s="913"/>
      <c r="O57" s="913"/>
      <c r="P57" s="913"/>
      <c r="Q57" s="913"/>
      <c r="S57" s="2225"/>
      <c r="T57" s="2224"/>
      <c r="U57" s="876"/>
      <c r="V57" s="876"/>
      <c r="W57" s="72"/>
      <c r="X57" s="72"/>
      <c r="Y57" s="72"/>
      <c r="Z57" s="72"/>
      <c r="AA57" s="72"/>
      <c r="AB57" s="72"/>
    </row>
    <row r="58" spans="1:68" x14ac:dyDescent="0.25">
      <c r="B58" s="913"/>
      <c r="C58" s="913"/>
      <c r="D58" s="913"/>
      <c r="E58" s="913"/>
      <c r="F58" s="913"/>
      <c r="G58" s="913"/>
      <c r="H58" s="913"/>
      <c r="I58" s="913"/>
      <c r="J58" s="913"/>
      <c r="K58" s="913"/>
      <c r="L58" s="913"/>
      <c r="M58" s="913"/>
      <c r="N58" s="913"/>
      <c r="O58" s="913"/>
      <c r="P58" s="913"/>
      <c r="Q58" s="913"/>
      <c r="S58" s="876"/>
      <c r="T58" s="876"/>
      <c r="U58" s="876"/>
      <c r="V58" s="876"/>
      <c r="W58" s="72"/>
      <c r="X58" s="72"/>
      <c r="Y58" s="72"/>
      <c r="Z58" s="72"/>
      <c r="AA58" s="72"/>
      <c r="AB58" s="72"/>
    </row>
    <row r="59" spans="1:68" x14ac:dyDescent="0.25">
      <c r="B59" s="913"/>
      <c r="C59" s="913"/>
      <c r="D59" s="913"/>
      <c r="E59" s="913"/>
      <c r="F59" s="913"/>
      <c r="G59" s="913"/>
      <c r="H59" s="913"/>
      <c r="I59" s="913"/>
      <c r="J59" s="913"/>
      <c r="K59" s="913"/>
      <c r="L59" s="913"/>
      <c r="M59" s="913"/>
      <c r="N59" s="913"/>
      <c r="O59" s="913"/>
      <c r="P59" s="913"/>
      <c r="Q59" s="913"/>
      <c r="S59" s="72"/>
      <c r="T59" s="72"/>
      <c r="U59" s="72"/>
      <c r="V59" s="72"/>
      <c r="W59" s="72"/>
      <c r="X59" s="72"/>
      <c r="Y59" s="72"/>
      <c r="Z59" s="72"/>
      <c r="AA59" s="72"/>
      <c r="AB59" s="72"/>
    </row>
    <row r="60" spans="1:68" x14ac:dyDescent="0.25">
      <c r="B60" s="913"/>
      <c r="C60" s="913"/>
      <c r="D60" s="913"/>
      <c r="E60" s="913"/>
      <c r="F60" s="913"/>
      <c r="G60" s="913"/>
      <c r="H60" s="913"/>
      <c r="I60" s="913"/>
      <c r="J60" s="913"/>
      <c r="K60" s="913"/>
      <c r="L60" s="913"/>
      <c r="M60" s="913"/>
      <c r="N60" s="913"/>
      <c r="O60" s="913"/>
      <c r="P60" s="913"/>
      <c r="Q60" s="913"/>
      <c r="S60" s="72"/>
      <c r="T60" s="72"/>
      <c r="U60" s="72"/>
      <c r="V60" s="72"/>
      <c r="W60" s="72"/>
      <c r="X60" s="72"/>
      <c r="Y60" s="72"/>
      <c r="Z60" s="72"/>
      <c r="AA60" s="72"/>
      <c r="AB60" s="72"/>
    </row>
    <row r="61" spans="1:68" s="127" customFormat="1" x14ac:dyDescent="0.25">
      <c r="A61" s="495"/>
      <c r="B61" s="913"/>
      <c r="C61" s="913"/>
      <c r="D61" s="913"/>
      <c r="E61" s="913"/>
      <c r="F61" s="913"/>
      <c r="G61" s="913"/>
      <c r="H61" s="913"/>
      <c r="I61" s="913"/>
      <c r="J61" s="913"/>
      <c r="K61" s="913"/>
      <c r="L61" s="913"/>
      <c r="M61" s="913"/>
      <c r="N61" s="913"/>
      <c r="O61" s="913"/>
      <c r="P61" s="913"/>
      <c r="Q61" s="913"/>
      <c r="R61" s="68"/>
      <c r="S61" s="72"/>
      <c r="T61" s="72"/>
      <c r="U61" s="72"/>
      <c r="V61" s="72"/>
      <c r="W61" s="72"/>
      <c r="X61" s="72"/>
      <c r="Y61" s="72"/>
      <c r="Z61" s="72"/>
      <c r="AA61" s="72"/>
      <c r="AB61" s="72"/>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row>
    <row r="62" spans="1:68" x14ac:dyDescent="0.25">
      <c r="E62" s="41"/>
      <c r="F62" s="57"/>
      <c r="J62" s="68"/>
      <c r="K62" s="68"/>
      <c r="L62" s="68"/>
      <c r="M62" s="68"/>
      <c r="N62" s="68"/>
      <c r="S62" s="72"/>
      <c r="T62" s="72"/>
      <c r="U62" s="72"/>
      <c r="V62" s="72"/>
      <c r="W62" s="72"/>
      <c r="X62" s="72"/>
      <c r="Y62" s="72"/>
      <c r="Z62" s="72"/>
      <c r="AA62" s="72"/>
      <c r="AB62" s="72"/>
    </row>
    <row r="63" spans="1:68" ht="15" customHeight="1" x14ac:dyDescent="0.25">
      <c r="B63" s="914" t="s">
        <v>49</v>
      </c>
      <c r="C63" s="914"/>
      <c r="D63" s="914"/>
      <c r="E63" s="914"/>
      <c r="F63" s="914"/>
      <c r="G63" s="914"/>
      <c r="H63" s="914"/>
      <c r="I63" s="914"/>
      <c r="J63" s="914"/>
      <c r="K63" s="914"/>
      <c r="L63" s="914"/>
      <c r="M63" s="914"/>
      <c r="N63" s="914"/>
      <c r="O63" s="914"/>
      <c r="P63" s="914"/>
      <c r="Q63" s="914"/>
      <c r="S63" s="72"/>
      <c r="T63" s="72"/>
      <c r="U63" s="72"/>
      <c r="V63" s="72"/>
      <c r="W63" s="72"/>
      <c r="X63" s="72"/>
      <c r="Y63" s="72"/>
      <c r="Z63" s="72"/>
      <c r="AA63" s="72"/>
      <c r="AB63" s="72"/>
    </row>
    <row r="64" spans="1:68" x14ac:dyDescent="0.25">
      <c r="B64" s="914"/>
      <c r="C64" s="914"/>
      <c r="D64" s="914"/>
      <c r="E64" s="914"/>
      <c r="F64" s="914"/>
      <c r="G64" s="914"/>
      <c r="H64" s="914"/>
      <c r="I64" s="914"/>
      <c r="J64" s="914"/>
      <c r="K64" s="914"/>
      <c r="L64" s="914"/>
      <c r="M64" s="914"/>
      <c r="N64" s="914"/>
      <c r="O64" s="914"/>
      <c r="P64" s="914"/>
      <c r="Q64" s="914"/>
      <c r="S64" s="72"/>
      <c r="T64" s="72"/>
      <c r="U64" s="72"/>
      <c r="V64" s="72"/>
      <c r="W64" s="72"/>
      <c r="X64" s="72"/>
      <c r="Y64" s="72"/>
      <c r="Z64" s="72"/>
      <c r="AA64" s="72"/>
      <c r="AB64" s="72"/>
    </row>
    <row r="65" spans="2:28" x14ac:dyDescent="0.25">
      <c r="B65" s="914"/>
      <c r="C65" s="914"/>
      <c r="D65" s="914"/>
      <c r="E65" s="914"/>
      <c r="F65" s="914"/>
      <c r="G65" s="914"/>
      <c r="H65" s="914"/>
      <c r="I65" s="914"/>
      <c r="J65" s="914"/>
      <c r="K65" s="914"/>
      <c r="L65" s="914"/>
      <c r="M65" s="914"/>
      <c r="N65" s="914"/>
      <c r="O65" s="914"/>
      <c r="P65" s="914"/>
      <c r="Q65" s="914"/>
      <c r="S65" s="72" t="str">
        <f>IF(T125&gt;0,IF(SUM(T65)&gt;0,", ",". "),"")</f>
        <v/>
      </c>
      <c r="T65" s="72"/>
      <c r="U65" s="72"/>
      <c r="V65" s="72"/>
      <c r="W65" s="72"/>
      <c r="X65" s="72"/>
      <c r="Y65" s="72"/>
      <c r="Z65" s="72"/>
      <c r="AA65" s="72"/>
      <c r="AB65" s="72"/>
    </row>
    <row r="66" spans="2:28" x14ac:dyDescent="0.25">
      <c r="B66" s="914"/>
      <c r="C66" s="914"/>
      <c r="D66" s="914"/>
      <c r="E66" s="914"/>
      <c r="F66" s="914"/>
      <c r="G66" s="914"/>
      <c r="H66" s="914"/>
      <c r="I66" s="914"/>
      <c r="J66" s="914"/>
      <c r="K66" s="914"/>
      <c r="L66" s="914"/>
      <c r="M66" s="914"/>
      <c r="N66" s="914"/>
      <c r="O66" s="914"/>
      <c r="P66" s="914"/>
      <c r="Q66" s="914"/>
      <c r="S66" s="72"/>
      <c r="T66" s="72"/>
      <c r="U66" s="72"/>
      <c r="V66" s="72"/>
      <c r="W66" s="72"/>
      <c r="X66" s="72"/>
      <c r="Y66" s="72"/>
      <c r="Z66" s="72"/>
      <c r="AA66" s="72"/>
      <c r="AB66" s="72"/>
    </row>
    <row r="67" spans="2:28" x14ac:dyDescent="0.25">
      <c r="B67" s="914"/>
      <c r="C67" s="914"/>
      <c r="D67" s="914"/>
      <c r="E67" s="914"/>
      <c r="F67" s="914"/>
      <c r="G67" s="914"/>
      <c r="H67" s="914"/>
      <c r="I67" s="914"/>
      <c r="J67" s="914"/>
      <c r="K67" s="914"/>
      <c r="L67" s="914"/>
      <c r="M67" s="914"/>
      <c r="N67" s="914"/>
      <c r="O67" s="914"/>
      <c r="P67" s="914"/>
      <c r="Q67" s="914"/>
      <c r="S67" s="72"/>
      <c r="T67" s="72"/>
      <c r="U67" s="72"/>
      <c r="V67" s="72"/>
      <c r="W67" s="72"/>
      <c r="X67" s="72"/>
      <c r="Y67" s="72"/>
      <c r="Z67" s="72"/>
      <c r="AA67" s="72"/>
      <c r="AB67" s="72"/>
    </row>
    <row r="68" spans="2:28" x14ac:dyDescent="0.25">
      <c r="B68" s="914"/>
      <c r="C68" s="914"/>
      <c r="D68" s="914"/>
      <c r="E68" s="914"/>
      <c r="F68" s="914"/>
      <c r="G68" s="914"/>
      <c r="H68" s="914"/>
      <c r="I68" s="914"/>
      <c r="J68" s="914"/>
      <c r="K68" s="914"/>
      <c r="L68" s="914"/>
      <c r="M68" s="914"/>
      <c r="N68" s="914"/>
      <c r="O68" s="914"/>
      <c r="P68" s="914"/>
      <c r="Q68" s="914"/>
      <c r="S68" s="72"/>
      <c r="T68" s="72"/>
      <c r="U68" s="72"/>
      <c r="V68" s="72"/>
      <c r="W68" s="72"/>
      <c r="X68" s="72"/>
      <c r="Y68" s="72"/>
      <c r="Z68" s="72"/>
      <c r="AA68" s="72"/>
      <c r="AB68" s="72"/>
    </row>
    <row r="69" spans="2:28" x14ac:dyDescent="0.25">
      <c r="B69" s="914"/>
      <c r="C69" s="914"/>
      <c r="D69" s="914"/>
      <c r="E69" s="914"/>
      <c r="F69" s="914"/>
      <c r="G69" s="914"/>
      <c r="H69" s="914"/>
      <c r="I69" s="914"/>
      <c r="J69" s="914"/>
      <c r="K69" s="914"/>
      <c r="L69" s="914"/>
      <c r="M69" s="914"/>
      <c r="N69" s="914"/>
      <c r="O69" s="914"/>
      <c r="P69" s="914"/>
      <c r="Q69" s="914"/>
      <c r="S69" s="72"/>
      <c r="T69" s="72"/>
      <c r="U69" s="72"/>
      <c r="V69" s="72"/>
      <c r="W69" s="72"/>
      <c r="X69" s="72"/>
      <c r="Y69" s="72"/>
      <c r="Z69" s="72"/>
      <c r="AA69" s="72"/>
      <c r="AB69" s="72"/>
    </row>
    <row r="70" spans="2:28" x14ac:dyDescent="0.25">
      <c r="E70" s="41"/>
      <c r="F70" s="57"/>
      <c r="J70" s="68"/>
      <c r="K70" s="68"/>
      <c r="L70" s="68"/>
      <c r="M70" s="68"/>
      <c r="N70" s="68"/>
      <c r="S70" s="72"/>
      <c r="T70" s="72"/>
      <c r="U70" s="72"/>
      <c r="V70" s="72"/>
      <c r="W70" s="72"/>
      <c r="X70" s="72"/>
      <c r="Y70" s="72"/>
      <c r="Z70" s="72"/>
      <c r="AA70" s="72"/>
      <c r="AB70" s="72"/>
    </row>
    <row r="71" spans="2:28" x14ac:dyDescent="0.25">
      <c r="B71" s="39" t="s">
        <v>50</v>
      </c>
      <c r="E71" s="41"/>
      <c r="F71" s="57"/>
      <c r="J71" s="68"/>
      <c r="K71" s="68"/>
      <c r="L71" s="68"/>
      <c r="M71" s="68"/>
      <c r="N71" s="68"/>
      <c r="S71" s="72"/>
      <c r="T71" s="72"/>
      <c r="U71" s="72"/>
      <c r="V71" s="72"/>
      <c r="W71" s="72"/>
      <c r="X71" s="72"/>
      <c r="Y71" s="72"/>
      <c r="Z71" s="72"/>
      <c r="AA71" s="72"/>
      <c r="AB71" s="72"/>
    </row>
    <row r="72" spans="2:28" x14ac:dyDescent="0.25">
      <c r="E72" s="41"/>
      <c r="F72" s="57"/>
      <c r="J72" s="68"/>
      <c r="K72" s="68"/>
      <c r="L72" s="68"/>
      <c r="M72" s="68"/>
      <c r="N72" s="68"/>
      <c r="S72" s="72"/>
      <c r="T72" s="72"/>
      <c r="U72" s="72"/>
      <c r="V72" s="72"/>
      <c r="W72" s="72"/>
      <c r="X72" s="72"/>
      <c r="Y72" s="72"/>
      <c r="Z72" s="72"/>
      <c r="AA72" s="72"/>
      <c r="AB72" s="72"/>
    </row>
    <row r="73" spans="2:28" x14ac:dyDescent="0.25">
      <c r="B73" s="914" t="s">
        <v>51</v>
      </c>
      <c r="C73" s="914"/>
      <c r="D73" s="914"/>
      <c r="E73" s="914"/>
      <c r="F73" s="914"/>
      <c r="G73" s="914"/>
      <c r="H73" s="914"/>
      <c r="I73" s="914"/>
      <c r="J73" s="914"/>
      <c r="K73" s="914"/>
      <c r="L73" s="914"/>
      <c r="M73" s="914"/>
      <c r="N73" s="914"/>
      <c r="O73" s="914"/>
      <c r="P73" s="914"/>
      <c r="Q73" s="914"/>
      <c r="S73" s="72"/>
      <c r="T73" s="72"/>
      <c r="U73" s="72"/>
      <c r="V73" s="72"/>
      <c r="W73" s="72"/>
      <c r="X73" s="72"/>
      <c r="Y73" s="72"/>
      <c r="Z73" s="72"/>
      <c r="AA73" s="72"/>
      <c r="AB73" s="72"/>
    </row>
    <row r="74" spans="2:28" x14ac:dyDescent="0.25">
      <c r="B74" s="914"/>
      <c r="C74" s="914"/>
      <c r="D74" s="914"/>
      <c r="E74" s="914"/>
      <c r="F74" s="914"/>
      <c r="G74" s="914"/>
      <c r="H74" s="914"/>
      <c r="I74" s="914"/>
      <c r="J74" s="914"/>
      <c r="K74" s="914"/>
      <c r="L74" s="914"/>
      <c r="M74" s="914"/>
      <c r="N74" s="914"/>
      <c r="O74" s="914"/>
      <c r="P74" s="914"/>
      <c r="Q74" s="914"/>
      <c r="S74" s="72"/>
      <c r="T74" s="72"/>
      <c r="U74" s="72"/>
      <c r="V74" s="72"/>
      <c r="W74" s="72"/>
      <c r="X74" s="72"/>
      <c r="Y74" s="72"/>
      <c r="Z74" s="72"/>
      <c r="AA74" s="72"/>
      <c r="AB74" s="72"/>
    </row>
    <row r="75" spans="2:28" x14ac:dyDescent="0.25">
      <c r="B75" s="914"/>
      <c r="C75" s="914"/>
      <c r="D75" s="914"/>
      <c r="E75" s="914"/>
      <c r="F75" s="914"/>
      <c r="G75" s="914"/>
      <c r="H75" s="914"/>
      <c r="I75" s="914"/>
      <c r="J75" s="914"/>
      <c r="K75" s="914"/>
      <c r="L75" s="914"/>
      <c r="M75" s="914"/>
      <c r="N75" s="914"/>
      <c r="O75" s="914"/>
      <c r="P75" s="914"/>
      <c r="Q75" s="914"/>
      <c r="S75" s="72"/>
      <c r="T75" s="72"/>
      <c r="U75" s="72"/>
      <c r="V75" s="72"/>
      <c r="W75" s="72"/>
      <c r="X75" s="72"/>
      <c r="Y75" s="72"/>
      <c r="Z75" s="72"/>
      <c r="AA75" s="72"/>
      <c r="AB75" s="72"/>
    </row>
    <row r="76" spans="2:28" x14ac:dyDescent="0.25">
      <c r="B76" s="914"/>
      <c r="C76" s="914"/>
      <c r="D76" s="914"/>
      <c r="E76" s="914"/>
      <c r="F76" s="914"/>
      <c r="G76" s="914"/>
      <c r="H76" s="914"/>
      <c r="I76" s="914"/>
      <c r="J76" s="914"/>
      <c r="K76" s="914"/>
      <c r="L76" s="914"/>
      <c r="M76" s="914"/>
      <c r="N76" s="914"/>
      <c r="O76" s="914"/>
      <c r="P76" s="914"/>
      <c r="Q76" s="914"/>
      <c r="S76" s="72"/>
      <c r="T76" s="72"/>
      <c r="U76" s="72"/>
      <c r="V76" s="72"/>
      <c r="W76" s="72"/>
      <c r="X76" s="72"/>
      <c r="Y76" s="72"/>
      <c r="Z76" s="72"/>
      <c r="AA76" s="72"/>
      <c r="AB76" s="72"/>
    </row>
    <row r="77" spans="2:28" ht="14.25" customHeight="1" x14ac:dyDescent="0.25">
      <c r="B77" s="914"/>
      <c r="C77" s="914"/>
      <c r="D77" s="914"/>
      <c r="E77" s="914"/>
      <c r="F77" s="914"/>
      <c r="G77" s="914"/>
      <c r="H77" s="914"/>
      <c r="I77" s="914"/>
      <c r="J77" s="914"/>
      <c r="K77" s="914"/>
      <c r="L77" s="914"/>
      <c r="M77" s="914"/>
      <c r="N77" s="914"/>
      <c r="O77" s="914"/>
      <c r="P77" s="914"/>
      <c r="Q77" s="914"/>
      <c r="S77" s="72"/>
      <c r="T77" s="72"/>
      <c r="U77" s="72"/>
      <c r="V77" s="72"/>
      <c r="W77" s="72"/>
      <c r="X77" s="72"/>
      <c r="Y77" s="72"/>
      <c r="Z77" s="72"/>
      <c r="AA77" s="72"/>
      <c r="AB77" s="72"/>
    </row>
    <row r="78" spans="2:28" x14ac:dyDescent="0.25">
      <c r="B78" s="68" t="s">
        <v>52</v>
      </c>
      <c r="C78" s="68"/>
      <c r="D78" s="68"/>
      <c r="E78" s="39" t="str">
        <f>IF(B2=L4,B82,M82)</f>
        <v xml:space="preserve">kann mit Hilfe des Auf-/Abschlages berücksichtigt werden - siehe Ziff. 2 des jeweiligen Tabellenblattes. </v>
      </c>
      <c r="G78" s="68"/>
      <c r="J78" s="68"/>
      <c r="L78" s="68"/>
      <c r="M78" s="68"/>
      <c r="N78" s="68"/>
      <c r="S78" s="72"/>
      <c r="T78" s="72"/>
      <c r="U78" s="72"/>
      <c r="V78" s="72"/>
      <c r="W78" s="72"/>
      <c r="X78" s="72"/>
      <c r="Y78" s="72"/>
      <c r="Z78" s="72"/>
      <c r="AA78" s="72"/>
      <c r="AB78" s="72"/>
    </row>
    <row r="79" spans="2:28" x14ac:dyDescent="0.25">
      <c r="B79" s="68"/>
      <c r="C79" s="68"/>
      <c r="D79" s="68"/>
      <c r="G79" s="68"/>
      <c r="J79" s="68"/>
      <c r="L79" s="68"/>
      <c r="M79" s="68"/>
      <c r="N79" s="68"/>
      <c r="S79" s="72"/>
      <c r="T79" s="72"/>
      <c r="U79" s="72"/>
      <c r="V79" s="72"/>
      <c r="W79" s="72"/>
      <c r="X79" s="72"/>
      <c r="Y79" s="72"/>
      <c r="Z79" s="72"/>
      <c r="AA79" s="72"/>
      <c r="AB79" s="72"/>
    </row>
    <row r="80" spans="2:28" x14ac:dyDescent="0.25">
      <c r="B80" s="68" t="s">
        <v>964</v>
      </c>
      <c r="C80" s="68"/>
      <c r="D80" s="68"/>
      <c r="G80" s="68"/>
      <c r="J80" s="68"/>
      <c r="L80" s="68"/>
      <c r="M80" s="68"/>
      <c r="N80" s="68"/>
      <c r="S80" s="72"/>
      <c r="T80" s="72"/>
      <c r="U80" s="72"/>
      <c r="V80" s="72"/>
      <c r="W80" s="72"/>
      <c r="X80" s="72"/>
      <c r="Y80" s="72"/>
      <c r="Z80" s="72"/>
      <c r="AA80" s="72"/>
      <c r="AB80" s="72"/>
    </row>
    <row r="81" spans="1:28" x14ac:dyDescent="0.25">
      <c r="B81" s="68" t="s">
        <v>965</v>
      </c>
      <c r="C81" s="68"/>
      <c r="D81" s="68"/>
      <c r="G81" s="68"/>
      <c r="J81" s="68"/>
      <c r="L81" s="68"/>
      <c r="M81" s="68"/>
      <c r="N81" s="68"/>
      <c r="S81" s="72"/>
      <c r="T81" s="72"/>
      <c r="U81" s="72"/>
      <c r="V81" s="72"/>
      <c r="W81" s="72"/>
      <c r="X81" s="72"/>
      <c r="Y81" s="72"/>
      <c r="Z81" s="72"/>
      <c r="AA81" s="72"/>
      <c r="AB81" s="72"/>
    </row>
    <row r="82" spans="1:28" x14ac:dyDescent="0.25">
      <c r="B82" s="72" t="s">
        <v>53</v>
      </c>
      <c r="J82" s="68"/>
      <c r="L82" s="68"/>
      <c r="M82" s="72" t="s">
        <v>54</v>
      </c>
      <c r="N82" s="68"/>
      <c r="S82" s="72"/>
      <c r="T82" s="72"/>
      <c r="U82" s="72"/>
      <c r="V82" s="72"/>
      <c r="W82" s="72"/>
      <c r="X82" s="72"/>
      <c r="Y82" s="72"/>
      <c r="Z82" s="72"/>
      <c r="AA82" s="72"/>
      <c r="AB82" s="72"/>
    </row>
    <row r="83" spans="1:28" x14ac:dyDescent="0.25">
      <c r="B83" s="915" t="s">
        <v>927</v>
      </c>
      <c r="C83" s="915"/>
      <c r="D83" s="915"/>
      <c r="E83" s="915"/>
      <c r="F83" s="915"/>
      <c r="G83" s="915"/>
      <c r="H83" s="915"/>
      <c r="I83" s="915"/>
      <c r="J83" s="915"/>
      <c r="K83" s="915"/>
      <c r="L83" s="915"/>
      <c r="M83" s="915"/>
      <c r="N83" s="915"/>
      <c r="O83" s="915"/>
      <c r="P83" s="915"/>
      <c r="Q83" s="915"/>
      <c r="S83" s="72"/>
      <c r="T83" s="72"/>
      <c r="U83" s="72"/>
      <c r="V83" s="72"/>
      <c r="W83" s="72"/>
      <c r="X83" s="72"/>
      <c r="Y83" s="72"/>
      <c r="Z83" s="72"/>
      <c r="AA83" s="72"/>
      <c r="AB83" s="72"/>
    </row>
    <row r="84" spans="1:28" x14ac:dyDescent="0.25">
      <c r="B84" s="72"/>
      <c r="J84" s="68"/>
      <c r="L84" s="68"/>
      <c r="M84" s="72"/>
      <c r="N84" s="68"/>
      <c r="S84" s="72"/>
      <c r="T84" s="72"/>
      <c r="U84" s="72"/>
      <c r="V84" s="72"/>
      <c r="W84" s="72"/>
      <c r="X84" s="72"/>
      <c r="Y84" s="72"/>
      <c r="Z84" s="72"/>
      <c r="AA84" s="72"/>
      <c r="AB84" s="72"/>
    </row>
    <row r="85" spans="1:28" x14ac:dyDescent="0.25">
      <c r="A85" s="494" t="str">
        <f>IF($B$2=$L$5,"8.","9.")</f>
        <v>9.</v>
      </c>
      <c r="B85" s="40" t="str">
        <f>IF(B2=L5,"Honorarvereinbarung im Falle des vollständigen Leistungsabrufes","Honorarangebot im Falle des vollständigen Leistungsabrufes")</f>
        <v>Honorarangebot im Falle des vollständigen Leistungsabrufes</v>
      </c>
      <c r="F85" s="57"/>
      <c r="J85" s="68"/>
      <c r="K85" s="68"/>
      <c r="L85" s="68"/>
      <c r="M85" s="68"/>
      <c r="N85" s="68"/>
      <c r="S85" s="72" t="str">
        <f>IF(J26&gt;0,"Grunddaten Bieter (siehe Zeilen 19ff. auf diesem Tabellenblatt)","")</f>
        <v>Grunddaten Bieter (siehe Zeilen 19ff. auf diesem Tabellenblatt)</v>
      </c>
      <c r="T85" s="72">
        <f>IF(S85="",0,1)</f>
        <v>1</v>
      </c>
      <c r="U85" s="72"/>
      <c r="V85" s="72"/>
      <c r="W85" s="72"/>
      <c r="X85" s="72"/>
      <c r="Y85" s="72"/>
      <c r="Z85" s="72"/>
      <c r="AA85" s="72"/>
      <c r="AB85" s="72"/>
    </row>
    <row r="86" spans="1:28" ht="14.55" thickBot="1" x14ac:dyDescent="0.3">
      <c r="A86" s="496"/>
      <c r="B86" s="171"/>
      <c r="C86" s="171"/>
      <c r="D86" s="171"/>
      <c r="E86" s="171"/>
      <c r="F86" s="171"/>
      <c r="G86" s="171"/>
      <c r="H86" s="171"/>
      <c r="I86" s="171"/>
      <c r="J86" s="119"/>
      <c r="K86" s="119"/>
      <c r="L86" s="119"/>
      <c r="M86" s="119"/>
      <c r="N86" s="119"/>
      <c r="O86" s="119"/>
      <c r="P86" s="119"/>
      <c r="S86" s="72" t="str">
        <f>IF(S85="Grunddaten Bieter (siehe Zeilen 19ff. auf diesem Tabellenblatt)",IF(SUM(T87:T119)&gt;0,", ",". "),"")</f>
        <v xml:space="preserve">, </v>
      </c>
      <c r="T86" s="72"/>
      <c r="U86" s="72"/>
      <c r="V86" s="72"/>
      <c r="W86" s="72"/>
      <c r="X86" s="72"/>
      <c r="Y86" s="72"/>
      <c r="Z86" s="72"/>
      <c r="AA86" s="72"/>
      <c r="AB86" s="72"/>
    </row>
    <row r="87" spans="1:28" x14ac:dyDescent="0.25">
      <c r="A87" s="496"/>
      <c r="B87" s="941" t="s">
        <v>55</v>
      </c>
      <c r="C87" s="942"/>
      <c r="D87" s="942"/>
      <c r="E87" s="942"/>
      <c r="F87" s="943"/>
      <c r="G87" s="99"/>
      <c r="H87" s="944">
        <f>'Hochbauplanung '!H281+'Abwasser-, Wasser-, Gasanlagen'!H249+Wärmeversorgung!H249+'Lufttechnische Anlagen'!H250+Fernmeldeanlagen!H250+Starkstrom!H250+Förderanlagen!H249+'Nutzerspezifische Anlagen'!H249+Gebäudeautomation!H249+'Bauphysik - Wärmeschutz'!H118+'Bauphysik - Bauakustik'!H118+'Bauphysik - Raumakustik'!H118+Tragwerksplanung!H148+Freianlagen!H222+Bebauungsplan!H98+'Technische Ausrüstung'!H250</f>
        <v>33789.782639999998</v>
      </c>
      <c r="I87" s="944"/>
      <c r="J87" s="945"/>
      <c r="K87" s="171"/>
      <c r="L87" s="171"/>
      <c r="M87" s="171"/>
      <c r="N87" s="171"/>
      <c r="O87" s="119"/>
      <c r="P87" s="119"/>
      <c r="S87" s="72"/>
      <c r="T87" s="72"/>
      <c r="U87" s="72"/>
      <c r="V87" s="72"/>
      <c r="W87" s="72"/>
      <c r="X87" s="72"/>
      <c r="Y87" s="72"/>
      <c r="Z87" s="72"/>
      <c r="AA87" s="72"/>
      <c r="AB87" s="72"/>
    </row>
    <row r="88" spans="1:28" x14ac:dyDescent="0.25">
      <c r="A88" s="496"/>
      <c r="B88" s="946" t="s">
        <v>56</v>
      </c>
      <c r="C88" s="947"/>
      <c r="D88" s="947"/>
      <c r="E88" s="947"/>
      <c r="F88" s="948"/>
      <c r="G88" s="101"/>
      <c r="H88" s="303"/>
      <c r="I88" s="303"/>
      <c r="J88" s="304"/>
      <c r="K88" s="171"/>
      <c r="L88" s="171"/>
      <c r="M88" s="171"/>
      <c r="N88" s="171"/>
      <c r="O88" s="119"/>
      <c r="P88" s="119"/>
      <c r="S88" s="72" t="str">
        <f>IF(P36&gt;0,"Projektbeteiligte (siehe Zeilen 22ff. auf diesem Tabellenblatt)","")</f>
        <v>Projektbeteiligte (siehe Zeilen 22ff. auf diesem Tabellenblatt)</v>
      </c>
      <c r="T88" s="72">
        <f>IF(S88="",0,1)</f>
        <v>1</v>
      </c>
      <c r="U88" s="72"/>
      <c r="V88" s="72"/>
      <c r="W88" s="72"/>
      <c r="X88" s="72"/>
      <c r="Y88" s="72"/>
      <c r="Z88" s="72"/>
      <c r="AA88" s="72"/>
      <c r="AB88" s="72"/>
    </row>
    <row r="89" spans="1:28" ht="14.55" thickBot="1" x14ac:dyDescent="0.3">
      <c r="A89" s="496"/>
      <c r="B89" s="949"/>
      <c r="C89" s="950"/>
      <c r="D89" s="950"/>
      <c r="E89" s="950"/>
      <c r="F89" s="951"/>
      <c r="G89" s="102"/>
      <c r="H89" s="956">
        <f>'Hochbauplanung '!H283+'Abwasser-, Wasser-, Gasanlagen'!H251+Wärmeversorgung!H251+'Lufttechnische Anlagen'!H252+Starkstrom!H252+Fernmeldeanlagen!H252+Förderanlagen!H251+'Nutzerspezifische Anlagen'!H251+Gebäudeautomation!H251+'Bauphysik - Wärmeschutz'!H120+'Bauphysik - Bauakustik'!H120+'Bauphysik - Raumakustik'!H120+Tragwerksplanung!H150+Freianlagen!H224+Bebauungsplan!H100+'Technische Ausrüstung'!H252</f>
        <v>0</v>
      </c>
      <c r="I89" s="956"/>
      <c r="J89" s="957"/>
      <c r="K89" s="171"/>
      <c r="L89" s="171"/>
      <c r="M89" s="171"/>
      <c r="N89" s="171"/>
      <c r="O89" s="119"/>
      <c r="P89" s="119"/>
      <c r="S89" s="72" t="str">
        <f>IF(S88="Projektbeteiligte (siehe Zeilen 22ff. auf diesem Tabellenblatt)",IF(SUM(T90:T122)&gt;0,", ",". "),"")</f>
        <v xml:space="preserve">, </v>
      </c>
      <c r="T89" s="72"/>
      <c r="U89" s="72"/>
      <c r="V89" s="72"/>
      <c r="W89" s="72"/>
      <c r="X89" s="72"/>
      <c r="Y89" s="72"/>
      <c r="Z89" s="72"/>
      <c r="AA89" s="72">
        <v>1</v>
      </c>
      <c r="AB89" s="72"/>
    </row>
    <row r="90" spans="1:28" x14ac:dyDescent="0.25">
      <c r="A90" s="496"/>
      <c r="B90" s="103"/>
      <c r="C90" s="104"/>
      <c r="D90" s="104"/>
      <c r="E90" s="104"/>
      <c r="F90" s="201"/>
      <c r="G90" s="45"/>
      <c r="H90" s="46"/>
      <c r="I90" s="46"/>
      <c r="J90" s="105"/>
      <c r="K90" s="171"/>
      <c r="L90" s="171"/>
      <c r="M90" s="171"/>
      <c r="N90" s="171"/>
      <c r="O90" s="119"/>
      <c r="P90" s="119"/>
      <c r="S90" s="72"/>
      <c r="T90" s="72"/>
      <c r="U90" s="72"/>
      <c r="V90" s="72"/>
      <c r="W90" s="72"/>
      <c r="X90" s="72"/>
      <c r="Y90" s="72"/>
      <c r="Z90" s="72"/>
      <c r="AA90" s="72">
        <v>2</v>
      </c>
      <c r="AB90" s="72"/>
    </row>
    <row r="91" spans="1:28" x14ac:dyDescent="0.25">
      <c r="A91" s="496"/>
      <c r="B91" s="926" t="s">
        <v>57</v>
      </c>
      <c r="C91" s="927"/>
      <c r="D91" s="927"/>
      <c r="E91" s="927"/>
      <c r="F91" s="928"/>
      <c r="G91" s="101"/>
      <c r="H91" s="954">
        <f>'Hochbauplanung '!H285+'Abwasser-, Wasser-, Gasanlagen'!H253+Wärmeversorgung!H253+'Lufttechnische Anlagen'!H254+Starkstrom!H254+Fernmeldeanlagen!H254+Förderanlagen!H253+'Nutzerspezifische Anlagen'!H253+Gebäudeautomation!H253+'Bauphysik - Wärmeschutz'!H122+'Bauphysik - Bauakustik'!H122+'Bauphysik - Raumakustik'!H122+Tragwerksplanung!H152+Freianlagen!H226+Bebauungsplan!H102+'Technische Ausrüstung'!H254+'weitere Besondere Leistungen'!H357+'Besondere Leistungen GÜ-Berater'!H215</f>
        <v>0</v>
      </c>
      <c r="I91" s="954"/>
      <c r="J91" s="955"/>
      <c r="K91" s="171"/>
      <c r="L91" s="171"/>
      <c r="M91" s="171"/>
      <c r="N91" s="171"/>
      <c r="O91" s="119"/>
      <c r="P91" s="119"/>
      <c r="S91" s="72" t="str">
        <f>IF(P49&gt;0,"Stundensätze (siehe Zeilen 28 bis 32 auf diesem Tabellenblatt)","")</f>
        <v>Stundensätze (siehe Zeilen 28 bis 32 auf diesem Tabellenblatt)</v>
      </c>
      <c r="T91" s="72">
        <f>IF(S91="",0,1)</f>
        <v>1</v>
      </c>
      <c r="U91" s="72"/>
      <c r="V91" s="72"/>
      <c r="W91" s="72"/>
      <c r="X91" s="72"/>
      <c r="Y91" s="72"/>
      <c r="Z91" s="72"/>
      <c r="AA91" s="72">
        <v>3</v>
      </c>
      <c r="AB91" s="72"/>
    </row>
    <row r="92" spans="1:28" ht="14.55" thickBot="1" x14ac:dyDescent="0.3">
      <c r="A92" s="496"/>
      <c r="B92" s="280"/>
      <c r="C92" s="281"/>
      <c r="D92" s="281"/>
      <c r="E92" s="281"/>
      <c r="F92" s="282"/>
      <c r="G92" s="106"/>
      <c r="H92" s="299"/>
      <c r="I92" s="299"/>
      <c r="J92" s="300"/>
      <c r="K92" s="171"/>
      <c r="L92" s="171"/>
      <c r="M92" s="171"/>
      <c r="N92" s="171"/>
      <c r="O92" s="119"/>
      <c r="P92" s="119"/>
      <c r="S92" s="72" t="str">
        <f>IF(T91&gt;0,IF(SUM(T93:T125)&gt;0,", ",". "),"")</f>
        <v xml:space="preserve">, </v>
      </c>
      <c r="T92" s="72"/>
      <c r="U92" s="72"/>
      <c r="V92" s="72"/>
      <c r="W92" s="72"/>
      <c r="X92" s="72"/>
      <c r="Y92" s="72"/>
      <c r="Z92" s="72"/>
      <c r="AA92" s="72">
        <v>4</v>
      </c>
      <c r="AB92" s="72"/>
    </row>
    <row r="93" spans="1:28" hidden="1" outlineLevel="1" x14ac:dyDescent="0.25">
      <c r="A93" s="496"/>
      <c r="B93" s="301"/>
      <c r="C93" s="41"/>
      <c r="D93" s="41"/>
      <c r="E93" s="41"/>
      <c r="F93" s="302"/>
      <c r="G93" s="101"/>
      <c r="H93" s="303"/>
      <c r="I93" s="303"/>
      <c r="J93" s="304"/>
      <c r="K93" s="171"/>
      <c r="L93" s="171"/>
      <c r="M93" s="171"/>
      <c r="N93" s="171"/>
      <c r="O93" s="119"/>
      <c r="P93" s="119"/>
      <c r="S93" s="72" t="str">
        <f>IF('Hochbauplanung '!V273&gt;0,"Hochbauplanung","")</f>
        <v>Hochbauplanung</v>
      </c>
      <c r="T93" s="72">
        <f>IF(S93="",0,1)</f>
        <v>1</v>
      </c>
      <c r="U93" s="72"/>
      <c r="V93" s="72"/>
      <c r="W93" s="72"/>
      <c r="X93" s="72"/>
      <c r="Y93" s="72"/>
      <c r="Z93" s="72"/>
      <c r="AA93" s="72">
        <v>5</v>
      </c>
      <c r="AB93" s="72"/>
    </row>
    <row r="94" spans="1:28" hidden="1" outlineLevel="1" x14ac:dyDescent="0.25">
      <c r="A94" s="496"/>
      <c r="B94" s="926" t="s">
        <v>58</v>
      </c>
      <c r="C94" s="927"/>
      <c r="D94" s="927"/>
      <c r="E94" s="927"/>
      <c r="F94" s="928"/>
      <c r="G94" s="88"/>
      <c r="H94" s="954">
        <f>'Auftragsänderungen &amp; -ergänzung'!H82</f>
        <v>0</v>
      </c>
      <c r="I94" s="954"/>
      <c r="J94" s="955"/>
      <c r="K94" s="171"/>
      <c r="L94" s="171"/>
      <c r="M94" s="171"/>
      <c r="N94" s="171"/>
      <c r="O94" s="119"/>
      <c r="P94" s="119"/>
      <c r="S94" s="72" t="str">
        <f>IF(S93="Hochbauplanung",IF(SUM(T95:T125)&gt;0,", ",". "),"")</f>
        <v xml:space="preserve">, </v>
      </c>
      <c r="T94" s="72"/>
      <c r="U94" s="72"/>
      <c r="V94" s="72"/>
      <c r="W94" s="72"/>
      <c r="X94" s="72"/>
      <c r="Y94" s="72"/>
      <c r="Z94" s="72"/>
      <c r="AA94" s="72">
        <v>6</v>
      </c>
      <c r="AB94" s="72"/>
    </row>
    <row r="95" spans="1:28" ht="14.55" hidden="1" outlineLevel="1" thickBot="1" x14ac:dyDescent="0.3">
      <c r="A95" s="496"/>
      <c r="B95" s="296"/>
      <c r="C95" s="297"/>
      <c r="D95" s="297"/>
      <c r="E95" s="297"/>
      <c r="F95" s="298"/>
      <c r="G95" s="291"/>
      <c r="H95" s="202"/>
      <c r="I95" s="202"/>
      <c r="J95" s="203"/>
      <c r="K95" s="171"/>
      <c r="L95" s="171"/>
      <c r="M95" s="171"/>
      <c r="N95" s="171"/>
      <c r="O95" s="119"/>
      <c r="P95" s="119"/>
      <c r="S95" s="72" t="str">
        <f>IF('Abwasser-, Wasser-, Gasanlagen'!V245&gt;0,"Abwasser-, Wasser- und Gasanlagen","")</f>
        <v>Abwasser-, Wasser- und Gasanlagen</v>
      </c>
      <c r="T95" s="72">
        <f>IF(S95="",0,1)</f>
        <v>1</v>
      </c>
      <c r="U95" s="72"/>
      <c r="V95" s="72"/>
      <c r="W95" s="72"/>
      <c r="X95" s="72"/>
      <c r="Y95" s="72"/>
      <c r="Z95" s="72"/>
      <c r="AA95" s="72">
        <v>7</v>
      </c>
      <c r="AB95" s="72"/>
    </row>
    <row r="96" spans="1:28" ht="15.95" customHeight="1" collapsed="1" thickBot="1" x14ac:dyDescent="0.3">
      <c r="A96" s="496"/>
      <c r="B96" s="929" t="s">
        <v>59</v>
      </c>
      <c r="C96" s="930"/>
      <c r="D96" s="930"/>
      <c r="E96" s="930"/>
      <c r="F96" s="931"/>
      <c r="G96" s="107"/>
      <c r="H96" s="935">
        <f>H91+H89+H87</f>
        <v>33789.782639999998</v>
      </c>
      <c r="I96" s="935"/>
      <c r="J96" s="936"/>
      <c r="K96" s="171"/>
      <c r="L96" s="171"/>
      <c r="M96" s="171"/>
      <c r="N96" s="171"/>
      <c r="O96" s="119"/>
      <c r="P96" s="119"/>
      <c r="S96" s="72" t="str">
        <f>IF(T95&gt;0,IF(SUM(T97:T125)&gt;0,", ",". "),"")</f>
        <v xml:space="preserve">, </v>
      </c>
      <c r="T96" s="72"/>
      <c r="U96" s="72"/>
      <c r="V96" s="72"/>
      <c r="W96" s="72"/>
      <c r="X96" s="72"/>
      <c r="Y96" s="72"/>
      <c r="Z96" s="72"/>
      <c r="AA96" s="72">
        <v>8</v>
      </c>
      <c r="AB96" s="72"/>
    </row>
    <row r="97" spans="1:28" x14ac:dyDescent="0.25">
      <c r="A97" s="496"/>
      <c r="B97" s="320"/>
      <c r="C97" s="321"/>
      <c r="D97" s="321"/>
      <c r="E97" s="321"/>
      <c r="F97" s="322"/>
      <c r="G97" s="45"/>
      <c r="H97" s="93"/>
      <c r="I97" s="93"/>
      <c r="J97" s="94"/>
      <c r="K97" s="171"/>
      <c r="L97" s="171"/>
      <c r="M97" s="171"/>
      <c r="N97" s="171"/>
      <c r="O97" s="119"/>
      <c r="P97" s="119"/>
      <c r="S97" s="72" t="str">
        <f>IF(Wärmeversorgung!V245&gt;0,"Wärmeversorgung","")</f>
        <v>Wärmeversorgung</v>
      </c>
      <c r="T97" s="72">
        <f>IF(S97="",0,1)</f>
        <v>1</v>
      </c>
      <c r="U97" s="72"/>
      <c r="V97" s="72"/>
      <c r="W97" s="72"/>
      <c r="X97" s="72"/>
      <c r="Y97" s="72"/>
      <c r="Z97" s="72"/>
      <c r="AA97" s="72">
        <v>9</v>
      </c>
      <c r="AB97" s="72"/>
    </row>
    <row r="98" spans="1:28" x14ac:dyDescent="0.25">
      <c r="B98" s="917" t="s">
        <v>60</v>
      </c>
      <c r="C98" s="918"/>
      <c r="D98" s="918"/>
      <c r="E98" s="918"/>
      <c r="F98" s="919"/>
      <c r="G98" s="170">
        <v>0.19</v>
      </c>
      <c r="H98" s="954">
        <f>H96*G98</f>
        <v>6420.0587015999999</v>
      </c>
      <c r="I98" s="954"/>
      <c r="J98" s="955"/>
      <c r="S98" s="72" t="str">
        <f>IF(T97&gt;0,IF(SUM(T99:T125)&gt;0,", ",". "),"")</f>
        <v xml:space="preserve">, </v>
      </c>
      <c r="T98" s="72"/>
      <c r="U98" s="72"/>
      <c r="V98" s="72"/>
      <c r="W98" s="72"/>
      <c r="X98" s="72"/>
      <c r="Y98" s="72"/>
      <c r="Z98" s="72"/>
      <c r="AA98" s="72"/>
      <c r="AB98" s="72"/>
    </row>
    <row r="99" spans="1:28" ht="14.55" thickBot="1" x14ac:dyDescent="0.3">
      <c r="B99" s="305"/>
      <c r="C99" s="306"/>
      <c r="D99" s="306"/>
      <c r="E99" s="306"/>
      <c r="F99" s="307"/>
      <c r="G99" s="102"/>
      <c r="H99" s="299"/>
      <c r="I99" s="299"/>
      <c r="J99" s="300"/>
      <c r="S99" s="72" t="str">
        <f>IF('Lufttechnische Anlagen'!V246&gt;0,"Lufttechnische Anlagen","")</f>
        <v/>
      </c>
      <c r="T99" s="72">
        <f>IF(S99="",0,1)</f>
        <v>0</v>
      </c>
      <c r="U99" s="72"/>
      <c r="V99" s="72"/>
      <c r="W99" s="72"/>
      <c r="X99" s="72"/>
      <c r="Y99" s="72">
        <v>0</v>
      </c>
      <c r="Z99" s="72"/>
      <c r="AA99" s="72"/>
      <c r="AB99" s="72"/>
    </row>
    <row r="100" spans="1:28" x14ac:dyDescent="0.25">
      <c r="B100" s="920" t="s">
        <v>61</v>
      </c>
      <c r="C100" s="921"/>
      <c r="D100" s="921"/>
      <c r="E100" s="921"/>
      <c r="F100" s="922"/>
      <c r="G100" s="97"/>
      <c r="H100" s="937">
        <f>H96+H98</f>
        <v>40209.841341599997</v>
      </c>
      <c r="I100" s="937"/>
      <c r="J100" s="938"/>
      <c r="S100" s="72" t="str">
        <f>IF(T99&gt;0,IF(SUM(T104:T125)&gt;0,", ",". "),"")</f>
        <v/>
      </c>
      <c r="T100" s="72"/>
      <c r="U100" s="72" t="s">
        <v>62</v>
      </c>
      <c r="V100" s="72">
        <f>'Hochbauplanung '!S9</f>
        <v>0</v>
      </c>
      <c r="W100" s="72">
        <f>IF(V100&gt;0,1,V100)</f>
        <v>0</v>
      </c>
      <c r="X100" s="72" t="str">
        <f t="shared" ref="X100:X112" si="0">IF(V100&gt;0,VLOOKUP(W100,$Y$99:$Z$124,2),"")</f>
        <v/>
      </c>
      <c r="Y100" s="72">
        <v>1</v>
      </c>
      <c r="Z100" s="72" t="s">
        <v>63</v>
      </c>
      <c r="AA100" s="72"/>
      <c r="AB100" s="72"/>
    </row>
    <row r="101" spans="1:28" ht="14.55" thickBot="1" x14ac:dyDescent="0.3">
      <c r="B101" s="923"/>
      <c r="C101" s="924"/>
      <c r="D101" s="924"/>
      <c r="E101" s="924"/>
      <c r="F101" s="925"/>
      <c r="G101" s="98"/>
      <c r="H101" s="939"/>
      <c r="I101" s="939"/>
      <c r="J101" s="940"/>
      <c r="S101" s="72" t="str">
        <f>IF(Starkstrom!V246&gt;0,"Starkstromanlagen","")</f>
        <v/>
      </c>
      <c r="T101" s="72">
        <f>IF(S101="",0,1)</f>
        <v>0</v>
      </c>
      <c r="U101" s="72" t="s">
        <v>64</v>
      </c>
      <c r="V101" s="72">
        <f>'Abwasser-, Wasser-, Gasanlagen'!S8</f>
        <v>0</v>
      </c>
      <c r="W101" s="72">
        <f>IF(V101&gt;0,V101+W100,V101)</f>
        <v>0</v>
      </c>
      <c r="X101" s="72" t="str">
        <f t="shared" si="0"/>
        <v/>
      </c>
      <c r="Y101" s="72">
        <v>2</v>
      </c>
      <c r="Z101" s="72" t="s">
        <v>65</v>
      </c>
      <c r="AA101" s="72"/>
      <c r="AB101" s="72"/>
    </row>
    <row r="102" spans="1:28" x14ac:dyDescent="0.25">
      <c r="S102" s="72" t="str">
        <f>IF(T101&gt;0,IF(SUM(T105:T125)&gt;0,", ",". "),"")</f>
        <v/>
      </c>
      <c r="T102" s="72"/>
      <c r="U102" s="72" t="s">
        <v>66</v>
      </c>
      <c r="V102" s="72">
        <f>Wärmeversorgung!S8</f>
        <v>1</v>
      </c>
      <c r="W102" s="72">
        <f>IF(V102,MAX($W$100:W101)+V102,V102)</f>
        <v>1</v>
      </c>
      <c r="X102" s="72" t="str">
        <f t="shared" si="0"/>
        <v>B.</v>
      </c>
      <c r="Y102" s="72">
        <v>3</v>
      </c>
      <c r="Z102" s="72" t="s">
        <v>67</v>
      </c>
      <c r="AA102" s="72"/>
      <c r="AB102" s="72"/>
    </row>
    <row r="103" spans="1:28" x14ac:dyDescent="0.25">
      <c r="A103" s="494" t="str">
        <f>IF($B$2=$L$5,"9.","10.")</f>
        <v>10.</v>
      </c>
      <c r="B103" s="60" t="str">
        <f>IF(B2=L5,"Honorarvereinbarung für die zunächst beauftragenden Leistungen","Honorangebot für die zunächst beauftragenden Leistungen ")</f>
        <v xml:space="preserve">Honorangebot für die zunächst beauftragenden Leistungen </v>
      </c>
      <c r="S103" s="72" t="str">
        <f>IF(Fernmeldeanlagen!V246&gt;0,"Fernmelde- und Informationstechnische Anlagen","")</f>
        <v/>
      </c>
      <c r="T103" s="72">
        <f>IF(S103="",0,1)</f>
        <v>0</v>
      </c>
      <c r="U103" s="72" t="s">
        <v>68</v>
      </c>
      <c r="V103" s="72">
        <f>'Lufttechnische Anlagen'!S8</f>
        <v>0</v>
      </c>
      <c r="W103" s="72">
        <f>IF(V103,MAX($W$100:W102)+V103,V103)</f>
        <v>0</v>
      </c>
      <c r="X103" s="72" t="str">
        <f t="shared" si="0"/>
        <v/>
      </c>
      <c r="Y103" s="72">
        <v>4</v>
      </c>
      <c r="Z103" s="72" t="s">
        <v>69</v>
      </c>
      <c r="AA103" s="72"/>
      <c r="AB103" s="72"/>
    </row>
    <row r="104" spans="1:28" ht="14.55" thickBot="1" x14ac:dyDescent="0.3">
      <c r="S104" s="72" t="str">
        <f>IF(T103&gt;0,IF(SUM(T107:T125)&gt;0,", ",". "),"")</f>
        <v/>
      </c>
      <c r="T104" s="72"/>
      <c r="U104" s="72" t="s">
        <v>70</v>
      </c>
      <c r="V104" s="72">
        <f>Starkstrom!S8</f>
        <v>0</v>
      </c>
      <c r="W104" s="72">
        <f>IF(V104,MAX($W$100:W103)+V104,V104)</f>
        <v>0</v>
      </c>
      <c r="X104" s="72" t="str">
        <f t="shared" si="0"/>
        <v/>
      </c>
      <c r="Y104" s="72">
        <v>5</v>
      </c>
      <c r="Z104" s="72" t="s">
        <v>71</v>
      </c>
      <c r="AA104" s="72"/>
      <c r="AB104" s="72"/>
    </row>
    <row r="105" spans="1:28" x14ac:dyDescent="0.25">
      <c r="B105" s="941" t="s">
        <v>55</v>
      </c>
      <c r="C105" s="942"/>
      <c r="D105" s="942"/>
      <c r="E105" s="942"/>
      <c r="F105" s="943"/>
      <c r="G105" s="99"/>
      <c r="H105" s="944">
        <f>'Hochbauplanung '!H296+'Abwasser-, Wasser-, Gasanlagen'!H264+Wärmeversorgung!H264+'Lufttechnische Anlagen'!H265+Starkstrom!H265+Fernmeldeanlagen!H265+Förderanlagen!H264+'Nutzerspezifische Anlagen'!H264+Gebäudeautomation!H264+'Bauphysik - Wärmeschutz'!H133+'Bauphysik - Bauakustik'!H133+'Bauphysik - Raumakustik'!H133+Tragwerksplanung!H163+Freianlagen!H237+Bebauungsplan!H113+'Technische Ausrüstung'!H265</f>
        <v>0</v>
      </c>
      <c r="I105" s="944"/>
      <c r="J105" s="945"/>
      <c r="S105" s="72" t="str">
        <f>IF(Förderanlagen!V245&gt;0,"Förderanlagen","")</f>
        <v/>
      </c>
      <c r="T105" s="72">
        <f>IF(S105="",0,1)</f>
        <v>0</v>
      </c>
      <c r="U105" s="72" t="s">
        <v>72</v>
      </c>
      <c r="V105" s="72">
        <f>Fernmeldeanlagen!S8</f>
        <v>0</v>
      </c>
      <c r="W105" s="72">
        <f>IF(V105,MAX($W$100:W104)+V105,V105)</f>
        <v>0</v>
      </c>
      <c r="X105" s="72" t="str">
        <f t="shared" si="0"/>
        <v/>
      </c>
      <c r="Y105" s="72">
        <v>6</v>
      </c>
      <c r="Z105" s="72" t="s">
        <v>73</v>
      </c>
      <c r="AA105" s="72"/>
      <c r="AB105" s="72"/>
    </row>
    <row r="106" spans="1:28" x14ac:dyDescent="0.25">
      <c r="B106" s="946" t="s">
        <v>56</v>
      </c>
      <c r="C106" s="947"/>
      <c r="D106" s="947"/>
      <c r="E106" s="947"/>
      <c r="F106" s="948"/>
      <c r="G106" s="101"/>
      <c r="H106" s="303"/>
      <c r="I106" s="303"/>
      <c r="J106" s="304"/>
      <c r="S106" s="72" t="str">
        <f>IF(T105&gt;0,IF(SUM(T107:T125)&gt;0,", ",". "),"")</f>
        <v/>
      </c>
      <c r="T106" s="72"/>
      <c r="U106" s="72" t="s">
        <v>74</v>
      </c>
      <c r="V106" s="72">
        <f>Förderanlagen!S8</f>
        <v>0</v>
      </c>
      <c r="W106" s="72">
        <f>IF(V106,MAX($W$100:W105)+V106,V106)</f>
        <v>0</v>
      </c>
      <c r="X106" s="72" t="str">
        <f t="shared" si="0"/>
        <v/>
      </c>
      <c r="Y106" s="72">
        <v>7</v>
      </c>
      <c r="Z106" s="72" t="s">
        <v>75</v>
      </c>
      <c r="AA106" s="72"/>
      <c r="AB106" s="72"/>
    </row>
    <row r="107" spans="1:28" ht="15.95" customHeight="1" thickBot="1" x14ac:dyDescent="0.3">
      <c r="B107" s="949"/>
      <c r="C107" s="950"/>
      <c r="D107" s="950"/>
      <c r="E107" s="950"/>
      <c r="F107" s="951"/>
      <c r="G107" s="102"/>
      <c r="H107" s="956">
        <f>'Hochbauplanung '!H298+'Abwasser-, Wasser-, Gasanlagen'!H266+Wärmeversorgung!H266+'Lufttechnische Anlagen'!H267+Starkstrom!H267+Fernmeldeanlagen!H267+Förderanlagen!H266+'Nutzerspezifische Anlagen'!H266+Gebäudeautomation!H266+'Bauphysik - Wärmeschutz'!H135 +'Bauphysik - Bauakustik'!H135+'Bauphysik - Raumakustik'!H135+Tragwerksplanung!H165+Freianlagen!H239+Bebauungsplan!H115+'Technische Ausrüstung'!H267</f>
        <v>0</v>
      </c>
      <c r="I107" s="956"/>
      <c r="J107" s="957"/>
      <c r="S107" s="72" t="str">
        <f>IF('Nutzerspezifische Anlagen'!V245&gt;0,"Nutzerspezifische Anlagen","")</f>
        <v>Nutzerspezifische Anlagen</v>
      </c>
      <c r="T107" s="72">
        <f>IF(S107="",0,1)</f>
        <v>1</v>
      </c>
      <c r="U107" s="72" t="s">
        <v>76</v>
      </c>
      <c r="V107" s="72">
        <f>'Nutzerspezifische Anlagen'!S8</f>
        <v>1</v>
      </c>
      <c r="W107" s="72">
        <f>IF(V107,MAX($W$100:W106)+V107,V107)</f>
        <v>2</v>
      </c>
      <c r="X107" s="72" t="str">
        <f t="shared" si="0"/>
        <v>C.</v>
      </c>
      <c r="Y107" s="72">
        <v>8</v>
      </c>
      <c r="Z107" s="72" t="s">
        <v>77</v>
      </c>
      <c r="AA107" s="72"/>
      <c r="AB107" s="72"/>
    </row>
    <row r="108" spans="1:28" x14ac:dyDescent="0.25">
      <c r="B108" s="103"/>
      <c r="C108" s="104"/>
      <c r="D108" s="104"/>
      <c r="E108" s="104"/>
      <c r="F108" s="201"/>
      <c r="G108" s="45"/>
      <c r="H108" s="46"/>
      <c r="I108" s="46"/>
      <c r="J108" s="105"/>
      <c r="S108" s="72" t="str">
        <f>IF(T107&gt;0,IF(SUM(T109:T125)&gt;0,", ",". "),"")</f>
        <v xml:space="preserve">, </v>
      </c>
      <c r="T108" s="72"/>
      <c r="U108" s="72" t="s">
        <v>78</v>
      </c>
      <c r="V108" s="72">
        <f>Gebäudeautomation!S8</f>
        <v>1</v>
      </c>
      <c r="W108" s="72">
        <f>IF(V108,MAX($W$100:W107)+V108,V108)</f>
        <v>3</v>
      </c>
      <c r="X108" s="72" t="str">
        <f t="shared" si="0"/>
        <v>D.</v>
      </c>
      <c r="Y108" s="72">
        <v>9</v>
      </c>
      <c r="Z108" s="72" t="s">
        <v>79</v>
      </c>
      <c r="AA108" s="72"/>
      <c r="AB108" s="72"/>
    </row>
    <row r="109" spans="1:28" x14ac:dyDescent="0.25">
      <c r="B109" s="926" t="s">
        <v>57</v>
      </c>
      <c r="C109" s="927"/>
      <c r="D109" s="927"/>
      <c r="E109" s="927"/>
      <c r="F109" s="928"/>
      <c r="G109" s="101"/>
      <c r="H109" s="954">
        <f>'Hochbauplanung '!H300+'Abwasser-, Wasser-, Gasanlagen'!H268+Wärmeversorgung!H268+'Lufttechnische Anlagen'!H269+Starkstrom!H269+Fernmeldeanlagen!H269+Förderanlagen!H268+'Nutzerspezifische Anlagen'!H268+Gebäudeautomation!H268+'Bauphysik - Wärmeschutz'!H137+'Bauphysik - Bauakustik'!H137+'Bauphysik - Raumakustik'!H137+Tragwerksplanung!H167+Freianlagen!H241+Bebauungsplan!H117+'Technische Ausrüstung'!H269+'weitere Besondere Leistungen'!H368+'Berechnung - GÜ-Berater'!B74</f>
        <v>0</v>
      </c>
      <c r="I109" s="954"/>
      <c r="J109" s="955"/>
      <c r="S109" s="72" t="str">
        <f>IF(Gebäudeautomation!V245&gt;0,"Gebäudeautomation und Automation von Ingenieurbauwerken","")</f>
        <v>Gebäudeautomation und Automation von Ingenieurbauwerken</v>
      </c>
      <c r="T109" s="72">
        <f>IF(S109="",0,1)</f>
        <v>1</v>
      </c>
      <c r="U109" s="72" t="s">
        <v>80</v>
      </c>
      <c r="V109" s="72">
        <f>'Bauphysik - Wärmeschutz'!S8</f>
        <v>1</v>
      </c>
      <c r="W109" s="72">
        <f>IF(V109,MAX($W$100:W108)+V109,V109)</f>
        <v>4</v>
      </c>
      <c r="X109" s="72" t="str">
        <f t="shared" si="0"/>
        <v>E.</v>
      </c>
      <c r="Y109" s="72">
        <v>10</v>
      </c>
      <c r="Z109" s="72" t="s">
        <v>81</v>
      </c>
      <c r="AA109" s="72"/>
      <c r="AB109" s="72"/>
    </row>
    <row r="110" spans="1:28" ht="14.55" thickBot="1" x14ac:dyDescent="0.3">
      <c r="B110" s="280"/>
      <c r="C110" s="281"/>
      <c r="D110" s="281"/>
      <c r="E110" s="281"/>
      <c r="F110" s="282"/>
      <c r="G110" s="106"/>
      <c r="H110" s="299"/>
      <c r="I110" s="299"/>
      <c r="J110" s="300"/>
      <c r="S110" s="72" t="str">
        <f>IF(T109&gt;0,IF(SUM(T111:T125)&gt;0,", ",". "),"")</f>
        <v xml:space="preserve">, </v>
      </c>
      <c r="T110" s="72"/>
      <c r="U110" s="72" t="s">
        <v>82</v>
      </c>
      <c r="V110" s="72">
        <f>'Bauphysik - Bauakustik'!S8</f>
        <v>1</v>
      </c>
      <c r="W110" s="72">
        <f>IF(V110,MAX($W$100:W109)+V110,V110)</f>
        <v>5</v>
      </c>
      <c r="X110" s="72" t="str">
        <f t="shared" si="0"/>
        <v>F.</v>
      </c>
      <c r="Y110" s="72">
        <v>11</v>
      </c>
      <c r="Z110" s="72" t="s">
        <v>83</v>
      </c>
      <c r="AA110" s="72"/>
      <c r="AB110" s="72"/>
    </row>
    <row r="111" spans="1:28" hidden="1" outlineLevel="1" x14ac:dyDescent="0.25">
      <c r="B111" s="301"/>
      <c r="C111" s="41"/>
      <c r="D111" s="41"/>
      <c r="E111" s="41"/>
      <c r="F111" s="302"/>
      <c r="G111" s="101"/>
      <c r="H111" s="303"/>
      <c r="I111" s="303"/>
      <c r="J111" s="304"/>
      <c r="S111" s="72" t="str">
        <f>IF('Bauphysik - Wärmeschutz'!V110&gt;0,"Bauphysik - Wärmeschutz und Energiebilanzierung","")</f>
        <v>Bauphysik - Wärmeschutz und Energiebilanzierung</v>
      </c>
      <c r="T111" s="72">
        <f>IF(S111="",0,1)</f>
        <v>1</v>
      </c>
      <c r="U111" s="72" t="s">
        <v>84</v>
      </c>
      <c r="V111" s="72">
        <f>'Bauphysik - Raumakustik'!S8</f>
        <v>1</v>
      </c>
      <c r="W111" s="72">
        <f>IF(V111,MAX($W$100:W110)+V111,V111)</f>
        <v>6</v>
      </c>
      <c r="X111" s="72" t="str">
        <f t="shared" si="0"/>
        <v>G.</v>
      </c>
      <c r="Y111" s="72">
        <v>12</v>
      </c>
      <c r="Z111" s="72" t="s">
        <v>85</v>
      </c>
      <c r="AA111" s="72"/>
      <c r="AB111" s="72"/>
    </row>
    <row r="112" spans="1:28" hidden="1" outlineLevel="1" x14ac:dyDescent="0.25">
      <c r="B112" s="926" t="s">
        <v>58</v>
      </c>
      <c r="C112" s="927"/>
      <c r="D112" s="927"/>
      <c r="E112" s="927"/>
      <c r="F112" s="928"/>
      <c r="G112" s="101"/>
      <c r="H112" s="954">
        <f>'Auftragsänderungen &amp; -ergänzung'!H93</f>
        <v>0</v>
      </c>
      <c r="I112" s="954"/>
      <c r="J112" s="955"/>
      <c r="S112" s="72" t="str">
        <f>IF(T111&gt;0,IF(SUM(T113:T125)&gt;0,", ",". "),"")</f>
        <v xml:space="preserve">, </v>
      </c>
      <c r="T112" s="72"/>
      <c r="U112" s="72" t="s">
        <v>86</v>
      </c>
      <c r="V112" s="72">
        <f>Tragwerksplanung!S8</f>
        <v>1</v>
      </c>
      <c r="W112" s="72">
        <f>IF(V112,MAX($W$100:W111)+V112,V112)</f>
        <v>7</v>
      </c>
      <c r="X112" s="72" t="str">
        <f t="shared" si="0"/>
        <v>H.</v>
      </c>
      <c r="Y112" s="72">
        <v>13</v>
      </c>
      <c r="Z112" s="72" t="s">
        <v>87</v>
      </c>
      <c r="AA112" s="72"/>
      <c r="AB112" s="72"/>
    </row>
    <row r="113" spans="1:28" ht="14.55" hidden="1" outlineLevel="1" thickBot="1" x14ac:dyDescent="0.3">
      <c r="B113" s="296"/>
      <c r="C113" s="297"/>
      <c r="D113" s="297"/>
      <c r="E113" s="297"/>
      <c r="F113" s="298"/>
      <c r="G113" s="291"/>
      <c r="H113" s="202"/>
      <c r="I113" s="202"/>
      <c r="J113" s="203"/>
      <c r="S113" s="72" t="str">
        <f>IF('Bauphysik - Wärmeschutz'!V110&gt;0,"Bauphysik - Wärmeschutz","")</f>
        <v>Bauphysik - Wärmeschutz</v>
      </c>
      <c r="T113" s="72">
        <f>IF(S113="",0,1)</f>
        <v>1</v>
      </c>
      <c r="U113" s="72" t="s">
        <v>88</v>
      </c>
      <c r="V113" s="72">
        <f>Freianlagen!S8</f>
        <v>0</v>
      </c>
      <c r="W113" s="72">
        <f>IF(V113,MAX($W$100:W112)+V113,V113)</f>
        <v>0</v>
      </c>
      <c r="X113" s="72" t="str">
        <f t="shared" ref="X113:X118" si="1">IF(V113&gt;0,VLOOKUP(W113,$Y$99:$Z$124,2),"")</f>
        <v/>
      </c>
      <c r="Y113" s="72">
        <v>14</v>
      </c>
      <c r="Z113" s="72" t="s">
        <v>89</v>
      </c>
      <c r="AA113" s="72"/>
      <c r="AB113" s="72"/>
    </row>
    <row r="114" spans="1:28" ht="14.55" collapsed="1" thickBot="1" x14ac:dyDescent="0.3">
      <c r="B114" s="929" t="s">
        <v>59</v>
      </c>
      <c r="C114" s="930"/>
      <c r="D114" s="930"/>
      <c r="E114" s="930"/>
      <c r="F114" s="931"/>
      <c r="G114" s="107"/>
      <c r="H114" s="935">
        <f>SUM(H105:J112)</f>
        <v>0</v>
      </c>
      <c r="I114" s="935"/>
      <c r="J114" s="936"/>
      <c r="S114" s="72" t="str">
        <f>IF(T113&gt;0,IF(SUM(T115:T125)&gt;0,", ",". "),"")</f>
        <v xml:space="preserve">, </v>
      </c>
      <c r="T114" s="72"/>
      <c r="U114" s="72" t="s">
        <v>90</v>
      </c>
      <c r="V114" s="72">
        <f>Bebauungsplan!F7</f>
        <v>0</v>
      </c>
      <c r="W114" s="72">
        <f>IF(V114,MAX($W$100:W113)+V114,V114)</f>
        <v>0</v>
      </c>
      <c r="X114" s="72" t="str">
        <f t="shared" si="1"/>
        <v/>
      </c>
      <c r="Y114" s="72">
        <v>15</v>
      </c>
      <c r="Z114" s="72" t="s">
        <v>91</v>
      </c>
      <c r="AA114" s="72"/>
      <c r="AB114" s="72"/>
    </row>
    <row r="115" spans="1:28" x14ac:dyDescent="0.25">
      <c r="B115" s="320"/>
      <c r="C115" s="321"/>
      <c r="D115" s="321"/>
      <c r="E115" s="321"/>
      <c r="F115" s="322"/>
      <c r="G115" s="45"/>
      <c r="H115" s="93"/>
      <c r="I115" s="93"/>
      <c r="J115" s="94"/>
      <c r="S115" s="72" t="str">
        <f>IF('Bauphysik - Bauakustik'!V110&gt;0,"Bauphysik - Bauakustik","")</f>
        <v>Bauphysik - Bauakustik</v>
      </c>
      <c r="T115" s="72">
        <f>IF(S115="",0,1)</f>
        <v>1</v>
      </c>
      <c r="U115" s="72" t="s">
        <v>957</v>
      </c>
      <c r="V115" s="72">
        <f>'Technische Ausrüstung'!S8</f>
        <v>0</v>
      </c>
      <c r="W115" s="72">
        <f>IF(V115,MAX($W$100:W114)+V115,V115)</f>
        <v>0</v>
      </c>
      <c r="X115" s="72" t="str">
        <f t="shared" si="1"/>
        <v/>
      </c>
      <c r="Y115" s="72">
        <v>16</v>
      </c>
      <c r="Z115" s="72" t="s">
        <v>93</v>
      </c>
      <c r="AA115" s="72"/>
      <c r="AB115" s="72"/>
    </row>
    <row r="116" spans="1:28" x14ac:dyDescent="0.25">
      <c r="B116" s="917" t="s">
        <v>94</v>
      </c>
      <c r="C116" s="918"/>
      <c r="D116" s="918"/>
      <c r="E116" s="918"/>
      <c r="F116" s="919"/>
      <c r="G116" s="100">
        <f>G98</f>
        <v>0.19</v>
      </c>
      <c r="H116" s="954">
        <f>H114*G116</f>
        <v>0</v>
      </c>
      <c r="I116" s="954"/>
      <c r="J116" s="955"/>
      <c r="S116" s="72" t="str">
        <f>IF(T115&gt;0,IF(SUM(T56:T72)&gt;0,", ",". "),"")</f>
        <v xml:space="preserve">. </v>
      </c>
      <c r="T116" s="72"/>
      <c r="U116" s="72" t="s">
        <v>92</v>
      </c>
      <c r="V116" s="443">
        <f>'weitere Besondere Leistungen'!O351</f>
        <v>32</v>
      </c>
      <c r="W116" s="72">
        <f>IF(V116,MAX($W$100:W115)+V116,V116)</f>
        <v>39</v>
      </c>
      <c r="X116" s="72" t="str">
        <f t="shared" si="1"/>
        <v>T.</v>
      </c>
      <c r="Y116" s="72">
        <v>17</v>
      </c>
      <c r="Z116" s="72" t="s">
        <v>96</v>
      </c>
      <c r="AA116" s="72"/>
      <c r="AB116" s="72"/>
    </row>
    <row r="117" spans="1:28" ht="14.55" thickBot="1" x14ac:dyDescent="0.3">
      <c r="B117" s="305"/>
      <c r="C117" s="306"/>
      <c r="D117" s="306"/>
      <c r="E117" s="306"/>
      <c r="F117" s="307"/>
      <c r="G117" s="102"/>
      <c r="H117" s="299"/>
      <c r="I117" s="299"/>
      <c r="J117" s="300"/>
      <c r="S117" s="72" t="str">
        <f>IF('Bauphysik - Raumakustik'!V110&gt;0,"Bauphysik - Raumakustik","")</f>
        <v>Bauphysik - Raumakustik</v>
      </c>
      <c r="T117" s="72">
        <f>IF(S117="",0,1)</f>
        <v>1</v>
      </c>
      <c r="U117" s="72" t="s">
        <v>95</v>
      </c>
      <c r="V117" s="443">
        <f>'Besondere Leistungen GÜ-Berater'!P210</f>
        <v>1</v>
      </c>
      <c r="W117" s="72">
        <f>IF(V117,MAX($W$100:W116)+V117,V117)</f>
        <v>40</v>
      </c>
      <c r="X117" s="72" t="str">
        <f t="shared" si="1"/>
        <v>T.</v>
      </c>
      <c r="Y117" s="72">
        <v>18</v>
      </c>
      <c r="Z117" s="72" t="s">
        <v>958</v>
      </c>
      <c r="AA117" s="72"/>
      <c r="AB117" s="72"/>
    </row>
    <row r="118" spans="1:28" x14ac:dyDescent="0.25">
      <c r="B118" s="920" t="s">
        <v>98</v>
      </c>
      <c r="C118" s="921"/>
      <c r="D118" s="921"/>
      <c r="E118" s="921"/>
      <c r="F118" s="922"/>
      <c r="G118" s="172"/>
      <c r="H118" s="937">
        <f>H114+H116</f>
        <v>0</v>
      </c>
      <c r="I118" s="937"/>
      <c r="J118" s="938"/>
      <c r="L118" s="72"/>
      <c r="M118" s="72"/>
      <c r="S118" s="72" t="str">
        <f>IF(T117&gt;0,IF(SUM(T119:T125)&gt;0,", ",". "),"")</f>
        <v xml:space="preserve">, </v>
      </c>
      <c r="T118" s="72"/>
      <c r="U118" s="72" t="s">
        <v>97</v>
      </c>
      <c r="V118" s="72">
        <f>'Auftragsänderungen &amp; -ergänzung'!L76</f>
        <v>0</v>
      </c>
      <c r="W118" s="72">
        <f>IF(V118,MAX($W$100:W117)+V118,V118)</f>
        <v>0</v>
      </c>
      <c r="X118" s="72" t="str">
        <f t="shared" si="1"/>
        <v/>
      </c>
      <c r="Y118" s="72">
        <v>19</v>
      </c>
      <c r="Z118" s="72" t="s">
        <v>959</v>
      </c>
      <c r="AA118" s="72"/>
      <c r="AB118" s="72"/>
    </row>
    <row r="119" spans="1:28" ht="14.55" thickBot="1" x14ac:dyDescent="0.3">
      <c r="B119" s="923"/>
      <c r="C119" s="924"/>
      <c r="D119" s="924"/>
      <c r="E119" s="924"/>
      <c r="F119" s="925"/>
      <c r="G119" s="98"/>
      <c r="H119" s="939"/>
      <c r="I119" s="939"/>
      <c r="J119" s="940"/>
      <c r="L119" s="72"/>
      <c r="M119" s="72"/>
      <c r="S119" s="72" t="str">
        <f>IF(Tragwerksplanung!V140&gt;0,"Tragwerksplanung","")</f>
        <v>Tragwerksplanung</v>
      </c>
      <c r="T119" s="72">
        <f>IF(S119="",0,1)</f>
        <v>1</v>
      </c>
      <c r="U119" s="72"/>
      <c r="V119" s="72"/>
      <c r="W119" s="72"/>
      <c r="X119" s="72"/>
      <c r="Y119" s="72"/>
      <c r="Z119" s="72"/>
      <c r="AA119" s="72"/>
      <c r="AB119" s="72"/>
    </row>
    <row r="120" spans="1:28" x14ac:dyDescent="0.25">
      <c r="L120" s="72" t="s">
        <v>99</v>
      </c>
      <c r="M120" s="72"/>
      <c r="S120" s="72" t="str">
        <f>IF(T119&gt;0,IF(SUM(T121:T125)&gt;0,", ",". "),"")</f>
        <v xml:space="preserve">. </v>
      </c>
      <c r="T120" s="72"/>
      <c r="U120" s="72"/>
      <c r="V120" s="72"/>
      <c r="W120" s="72"/>
      <c r="X120" s="72"/>
      <c r="Y120" s="72"/>
      <c r="Z120" s="72"/>
      <c r="AA120" s="72"/>
      <c r="AB120" s="72"/>
    </row>
    <row r="121" spans="1:28" x14ac:dyDescent="0.25">
      <c r="A121" s="494" t="str">
        <f>IF($B$2=$L$5,"10.","11.")</f>
        <v>11.</v>
      </c>
      <c r="B121" s="40" t="str">
        <f>IF(B2=L5,"Gemäß der Honorarvereinbarung werden die Leistungsstufen wie folgt vergütet","Gemäß dem Honorarangebot werden die Leistungsstufen wie folgt vergütet")</f>
        <v>Gemäß dem Honorarangebot werden die Leistungsstufen wie folgt vergütet</v>
      </c>
      <c r="L121" s="72" t="s">
        <v>100</v>
      </c>
      <c r="M121" s="72"/>
      <c r="S121" s="72" t="str">
        <f>IF(Freianlagen!V215&gt;0,"Freianlagen","")</f>
        <v/>
      </c>
      <c r="T121" s="72">
        <f>IF(S121="",0,1)</f>
        <v>0</v>
      </c>
      <c r="U121" s="72"/>
      <c r="V121" s="72"/>
      <c r="W121" s="72"/>
      <c r="X121" s="72"/>
      <c r="Y121" s="72"/>
      <c r="Z121" s="72"/>
      <c r="AA121" s="72"/>
      <c r="AB121" s="72"/>
    </row>
    <row r="122" spans="1:28" ht="14.55" thickBot="1" x14ac:dyDescent="0.3">
      <c r="L122" s="72"/>
      <c r="M122" s="72"/>
      <c r="S122" s="72" t="str">
        <f>IF(T121&gt;0,IF(SUM(T122:T128)&gt;0,", ",". "),"")</f>
        <v/>
      </c>
      <c r="T122" s="72"/>
      <c r="U122" s="72"/>
      <c r="V122" s="72"/>
      <c r="W122" s="72"/>
      <c r="X122" s="72"/>
      <c r="Y122" s="72"/>
      <c r="Z122" s="72"/>
      <c r="AA122" s="72"/>
      <c r="AB122" s="72"/>
    </row>
    <row r="123" spans="1:28" ht="15" customHeight="1" x14ac:dyDescent="0.25">
      <c r="B123" s="486"/>
      <c r="C123" s="934" t="s">
        <v>101</v>
      </c>
      <c r="D123" s="934"/>
      <c r="E123" s="934"/>
      <c r="F123" s="934"/>
      <c r="G123" s="908" t="s">
        <v>102</v>
      </c>
      <c r="H123" s="909"/>
      <c r="I123" s="908" t="s">
        <v>103</v>
      </c>
      <c r="J123" s="909"/>
      <c r="K123" s="904" t="s">
        <v>104</v>
      </c>
      <c r="L123" s="905"/>
      <c r="S123" s="72" t="str">
        <f>IF(Bebauungsplan!V90&gt;0,"Bebauungsplan","")</f>
        <v/>
      </c>
      <c r="T123" s="72">
        <f>IF(S123="",0,1)</f>
        <v>0</v>
      </c>
      <c r="U123" s="72"/>
      <c r="V123" s="72"/>
      <c r="W123" s="72"/>
      <c r="X123" s="72"/>
      <c r="Y123" s="72"/>
      <c r="Z123" s="72"/>
      <c r="AA123" s="72"/>
      <c r="AB123" s="72"/>
    </row>
    <row r="124" spans="1:28" ht="29.25" customHeight="1" thickBot="1" x14ac:dyDescent="0.3">
      <c r="B124" s="487" t="s">
        <v>105</v>
      </c>
      <c r="C124" s="932" t="s">
        <v>106</v>
      </c>
      <c r="D124" s="932"/>
      <c r="E124" s="933" t="s">
        <v>107</v>
      </c>
      <c r="F124" s="933"/>
      <c r="G124" s="910"/>
      <c r="H124" s="911"/>
      <c r="I124" s="910"/>
      <c r="J124" s="911"/>
      <c r="K124" s="906"/>
      <c r="L124" s="907"/>
      <c r="S124" s="72" t="str">
        <f>IF(T123&gt;0,IF(SUM(T124:T127)&gt;0,", ",". "),"")</f>
        <v/>
      </c>
      <c r="T124" s="72"/>
      <c r="U124" s="72"/>
      <c r="V124" s="72"/>
      <c r="W124" s="72"/>
      <c r="X124" s="72"/>
      <c r="Y124" s="72"/>
      <c r="Z124" s="72"/>
      <c r="AA124" s="72"/>
      <c r="AB124" s="72"/>
    </row>
    <row r="125" spans="1:28" x14ac:dyDescent="0.25">
      <c r="B125" s="485" t="str">
        <f>IF(Überblick!$H$53&gt;=1,"1:",0)</f>
        <v>1:</v>
      </c>
      <c r="C125" s="962">
        <f>'Berechnung - Hochbau'!Q131+'Berechnung - Abwasser'!Q138+'Berechnung - Wärme'!Q135+'Berechnung Starkstrom'!Q135+'Berechnung - Fernmeldeanlagen'!Q135+'Berechnung - Förderanlagen'!Q135+'Berechnung - Nutzeranlagen'!Q135+'Berechnung - Freianlagen'!Q131+'Berechnung - Tragswerksplanung'!Q127+'Berechnung - Gebäudeautomation'!Q135+'Berechnung - Lufttechnik'!Q135+'Berechnung - Wärmeschutz'!Q106+'Berechnung Auftragsänderung'!M72+'Berechnung besondere Leistungen'!C239+'Berechnung - Raumakustik'!Q106+'Berechnung - Bauakustik'!Q106+'Berechnung - GÜ-Berater'!C145+'Berechnung - Bebauungsplan'!Q102+'Berechnung - Tech. Ausrüstung'!Q135</f>
        <v>0</v>
      </c>
      <c r="D125" s="962"/>
      <c r="E125" s="962">
        <f>C125*$G$116+C125</f>
        <v>0</v>
      </c>
      <c r="F125" s="962"/>
      <c r="G125" s="960"/>
      <c r="H125" s="961"/>
      <c r="I125" s="960"/>
      <c r="J125" s="961"/>
      <c r="K125" s="902" t="s">
        <v>99</v>
      </c>
      <c r="L125" s="903"/>
      <c r="M125" s="72">
        <v>1</v>
      </c>
      <c r="N125" s="72" t="str">
        <f t="shared" ref="N125:N133" si="2">K125</f>
        <v>ja</v>
      </c>
      <c r="S125" s="72" t="str">
        <f>IF('Technische Ausrüstung'!V246&gt;0,"Technische Ausrüstung","")</f>
        <v/>
      </c>
      <c r="T125" s="72">
        <f>IF(S125="",0,1)</f>
        <v>0</v>
      </c>
      <c r="U125" s="72"/>
      <c r="V125" s="72"/>
      <c r="W125" s="72"/>
      <c r="X125" s="72"/>
      <c r="Y125" s="72"/>
      <c r="Z125" s="72"/>
      <c r="AA125" s="72"/>
      <c r="AB125" s="72"/>
    </row>
    <row r="126" spans="1:28" x14ac:dyDescent="0.25">
      <c r="B126" s="153" t="str">
        <f>IF(Überblick!$H$53&gt;=2,"2:",0)</f>
        <v>2:</v>
      </c>
      <c r="C126" s="958">
        <f>'Berechnung - Hochbau'!Q132+'Berechnung - Abwasser'!Q139+'Berechnung - Wärme'!Q136+'Berechnung Starkstrom'!Q136+'Berechnung - Fernmeldeanlagen'!Q136+'Berechnung - Förderanlagen'!Q136+'Berechnung - Nutzeranlagen'!Q136+'Berechnung - Freianlagen'!Q132+'Berechnung - Tragswerksplanung'!Q128+'Berechnung - Gebäudeautomation'!Q136+'Berechnung - Lufttechnik'!Q136+'Berechnung - Wärmeschutz'!Q107+'Berechnung Auftragsänderung'!M73+'Berechnung besondere Leistungen'!C240+'Berechnung - Raumakustik'!Q107+'Berechnung - Bauakustik'!Q107+'Berechnung - GÜ-Berater'!D145+'Berechnung - Bebauungsplan'!Q103+'Berechnung - Tech. Ausrüstung'!Q136</f>
        <v>0</v>
      </c>
      <c r="D126" s="958"/>
      <c r="E126" s="958">
        <f t="shared" ref="E126:E132" si="3">C126*$G$116+C126</f>
        <v>0</v>
      </c>
      <c r="F126" s="958"/>
      <c r="G126" s="959"/>
      <c r="H126" s="959"/>
      <c r="I126" s="959"/>
      <c r="J126" s="959"/>
      <c r="K126" s="901" t="s">
        <v>100</v>
      </c>
      <c r="L126" s="901"/>
      <c r="M126" s="72">
        <v>2</v>
      </c>
      <c r="N126" s="72" t="str">
        <f t="shared" si="2"/>
        <v>nein</v>
      </c>
      <c r="S126" s="72" t="str">
        <f>IF(T125&gt;0,IF(SUM(T126:T129)&gt;0,", ",". "),"")</f>
        <v/>
      </c>
      <c r="T126" s="72"/>
      <c r="U126" s="72"/>
      <c r="V126" s="72"/>
      <c r="W126" s="72"/>
      <c r="X126" s="72"/>
      <c r="Y126" s="72"/>
      <c r="Z126" s="72"/>
      <c r="AA126" s="72"/>
      <c r="AB126" s="72"/>
    </row>
    <row r="127" spans="1:28" x14ac:dyDescent="0.25">
      <c r="B127" s="153" t="str">
        <f>IF(Überblick!$H$53&gt;=3,"3:",0)</f>
        <v>3:</v>
      </c>
      <c r="C127" s="958">
        <f>'Berechnung - Hochbau'!Q133+'Berechnung - Abwasser'!Q140+'Berechnung - Wärme'!Q137+'Berechnung Starkstrom'!Q137+'Berechnung - Fernmeldeanlagen'!Q137+'Berechnung - Förderanlagen'!Q137+'Berechnung - Nutzeranlagen'!Q137+'Berechnung - Freianlagen'!Q133+'Berechnung - Tragswerksplanung'!Q129+'Berechnung - Gebäudeautomation'!Q137+'Berechnung - Lufttechnik'!Q137+'Berechnung - Wärmeschutz'!Q108+'Berechnung Auftragsänderung'!M74+'Berechnung besondere Leistungen'!C241+'Berechnung - Raumakustik'!Q108+'Berechnung - Bauakustik'!Q108+'Berechnung - GÜ-Berater'!E145+'Berechnung - Bebauungsplan'!Q104+'Berechnung - Tech. Ausrüstung'!Q137</f>
        <v>0</v>
      </c>
      <c r="D127" s="958"/>
      <c r="E127" s="958">
        <f t="shared" si="3"/>
        <v>0</v>
      </c>
      <c r="F127" s="958"/>
      <c r="G127" s="959"/>
      <c r="H127" s="959"/>
      <c r="I127" s="959"/>
      <c r="J127" s="959"/>
      <c r="K127" s="901" t="s">
        <v>100</v>
      </c>
      <c r="L127" s="901"/>
      <c r="M127" s="72">
        <v>3</v>
      </c>
      <c r="N127" s="72" t="str">
        <f t="shared" si="2"/>
        <v>nein</v>
      </c>
      <c r="S127" s="72" t="str">
        <f>IF('weitere Besondere Leistungen'!O351&gt;0,"weitere Besondere Leistungen","")</f>
        <v>weitere Besondere Leistungen</v>
      </c>
      <c r="T127" s="72">
        <f>IF(S127="",0,1)</f>
        <v>1</v>
      </c>
      <c r="U127" s="72"/>
      <c r="V127" s="72"/>
      <c r="W127" s="72"/>
      <c r="X127" s="72"/>
      <c r="Y127" s="72"/>
      <c r="Z127" s="72"/>
      <c r="AA127" s="72"/>
      <c r="AB127" s="72"/>
    </row>
    <row r="128" spans="1:28" x14ac:dyDescent="0.25">
      <c r="B128" s="153" t="str">
        <f>IF(Überblick!$H$53&gt;=4,"4:",0)</f>
        <v>4:</v>
      </c>
      <c r="C128" s="958">
        <f>'Berechnung - Hochbau'!Q134+'Berechnung - Abwasser'!Q141+'Berechnung - Wärme'!Q138+'Berechnung Starkstrom'!Q138+'Berechnung - Fernmeldeanlagen'!Q138+'Berechnung - Förderanlagen'!Q138+'Berechnung - Nutzeranlagen'!Q138+'Berechnung - Freianlagen'!Q134+'Berechnung - Tragswerksplanung'!Q130+'Berechnung - Gebäudeautomation'!Q138+'Berechnung - Lufttechnik'!Q138+'Berechnung - Wärmeschutz'!Q109+'Berechnung Auftragsänderung'!M75+'Berechnung besondere Leistungen'!C242+'Berechnung - Raumakustik'!Q109+'Berechnung - Bauakustik'!Q109+'Berechnung - GÜ-Berater'!F145+'Berechnung - Bebauungsplan'!Q105+'Berechnung - Tech. Ausrüstung'!Q138</f>
        <v>0</v>
      </c>
      <c r="D128" s="958"/>
      <c r="E128" s="958">
        <f t="shared" si="3"/>
        <v>0</v>
      </c>
      <c r="F128" s="958"/>
      <c r="G128" s="959"/>
      <c r="H128" s="959"/>
      <c r="I128" s="959"/>
      <c r="J128" s="959"/>
      <c r="K128" s="901" t="s">
        <v>100</v>
      </c>
      <c r="L128" s="901"/>
      <c r="M128" s="72">
        <v>4</v>
      </c>
      <c r="N128" s="72" t="str">
        <f t="shared" si="2"/>
        <v>nein</v>
      </c>
      <c r="S128" s="72" t="str">
        <f>IF(T127&gt;0,IF(T129&gt;0,", ",". "),"")</f>
        <v xml:space="preserve">, </v>
      </c>
      <c r="T128" s="72"/>
      <c r="U128" s="72"/>
      <c r="V128" s="72"/>
      <c r="W128" s="72"/>
      <c r="X128" s="72"/>
      <c r="Y128" s="72"/>
      <c r="Z128" s="72"/>
      <c r="AA128" s="72"/>
      <c r="AB128" s="72"/>
    </row>
    <row r="129" spans="2:28" x14ac:dyDescent="0.25">
      <c r="B129" s="153" t="str">
        <f>IF(Überblick!$H$53&gt;=5,"5:",0)</f>
        <v>5:</v>
      </c>
      <c r="C129" s="958">
        <f>'Berechnung - Hochbau'!Q135+'Berechnung - Abwasser'!Q142+'Berechnung - Wärme'!Q139+'Berechnung Starkstrom'!Q139+'Berechnung - Fernmeldeanlagen'!Q139+'Berechnung - Förderanlagen'!Q139+'Berechnung - Nutzeranlagen'!Q139+'Berechnung - Freianlagen'!Q135+'Berechnung - Tragswerksplanung'!Q131+'Berechnung - Gebäudeautomation'!Q139+'Berechnung - Lufttechnik'!Q139+'Berechnung - Wärmeschutz'!Q110+'Berechnung Auftragsänderung'!M76+'Berechnung besondere Leistungen'!C243+'Berechnung - Raumakustik'!Q110+'Berechnung - Bauakustik'!Q110+'Berechnung - GÜ-Berater'!G145+'Berechnung - Bebauungsplan'!Q106+'Berechnung - Tech. Ausrüstung'!Q139</f>
        <v>0</v>
      </c>
      <c r="D129" s="958"/>
      <c r="E129" s="958">
        <f t="shared" si="3"/>
        <v>0</v>
      </c>
      <c r="F129" s="958"/>
      <c r="G129" s="959"/>
      <c r="H129" s="959"/>
      <c r="I129" s="959"/>
      <c r="J129" s="959"/>
      <c r="K129" s="901" t="s">
        <v>100</v>
      </c>
      <c r="L129" s="901"/>
      <c r="M129" s="72">
        <v>5</v>
      </c>
      <c r="N129" s="72" t="str">
        <f t="shared" si="2"/>
        <v>nein</v>
      </c>
      <c r="S129" s="72" t="str">
        <f>IF('Besondere Leistungen GÜ-Berater'!O210&gt;0,"weitere Besondere Leistungen - GÜ Berater","")</f>
        <v>weitere Besondere Leistungen - GÜ Berater</v>
      </c>
      <c r="T129" s="72">
        <f>IF(S129="",0,1)</f>
        <v>1</v>
      </c>
      <c r="U129" s="72"/>
      <c r="V129" s="72"/>
      <c r="W129" s="72"/>
      <c r="X129" s="72"/>
      <c r="Y129" s="72"/>
      <c r="Z129" s="72"/>
      <c r="AA129" s="72"/>
      <c r="AB129" s="72"/>
    </row>
    <row r="130" spans="2:28" x14ac:dyDescent="0.25">
      <c r="B130" s="153" t="str">
        <f>IF(Überblick!$H$53&gt;=6,"6:",0)</f>
        <v>6:</v>
      </c>
      <c r="C130" s="958">
        <f>'Berechnung - Hochbau'!Q136+'Berechnung - Abwasser'!Q143+'Berechnung - Wärme'!Q140+'Berechnung Starkstrom'!Q140+'Berechnung - Fernmeldeanlagen'!Q140+'Berechnung - Förderanlagen'!Q140+'Berechnung - Nutzeranlagen'!Q140+'Berechnung - Freianlagen'!Q136+'Berechnung - Tragswerksplanung'!Q132+'Berechnung - Gebäudeautomation'!Q140+'Berechnung - Lufttechnik'!Q140+'Berechnung - Wärmeschutz'!Q111+'Berechnung Auftragsänderung'!M77+'Berechnung besondere Leistungen'!C244+'Berechnung - Raumakustik'!Q111+'Berechnung - Bauakustik'!Q111+'Berechnung - GÜ-Berater'!H145+'Berechnung - Bebauungsplan'!Q107+'Berechnung - Tech. Ausrüstung'!Q140</f>
        <v>0</v>
      </c>
      <c r="D130" s="958"/>
      <c r="E130" s="958">
        <f t="shared" si="3"/>
        <v>0</v>
      </c>
      <c r="F130" s="958"/>
      <c r="G130" s="959"/>
      <c r="H130" s="959"/>
      <c r="I130" s="959"/>
      <c r="J130" s="959"/>
      <c r="K130" s="901" t="s">
        <v>100</v>
      </c>
      <c r="L130" s="901"/>
      <c r="M130" s="72">
        <v>6</v>
      </c>
      <c r="N130" s="72" t="str">
        <f t="shared" si="2"/>
        <v>nein</v>
      </c>
      <c r="S130" s="72" t="str">
        <f>IF(T129&gt;0,IF(T131&gt;0,", ",". "),"")</f>
        <v xml:space="preserve">. </v>
      </c>
      <c r="T130" s="72"/>
      <c r="U130" s="72"/>
      <c r="V130" s="72"/>
      <c r="W130" s="72"/>
      <c r="X130" s="72"/>
      <c r="Y130" s="72"/>
      <c r="Z130" s="72"/>
      <c r="AA130" s="72"/>
      <c r="AB130" s="72"/>
    </row>
    <row r="131" spans="2:28" x14ac:dyDescent="0.25">
      <c r="B131" s="153">
        <f>IF(Überblick!$H$53&gt;=7,"7:",0)</f>
        <v>0</v>
      </c>
      <c r="C131" s="958">
        <f>'Berechnung - Hochbau'!Q137+'Berechnung - Abwasser'!Q144+'Berechnung - Wärme'!Q141+'Berechnung Starkstrom'!Q141+'Berechnung - Fernmeldeanlagen'!Q141+'Berechnung - Förderanlagen'!Q141+'Berechnung - Nutzeranlagen'!Q141+'Berechnung - Freianlagen'!Q137+'Berechnung - Tragswerksplanung'!Q133+'Berechnung - Gebäudeautomation'!Q141+'Berechnung - Lufttechnik'!Q141+'Berechnung - Wärmeschutz'!Q112+'Berechnung Auftragsänderung'!M78+'Berechnung besondere Leistungen'!C245+'Berechnung - Raumakustik'!Q112+'Berechnung - Bauakustik'!Q112+'Berechnung - GÜ-Berater'!I145+'Berechnung - Bebauungsplan'!Q108+'Berechnung - Tech. Ausrüstung'!Q141</f>
        <v>33789.782639999998</v>
      </c>
      <c r="D131" s="958"/>
      <c r="E131" s="958">
        <f t="shared" si="3"/>
        <v>40209.841341599997</v>
      </c>
      <c r="F131" s="958"/>
      <c r="G131" s="959"/>
      <c r="H131" s="959"/>
      <c r="I131" s="959"/>
      <c r="J131" s="959"/>
      <c r="K131" s="901" t="s">
        <v>99</v>
      </c>
      <c r="L131" s="901"/>
      <c r="M131" s="72">
        <v>7</v>
      </c>
      <c r="N131" s="72" t="str">
        <f t="shared" si="2"/>
        <v>ja</v>
      </c>
      <c r="P131" s="804"/>
      <c r="Q131" s="804"/>
    </row>
    <row r="132" spans="2:28" x14ac:dyDescent="0.25">
      <c r="B132" s="153">
        <f>IF(Überblick!$H$53&gt;=8,"8:",0)</f>
        <v>0</v>
      </c>
      <c r="C132" s="958">
        <f>'Berechnung - Hochbau'!Q138+'Berechnung - Abwasser'!Q145+'Berechnung - Wärme'!Q142+'Berechnung Starkstrom'!Q142+'Berechnung - Fernmeldeanlagen'!Q142+'Berechnung - Förderanlagen'!Q142+'Berechnung - Nutzeranlagen'!Q142+'Berechnung - Freianlagen'!Q138+'Berechnung - Tragswerksplanung'!Q134+'Berechnung - Gebäudeautomation'!Q142+'Berechnung - Lufttechnik'!Q142+'Berechnung - Wärmeschutz'!Q113+'Berechnung Auftragsänderung'!M79+'Berechnung besondere Leistungen'!C246+'Berechnung - Raumakustik'!Q113+'Berechnung - Bauakustik'!Q113+'Berechnung - GÜ-Berater'!J145+'Berechnung - Bebauungsplan'!Q109+'Berechnung - Tech. Ausrüstung'!Q142</f>
        <v>33789.782639999998</v>
      </c>
      <c r="D132" s="958"/>
      <c r="E132" s="958">
        <f t="shared" si="3"/>
        <v>40209.841341599997</v>
      </c>
      <c r="F132" s="958"/>
      <c r="G132" s="959"/>
      <c r="H132" s="959"/>
      <c r="I132" s="959"/>
      <c r="J132" s="959"/>
      <c r="K132" s="901" t="s">
        <v>99</v>
      </c>
      <c r="L132" s="901"/>
      <c r="M132" s="72">
        <v>8</v>
      </c>
      <c r="N132" s="72" t="str">
        <f t="shared" si="2"/>
        <v>ja</v>
      </c>
    </row>
    <row r="133" spans="2:28" x14ac:dyDescent="0.25">
      <c r="B133" s="153">
        <f>IF(Überblick!$H$53&gt;=9,"9:",0)</f>
        <v>0</v>
      </c>
      <c r="C133" s="958">
        <f>'Berechnung - Hochbau'!Q139+'Berechnung - Abwasser'!Q146+'Berechnung - Wärme'!Q143+'Berechnung Starkstrom'!Q143+'Berechnung - Fernmeldeanlagen'!Q143+'Berechnung - Förderanlagen'!Q143+'Berechnung - Nutzeranlagen'!Q143+'Berechnung - Freianlagen'!Q139+'Berechnung - Tragswerksplanung'!Q135+'Berechnung - Gebäudeautomation'!Q143+'Berechnung - Lufttechnik'!Q143+'Berechnung - Wärmeschutz'!Q114+'Berechnung Auftragsänderung'!M80+'Berechnung besondere Leistungen'!C247+'Berechnung - Raumakustik'!Q114+'Berechnung - Bauakustik'!Q114+'Berechnung - GÜ-Berater'!K145+'Berechnung - Bebauungsplan'!Q110+'Berechnung - Tech. Ausrüstung'!Q143</f>
        <v>33789.782639999998</v>
      </c>
      <c r="D133" s="958"/>
      <c r="E133" s="958">
        <f t="shared" ref="E133" si="4">C133*$G$116+C133</f>
        <v>40209.841341599997</v>
      </c>
      <c r="F133" s="958"/>
      <c r="G133" s="959"/>
      <c r="H133" s="959"/>
      <c r="I133" s="959"/>
      <c r="J133" s="959"/>
      <c r="K133" s="901" t="s">
        <v>99</v>
      </c>
      <c r="L133" s="901"/>
      <c r="M133" s="72">
        <v>9</v>
      </c>
      <c r="N133" s="72" t="str">
        <f t="shared" si="2"/>
        <v>ja</v>
      </c>
    </row>
    <row r="134" spans="2:28" x14ac:dyDescent="0.25">
      <c r="M134" s="72">
        <v>0</v>
      </c>
      <c r="N134" s="72" t="s">
        <v>108</v>
      </c>
    </row>
    <row r="135" spans="2:28" x14ac:dyDescent="0.25">
      <c r="M135" s="72"/>
      <c r="N135" s="72"/>
    </row>
    <row r="136" spans="2:28" x14ac:dyDescent="0.25">
      <c r="M136" s="72"/>
      <c r="N136" s="72"/>
    </row>
  </sheetData>
  <sheetProtection algorithmName="SHA-512" hashValue="hupqMGTDrHnwD4rEWJhMoe+k4fM27Of400pB8T+kRGwmXMnN8njBf6dHb+vE4MSP772DfyXgG2ZKMILBv6m4PA==" saltValue="1USSptR1Mry/eRMqaTKbjQ==" spinCount="100000" sheet="1" objects="1" scenarios="1"/>
  <mergeCells count="108">
    <mergeCell ref="B25:C25"/>
    <mergeCell ref="D25:I25"/>
    <mergeCell ref="Q2:R2"/>
    <mergeCell ref="B22:C22"/>
    <mergeCell ref="D22:I22"/>
    <mergeCell ref="B23:C23"/>
    <mergeCell ref="D23:I23"/>
    <mergeCell ref="B24:C24"/>
    <mergeCell ref="D24:I24"/>
    <mergeCell ref="B17:E17"/>
    <mergeCell ref="B19:C19"/>
    <mergeCell ref="D19:I19"/>
    <mergeCell ref="D20:I20"/>
    <mergeCell ref="B21:C21"/>
    <mergeCell ref="D21:I21"/>
    <mergeCell ref="F2:O2"/>
    <mergeCell ref="Q1:R1"/>
    <mergeCell ref="C133:D133"/>
    <mergeCell ref="E133:F133"/>
    <mergeCell ref="G133:H133"/>
    <mergeCell ref="G130:H130"/>
    <mergeCell ref="G131:H131"/>
    <mergeCell ref="G132:H132"/>
    <mergeCell ref="C132:D132"/>
    <mergeCell ref="E132:F132"/>
    <mergeCell ref="C130:D130"/>
    <mergeCell ref="E130:F130"/>
    <mergeCell ref="B94:F94"/>
    <mergeCell ref="H94:J94"/>
    <mergeCell ref="B88:F89"/>
    <mergeCell ref="G128:H128"/>
    <mergeCell ref="G129:H129"/>
    <mergeCell ref="B87:F87"/>
    <mergeCell ref="H87:J87"/>
    <mergeCell ref="H89:J89"/>
    <mergeCell ref="B91:F91"/>
    <mergeCell ref="H91:J91"/>
    <mergeCell ref="B9:P14"/>
    <mergeCell ref="C131:D131"/>
    <mergeCell ref="E131:F131"/>
    <mergeCell ref="C128:D128"/>
    <mergeCell ref="I131:J131"/>
    <mergeCell ref="I132:J132"/>
    <mergeCell ref="I133:J133"/>
    <mergeCell ref="I125:J125"/>
    <mergeCell ref="I126:J126"/>
    <mergeCell ref="I127:J127"/>
    <mergeCell ref="I128:J128"/>
    <mergeCell ref="I129:J129"/>
    <mergeCell ref="C129:D129"/>
    <mergeCell ref="E129:F129"/>
    <mergeCell ref="I130:J130"/>
    <mergeCell ref="E128:F128"/>
    <mergeCell ref="C125:D125"/>
    <mergeCell ref="E125:F125"/>
    <mergeCell ref="C126:D126"/>
    <mergeCell ref="E126:F126"/>
    <mergeCell ref="C127:D127"/>
    <mergeCell ref="E127:F127"/>
    <mergeCell ref="G126:H126"/>
    <mergeCell ref="G127:H127"/>
    <mergeCell ref="G125:H125"/>
    <mergeCell ref="B106:F107"/>
    <mergeCell ref="D40:E40"/>
    <mergeCell ref="B98:F98"/>
    <mergeCell ref="G29:N29"/>
    <mergeCell ref="H98:J98"/>
    <mergeCell ref="K48:M48"/>
    <mergeCell ref="H116:J116"/>
    <mergeCell ref="H112:J112"/>
    <mergeCell ref="H118:J119"/>
    <mergeCell ref="H107:J107"/>
    <mergeCell ref="H109:J109"/>
    <mergeCell ref="H114:J114"/>
    <mergeCell ref="I123:J124"/>
    <mergeCell ref="K46:M46"/>
    <mergeCell ref="K45:M45"/>
    <mergeCell ref="B47:J48"/>
    <mergeCell ref="B63:Q69"/>
    <mergeCell ref="B57:Q61"/>
    <mergeCell ref="B73:Q77"/>
    <mergeCell ref="B83:Q83"/>
    <mergeCell ref="K39:M39"/>
    <mergeCell ref="B116:F116"/>
    <mergeCell ref="B118:F119"/>
    <mergeCell ref="B109:F109"/>
    <mergeCell ref="B114:F114"/>
    <mergeCell ref="B112:F112"/>
    <mergeCell ref="C124:D124"/>
    <mergeCell ref="E124:F124"/>
    <mergeCell ref="C123:F123"/>
    <mergeCell ref="G123:H124"/>
    <mergeCell ref="B96:F96"/>
    <mergeCell ref="H96:J96"/>
    <mergeCell ref="B100:F101"/>
    <mergeCell ref="H100:J101"/>
    <mergeCell ref="B105:F105"/>
    <mergeCell ref="H105:J105"/>
    <mergeCell ref="K132:L132"/>
    <mergeCell ref="K133:L133"/>
    <mergeCell ref="K128:L128"/>
    <mergeCell ref="K129:L129"/>
    <mergeCell ref="K130:L130"/>
    <mergeCell ref="K131:L131"/>
    <mergeCell ref="K125:L125"/>
    <mergeCell ref="K123:L124"/>
    <mergeCell ref="K126:L126"/>
    <mergeCell ref="K127:L127"/>
  </mergeCells>
  <conditionalFormatting sqref="B126:B132">
    <cfRule type="cellIs" dxfId="1532" priority="34" operator="greaterThan">
      <formula>0</formula>
    </cfRule>
  </conditionalFormatting>
  <conditionalFormatting sqref="C126:F133">
    <cfRule type="expression" dxfId="1531" priority="31">
      <formula>$B126&gt;0</formula>
    </cfRule>
  </conditionalFormatting>
  <conditionalFormatting sqref="B133">
    <cfRule type="cellIs" dxfId="1530" priority="30" operator="greaterThan">
      <formula>0</formula>
    </cfRule>
  </conditionalFormatting>
  <conditionalFormatting sqref="G126:H126">
    <cfRule type="expression" dxfId="1529" priority="25">
      <formula>B126&gt;""</formula>
    </cfRule>
  </conditionalFormatting>
  <conditionalFormatting sqref="G130:H133">
    <cfRule type="expression" dxfId="1528" priority="23">
      <formula>B130&gt;""</formula>
    </cfRule>
  </conditionalFormatting>
  <conditionalFormatting sqref="I126:J126">
    <cfRule type="expression" dxfId="1527" priority="22">
      <formula>B126&gt;""</formula>
    </cfRule>
  </conditionalFormatting>
  <conditionalFormatting sqref="I128:J133">
    <cfRule type="expression" dxfId="1526" priority="21">
      <formula>$B128&gt;""</formula>
    </cfRule>
  </conditionalFormatting>
  <conditionalFormatting sqref="I127:J127">
    <cfRule type="expression" dxfId="1525" priority="20">
      <formula>B127&gt;""</formula>
    </cfRule>
  </conditionalFormatting>
  <conditionalFormatting sqref="J35:N35">
    <cfRule type="expression" dxfId="1524" priority="746">
      <formula>$S$35=$B$35</formula>
    </cfRule>
  </conditionalFormatting>
  <conditionalFormatting sqref="N39">
    <cfRule type="expression" dxfId="1523" priority="17">
      <formula>$B$39=$S$39</formula>
    </cfRule>
  </conditionalFormatting>
  <conditionalFormatting sqref="B40 F40">
    <cfRule type="expression" dxfId="1522" priority="16">
      <formula>$S$39=$B$39</formula>
    </cfRule>
  </conditionalFormatting>
  <conditionalFormatting sqref="D40:E40">
    <cfRule type="expression" dxfId="1521" priority="15">
      <formula>$B$39=$S$39</formula>
    </cfRule>
  </conditionalFormatting>
  <conditionalFormatting sqref="K126:L126">
    <cfRule type="expression" dxfId="1520" priority="13">
      <formula>B126&gt;""</formula>
    </cfRule>
  </conditionalFormatting>
  <conditionalFormatting sqref="K127:L127">
    <cfRule type="expression" dxfId="1519" priority="12">
      <formula>$B127&gt;""</formula>
    </cfRule>
  </conditionalFormatting>
  <conditionalFormatting sqref="K128:L128">
    <cfRule type="expression" dxfId="1518" priority="11">
      <formula>$B128&gt;""</formula>
    </cfRule>
  </conditionalFormatting>
  <conditionalFormatting sqref="K129:L129">
    <cfRule type="expression" dxfId="1517" priority="10">
      <formula>$B129&gt;""</formula>
    </cfRule>
  </conditionalFormatting>
  <conditionalFormatting sqref="K130:L130">
    <cfRule type="expression" dxfId="1516" priority="9">
      <formula>$B130&gt;""</formula>
    </cfRule>
  </conditionalFormatting>
  <conditionalFormatting sqref="K131:L131">
    <cfRule type="expression" dxfId="1515" priority="8">
      <formula>$B131&gt;""</formula>
    </cfRule>
  </conditionalFormatting>
  <conditionalFormatting sqref="K132:L132">
    <cfRule type="expression" dxfId="1514" priority="7">
      <formula>$B132&gt;""</formula>
    </cfRule>
  </conditionalFormatting>
  <conditionalFormatting sqref="K133:L133">
    <cfRule type="expression" dxfId="1513" priority="6">
      <formula>$B133&gt;""</formula>
    </cfRule>
  </conditionalFormatting>
  <conditionalFormatting sqref="G127:H127">
    <cfRule type="expression" dxfId="1512" priority="5">
      <formula>B127&gt;""</formula>
    </cfRule>
  </conditionalFormatting>
  <conditionalFormatting sqref="G128:H128">
    <cfRule type="expression" dxfId="1511" priority="4">
      <formula>B128&gt;""</formula>
    </cfRule>
  </conditionalFormatting>
  <conditionalFormatting sqref="G129:H129">
    <cfRule type="expression" dxfId="1510" priority="3">
      <formula>B129&gt;""</formula>
    </cfRule>
  </conditionalFormatting>
  <conditionalFormatting sqref="K39">
    <cfRule type="expression" dxfId="1509" priority="2">
      <formula>$B$39=$S$39</formula>
    </cfRule>
  </conditionalFormatting>
  <conditionalFormatting sqref="F34:J34">
    <cfRule type="expression" dxfId="1508" priority="1">
      <formula>$S$35=$B$35</formula>
    </cfRule>
  </conditionalFormatting>
  <dataValidations count="6">
    <dataValidation type="list" allowBlank="1" showInputMessage="1" showErrorMessage="1" sqref="H53" xr:uid="{8E47AA03-7C19-4ECC-8B8D-35FC1C554CCF}">
      <formula1>$AA$89:$AA$97</formula1>
    </dataValidation>
    <dataValidation type="list" allowBlank="1" showInputMessage="1" showErrorMessage="1" sqref="B29" xr:uid="{6E8020B6-AB00-467E-BCC7-873143468A5A}">
      <formula1>$S$29:$S$30</formula1>
    </dataValidation>
    <dataValidation type="list" allowBlank="1" showInputMessage="1" showErrorMessage="1" sqref="B35" xr:uid="{46473010-EE34-4E51-BFE2-903DD5DCD24C}">
      <formula1>$S$35:$S$36</formula1>
    </dataValidation>
    <dataValidation type="list" allowBlank="1" showInputMessage="1" showErrorMessage="1" sqref="B39" xr:uid="{16988FDC-4AB7-4E3E-B0B4-F6587F7E099E}">
      <formula1>$S$39:$S$40</formula1>
    </dataValidation>
    <dataValidation type="list" allowBlank="1" showInputMessage="1" showErrorMessage="1" sqref="K125:L133" xr:uid="{B542938D-A6F6-4D9D-BCFF-CD182340AD95}">
      <formula1>$L$120:$L$121</formula1>
    </dataValidation>
    <dataValidation type="list" allowBlank="1" showInputMessage="1" showErrorMessage="1" sqref="B2" xr:uid="{9BE2A338-741F-4E7F-A160-D53295BF75E0}">
      <formula1>$L$4:$L$5</formula1>
    </dataValidation>
  </dataValidations>
  <pageMargins left="0.25" right="0.25" top="0.75" bottom="0.75" header="0.3" footer="0.3"/>
  <pageSetup paperSize="9" scale="50" fitToHeight="5" orientation="portrait" r:id="rId1"/>
  <rowBreaks count="1" manualBreakCount="1">
    <brk id="102" max="16383" man="1"/>
  </rowBreaks>
  <ignoredErrors>
    <ignoredError sqref="S122 S129 S125" formula="1"/>
    <ignoredError sqref="E130:E133"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213E-EBFC-475A-927D-54DA05D450CB}">
  <sheetPr>
    <tabColor rgb="FFFFC000"/>
  </sheetPr>
  <dimension ref="A1:Q156"/>
  <sheetViews>
    <sheetView workbookViewId="0"/>
  </sheetViews>
  <sheetFormatPr baseColWidth="10" defaultColWidth="11.44140625" defaultRowHeight="14.55" x14ac:dyDescent="0.3"/>
  <cols>
    <col min="1" max="1" width="25.218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2" width="12" style="594" bestFit="1" customWidth="1"/>
    <col min="13" max="16" width="11.5546875" style="594" bestFit="1" customWidth="1"/>
    <col min="17" max="17" width="12"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6">
        <v>2547</v>
      </c>
      <c r="G6" s="607">
        <v>2990</v>
      </c>
      <c r="H6" s="605"/>
      <c r="I6" s="606">
        <v>2990</v>
      </c>
      <c r="J6" s="607">
        <v>3405</v>
      </c>
    </row>
    <row r="7" spans="1:13" x14ac:dyDescent="0.3">
      <c r="A7" s="610">
        <v>10000</v>
      </c>
      <c r="B7" s="605"/>
      <c r="C7" s="611">
        <v>3689</v>
      </c>
      <c r="D7" s="612">
        <v>4408</v>
      </c>
      <c r="E7" s="605"/>
      <c r="F7" s="611">
        <v>4408</v>
      </c>
      <c r="G7" s="612">
        <v>5174</v>
      </c>
      <c r="H7" s="605"/>
      <c r="I7" s="611">
        <v>5174</v>
      </c>
      <c r="J7" s="612">
        <v>5893</v>
      </c>
    </row>
    <row r="8" spans="1:13" x14ac:dyDescent="0.3">
      <c r="A8" s="610">
        <v>15000</v>
      </c>
      <c r="B8" s="605"/>
      <c r="C8" s="611">
        <v>5084</v>
      </c>
      <c r="D8" s="612">
        <v>6075</v>
      </c>
      <c r="E8" s="605"/>
      <c r="F8" s="611">
        <v>6075</v>
      </c>
      <c r="G8" s="612">
        <v>7131</v>
      </c>
      <c r="H8" s="605"/>
      <c r="I8" s="611">
        <v>7131</v>
      </c>
      <c r="J8" s="612">
        <v>8122</v>
      </c>
    </row>
    <row r="9" spans="1:13" x14ac:dyDescent="0.3">
      <c r="A9" s="610">
        <v>25000</v>
      </c>
      <c r="B9" s="605"/>
      <c r="C9" s="611">
        <v>7615</v>
      </c>
      <c r="D9" s="612">
        <v>9098</v>
      </c>
      <c r="E9" s="605"/>
      <c r="F9" s="611">
        <v>9098</v>
      </c>
      <c r="G9" s="612">
        <v>10681</v>
      </c>
      <c r="H9" s="605"/>
      <c r="I9" s="611">
        <v>10681</v>
      </c>
      <c r="J9" s="612">
        <v>12164</v>
      </c>
    </row>
    <row r="10" spans="1:13" x14ac:dyDescent="0.3">
      <c r="A10" s="610">
        <v>35000</v>
      </c>
      <c r="B10" s="605"/>
      <c r="C10" s="611">
        <v>9934</v>
      </c>
      <c r="D10" s="612">
        <v>11869</v>
      </c>
      <c r="E10" s="605"/>
      <c r="F10" s="611">
        <v>11869</v>
      </c>
      <c r="G10" s="612">
        <v>13934</v>
      </c>
      <c r="H10" s="605"/>
      <c r="I10" s="611">
        <v>13934</v>
      </c>
      <c r="J10" s="612">
        <v>15869</v>
      </c>
    </row>
    <row r="11" spans="1:13" x14ac:dyDescent="0.3">
      <c r="A11" s="610">
        <v>50000</v>
      </c>
      <c r="B11" s="605"/>
      <c r="C11" s="611">
        <v>13165</v>
      </c>
      <c r="D11" s="612">
        <v>15729</v>
      </c>
      <c r="E11" s="605"/>
      <c r="F11" s="611">
        <v>15729</v>
      </c>
      <c r="G11" s="612">
        <v>18465</v>
      </c>
      <c r="H11" s="605"/>
      <c r="I11" s="611">
        <v>18465</v>
      </c>
      <c r="J11" s="612">
        <v>21029</v>
      </c>
    </row>
    <row r="12" spans="1:13" x14ac:dyDescent="0.3">
      <c r="A12" s="610">
        <v>75000</v>
      </c>
      <c r="B12" s="605"/>
      <c r="C12" s="611">
        <v>18122</v>
      </c>
      <c r="D12" s="612">
        <v>21652</v>
      </c>
      <c r="E12" s="605"/>
      <c r="F12" s="611">
        <v>21652</v>
      </c>
      <c r="G12" s="612">
        <v>25418</v>
      </c>
      <c r="H12" s="605"/>
      <c r="I12" s="611">
        <v>25418</v>
      </c>
      <c r="J12" s="612">
        <v>28948</v>
      </c>
    </row>
    <row r="13" spans="1:13" x14ac:dyDescent="0.3">
      <c r="A13" s="610">
        <v>100000</v>
      </c>
      <c r="B13" s="605"/>
      <c r="C13" s="611">
        <v>22723</v>
      </c>
      <c r="D13" s="612">
        <v>27150</v>
      </c>
      <c r="E13" s="605"/>
      <c r="F13" s="611">
        <v>27150</v>
      </c>
      <c r="G13" s="612">
        <v>31872</v>
      </c>
      <c r="H13" s="605"/>
      <c r="I13" s="611">
        <v>31872</v>
      </c>
      <c r="J13" s="612">
        <v>36299</v>
      </c>
    </row>
    <row r="14" spans="1:13" x14ac:dyDescent="0.3">
      <c r="A14" s="610">
        <v>150000</v>
      </c>
      <c r="B14" s="605"/>
      <c r="C14" s="611">
        <v>31228</v>
      </c>
      <c r="D14" s="612">
        <v>37311</v>
      </c>
      <c r="E14" s="605"/>
      <c r="F14" s="611">
        <v>37311</v>
      </c>
      <c r="G14" s="612">
        <v>43800</v>
      </c>
      <c r="H14" s="605"/>
      <c r="I14" s="611">
        <v>43800</v>
      </c>
      <c r="J14" s="612">
        <v>49883</v>
      </c>
    </row>
    <row r="15" spans="1:13" x14ac:dyDescent="0.3">
      <c r="A15" s="610">
        <v>250000</v>
      </c>
      <c r="B15" s="605"/>
      <c r="C15" s="611">
        <v>46640</v>
      </c>
      <c r="D15" s="612">
        <v>55726</v>
      </c>
      <c r="E15" s="605"/>
      <c r="F15" s="611">
        <v>55726</v>
      </c>
      <c r="G15" s="612">
        <v>65418</v>
      </c>
      <c r="H15" s="605"/>
      <c r="I15" s="611">
        <v>65418</v>
      </c>
      <c r="J15" s="612">
        <v>74504</v>
      </c>
    </row>
    <row r="16" spans="1:13" x14ac:dyDescent="0.3">
      <c r="A16" s="610">
        <v>500000</v>
      </c>
      <c r="B16" s="605"/>
      <c r="C16" s="611">
        <v>80684</v>
      </c>
      <c r="D16" s="612">
        <v>96402</v>
      </c>
      <c r="E16" s="605"/>
      <c r="F16" s="611">
        <v>96402</v>
      </c>
      <c r="G16" s="612">
        <v>113168</v>
      </c>
      <c r="H16" s="605"/>
      <c r="I16" s="611">
        <v>113168</v>
      </c>
      <c r="J16" s="612">
        <v>128886</v>
      </c>
    </row>
    <row r="17" spans="1:10" x14ac:dyDescent="0.3">
      <c r="A17" s="610">
        <v>750000</v>
      </c>
      <c r="B17" s="605"/>
      <c r="C17" s="611">
        <v>111105</v>
      </c>
      <c r="D17" s="612">
        <v>132749</v>
      </c>
      <c r="E17" s="605"/>
      <c r="F17" s="611">
        <v>132749</v>
      </c>
      <c r="G17" s="612">
        <v>155836</v>
      </c>
      <c r="H17" s="605"/>
      <c r="I17" s="611">
        <v>155836</v>
      </c>
      <c r="J17" s="612">
        <v>177480</v>
      </c>
    </row>
    <row r="18" spans="1:10" x14ac:dyDescent="0.3">
      <c r="A18" s="610">
        <v>1000000</v>
      </c>
      <c r="B18" s="605"/>
      <c r="C18" s="611">
        <v>139347</v>
      </c>
      <c r="D18" s="612">
        <v>166493</v>
      </c>
      <c r="E18" s="605"/>
      <c r="F18" s="611">
        <v>166493</v>
      </c>
      <c r="G18" s="612">
        <v>195448</v>
      </c>
      <c r="H18" s="605"/>
      <c r="I18" s="611">
        <v>195448</v>
      </c>
      <c r="J18" s="612">
        <v>222594</v>
      </c>
    </row>
    <row r="19" spans="1:10" x14ac:dyDescent="0.3">
      <c r="A19" s="610">
        <v>1250000</v>
      </c>
      <c r="B19" s="605"/>
      <c r="C19" s="611">
        <v>166043</v>
      </c>
      <c r="D19" s="612">
        <v>198389</v>
      </c>
      <c r="E19" s="605"/>
      <c r="F19" s="611">
        <v>198389</v>
      </c>
      <c r="G19" s="612">
        <v>232891</v>
      </c>
      <c r="H19" s="605"/>
      <c r="I19" s="611">
        <v>232891</v>
      </c>
      <c r="J19" s="612">
        <v>265237</v>
      </c>
    </row>
    <row r="20" spans="1:10" x14ac:dyDescent="0.3">
      <c r="A20" s="610">
        <v>1500000</v>
      </c>
      <c r="B20" s="605"/>
      <c r="C20" s="611">
        <v>191545</v>
      </c>
      <c r="D20" s="612">
        <v>228859</v>
      </c>
      <c r="E20" s="605"/>
      <c r="F20" s="611">
        <v>228859</v>
      </c>
      <c r="G20" s="612">
        <v>268660</v>
      </c>
      <c r="H20" s="605"/>
      <c r="I20" s="611">
        <v>268660</v>
      </c>
      <c r="J20" s="612">
        <v>305974</v>
      </c>
    </row>
    <row r="21" spans="1:10" x14ac:dyDescent="0.3">
      <c r="A21" s="610">
        <v>2000000</v>
      </c>
      <c r="B21" s="605"/>
      <c r="C21" s="611">
        <v>239792</v>
      </c>
      <c r="D21" s="612">
        <v>286504</v>
      </c>
      <c r="E21" s="605"/>
      <c r="F21" s="611">
        <v>286504</v>
      </c>
      <c r="G21" s="612">
        <v>336331</v>
      </c>
      <c r="H21" s="605"/>
      <c r="I21" s="611">
        <v>336331</v>
      </c>
      <c r="J21" s="612">
        <v>383044</v>
      </c>
    </row>
    <row r="22" spans="1:10" x14ac:dyDescent="0.3">
      <c r="A22" s="610">
        <v>2500000</v>
      </c>
      <c r="B22" s="605"/>
      <c r="C22" s="611">
        <v>285649</v>
      </c>
      <c r="D22" s="612">
        <v>341295</v>
      </c>
      <c r="E22" s="605"/>
      <c r="F22" s="611">
        <v>341295</v>
      </c>
      <c r="G22" s="612">
        <v>400650</v>
      </c>
      <c r="H22" s="605"/>
      <c r="I22" s="611">
        <v>400650</v>
      </c>
      <c r="J22" s="612">
        <v>456296</v>
      </c>
    </row>
    <row r="23" spans="1:10" x14ac:dyDescent="0.3">
      <c r="A23" s="610">
        <v>3000000</v>
      </c>
      <c r="B23" s="605"/>
      <c r="C23" s="611">
        <v>329420</v>
      </c>
      <c r="D23" s="612">
        <v>393593</v>
      </c>
      <c r="E23" s="605"/>
      <c r="F23" s="611">
        <v>393593</v>
      </c>
      <c r="G23" s="612">
        <v>462044</v>
      </c>
      <c r="H23" s="605"/>
      <c r="I23" s="611">
        <v>462044</v>
      </c>
      <c r="J23" s="612">
        <v>526217</v>
      </c>
    </row>
    <row r="24" spans="1:10" x14ac:dyDescent="0.3">
      <c r="A24" s="610">
        <v>3500000</v>
      </c>
      <c r="B24" s="605"/>
      <c r="C24" s="611">
        <v>371491</v>
      </c>
      <c r="D24" s="612">
        <v>443859</v>
      </c>
      <c r="E24" s="605"/>
      <c r="F24" s="611">
        <v>443859</v>
      </c>
      <c r="G24" s="612">
        <v>521052</v>
      </c>
      <c r="H24" s="605"/>
      <c r="I24" s="611">
        <v>521052</v>
      </c>
      <c r="J24" s="612">
        <v>593420</v>
      </c>
    </row>
    <row r="25" spans="1:10" ht="15.2" thickBot="1" x14ac:dyDescent="0.35">
      <c r="A25" s="610">
        <v>4000000</v>
      </c>
      <c r="B25" s="614"/>
      <c r="C25" s="611">
        <v>412126</v>
      </c>
      <c r="D25" s="612">
        <v>492410</v>
      </c>
      <c r="E25" s="615"/>
      <c r="F25" s="611">
        <v>492410</v>
      </c>
      <c r="G25" s="612">
        <v>578046</v>
      </c>
      <c r="H25" s="605"/>
      <c r="I25" s="611">
        <v>578046</v>
      </c>
      <c r="J25" s="612">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Gebäudeautomation!H8</f>
        <v>166622</v>
      </c>
      <c r="H62" s="1648"/>
      <c r="I62" s="1647">
        <f>Gebäudeautomation!L8</f>
        <v>0</v>
      </c>
      <c r="J62" s="1648"/>
      <c r="K62" s="1647">
        <f>Gebäudeautomation!P8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Gebäudeautomation!F15</f>
        <v>1</v>
      </c>
      <c r="H64" s="1463"/>
      <c r="J64" s="1643"/>
      <c r="K64" s="1643"/>
      <c r="L64" s="642"/>
      <c r="M64" s="645"/>
      <c r="N64" s="626"/>
      <c r="O64" s="626"/>
      <c r="P64" s="626"/>
      <c r="Q64" s="627"/>
    </row>
    <row r="65" spans="1:17" x14ac:dyDescent="0.3">
      <c r="A65" s="629"/>
      <c r="B65" s="1422" t="s">
        <v>317</v>
      </c>
      <c r="C65" s="1423"/>
      <c r="D65" s="1423"/>
      <c r="E65" s="1424"/>
      <c r="F65" s="644"/>
      <c r="G65" s="1462" t="str">
        <f>Gebäudeautomation!F16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649" t="s">
        <v>316</v>
      </c>
      <c r="F70" s="646"/>
      <c r="G70" s="647" t="s">
        <v>328</v>
      </c>
      <c r="H70" s="648">
        <f>IF(G62&lt;$A$6,0,IF(G62&gt;$A$44,0,VLOOKUP(G62,$A$6:$A$44,1)))</f>
        <v>150000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651"/>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597">
        <v>1</v>
      </c>
      <c r="F72" s="603"/>
      <c r="G72" s="648">
        <f>IF(G62&lt;$A$6,0,IF(G62&gt;$A$44,0,VLOOKUP(H70,$A$6:$J$44,3)))</f>
        <v>31228</v>
      </c>
      <c r="H72" s="648">
        <f>IF(G62&lt;$A$6,0,IF(G62&gt;$A$44,0,VLOOKUP(G72,$C$6:$D$44,2)))</f>
        <v>37311</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597">
        <v>2</v>
      </c>
      <c r="F73" s="603"/>
      <c r="G73" s="648">
        <f>IF(G62&lt;$A$6,0,IF(G62&gt;$A$44,0,VLOOKUP(H70,$A$6:$J$44,6)))</f>
        <v>37311</v>
      </c>
      <c r="H73" s="648">
        <f>IF(G62&lt;$A$6,0,IF(G62&gt;$A$44,0,VLOOKUP(G73,$F$6:$G$44,2)))</f>
        <v>43800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597">
        <v>3</v>
      </c>
      <c r="F74" s="603"/>
      <c r="G74" s="648">
        <f>IF(G62&lt;$A$6,0,IF(G62&gt;$A$44,0,VLOOKUP(H70,$A$6:$J$44,9)))</f>
        <v>43800</v>
      </c>
      <c r="H74" s="648">
        <f>IF(G62&lt;$A$6,0,IF(G62&gt;$A$44,0,VLOOKUP(G74,$I$6:$J$44,2)))</f>
        <v>49883</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652"/>
      <c r="E75" s="603"/>
      <c r="F75" s="603"/>
      <c r="G75" s="653"/>
      <c r="H75" s="651"/>
      <c r="I75" s="641"/>
      <c r="J75" s="641"/>
      <c r="K75" s="641"/>
      <c r="L75" s="654"/>
      <c r="M75" s="641"/>
      <c r="N75" s="627"/>
      <c r="O75" s="627"/>
      <c r="P75" s="627"/>
      <c r="Q75" s="627"/>
    </row>
    <row r="76" spans="1:17" x14ac:dyDescent="0.3">
      <c r="A76" s="629"/>
      <c r="B76" s="708"/>
      <c r="C76" s="709"/>
      <c r="D76" s="1397" t="s">
        <v>925</v>
      </c>
      <c r="E76" s="1649" t="s">
        <v>316</v>
      </c>
      <c r="F76" s="603"/>
      <c r="G76" s="647" t="s">
        <v>328</v>
      </c>
      <c r="H76" s="648">
        <f>IF(G62&lt;$A$6,0,IF(G62&gt;$A$44,0,INDEX($A$6:$A$44,MATCH(G62,$A$6:$A$44,1)+1,1)))</f>
        <v>250000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651"/>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597">
        <v>1</v>
      </c>
      <c r="F78" s="603"/>
      <c r="G78" s="648">
        <f>IF(G62&lt;$A$6,0,IF(G62&gt;$A$44,0,VLOOKUP(H76,$A$6:$J$44,3)))</f>
        <v>46640</v>
      </c>
      <c r="H78" s="648">
        <f>IF(G62&lt;$A$6,0,IF(G62&gt;$A$44,0,VLOOKUP(G78,$C$6:$D$44,2)))</f>
        <v>55726</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597">
        <v>2</v>
      </c>
      <c r="F79" s="603"/>
      <c r="G79" s="648">
        <f>IF(G62&lt;$A$6,0,IF(G62&gt;$A$44,0,VLOOKUP(H76,$A$6:$J$44,6)))</f>
        <v>55726</v>
      </c>
      <c r="H79" s="648">
        <f>IF(G62&lt;$A$6,0,IF(G62&gt;$A$44,0,VLOOKUP(G79,$F$6:$G$44,2)))</f>
        <v>65418</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597">
        <v>3</v>
      </c>
      <c r="F80" s="603"/>
      <c r="G80" s="648">
        <f>IF(G62&lt;$A$6,0,IF(G62&gt;$A$44,0,VLOOKUP(H76,$A$6:$J$44,9)))</f>
        <v>65418</v>
      </c>
      <c r="H80" s="648">
        <f>IF(G62&lt;$A$6,0,IF(G62&gt;$A$44,0,VLOOKUP(G80,$I$6:$J$44,2)))</f>
        <v>74504</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31228</v>
      </c>
      <c r="H85" s="655">
        <f>VLOOKUP(G64,E72:H74,4)</f>
        <v>37311</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46640</v>
      </c>
      <c r="H86" s="655">
        <f>VLOOKUP(G64,E78:H80,4)</f>
        <v>55726</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15412</v>
      </c>
      <c r="H87" s="657">
        <f t="shared" si="2"/>
        <v>18415</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16622</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31228</v>
      </c>
      <c r="H93" s="655">
        <f t="shared" si="3"/>
        <v>37311</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16622</v>
      </c>
      <c r="H94" s="655">
        <f>G88</f>
        <v>16622</v>
      </c>
      <c r="I94" s="655">
        <f>I88</f>
        <v>0</v>
      </c>
      <c r="J94" s="655">
        <f>I88</f>
        <v>0</v>
      </c>
      <c r="K94" s="655">
        <f>K88</f>
        <v>0</v>
      </c>
      <c r="L94" s="655">
        <f>K88</f>
        <v>0</v>
      </c>
      <c r="M94" s="656"/>
    </row>
    <row r="95" spans="1:17" x14ac:dyDescent="0.3">
      <c r="A95" s="629"/>
      <c r="B95" s="1416" t="s">
        <v>336</v>
      </c>
      <c r="C95" s="1416"/>
      <c r="D95" s="1416"/>
      <c r="E95" s="1416"/>
      <c r="F95" s="660"/>
      <c r="G95" s="655">
        <f t="shared" ref="G95:L95" si="4">G87</f>
        <v>15412</v>
      </c>
      <c r="H95" s="655">
        <f t="shared" si="4"/>
        <v>18415</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100000</v>
      </c>
      <c r="H96" s="655">
        <f>H76-H70</f>
        <v>100000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33789.782639999998</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35435.322304999994</v>
      </c>
      <c r="I99" s="603"/>
      <c r="J99" s="667">
        <f>((J102-J98)*0.25)+J98</f>
        <v>0</v>
      </c>
      <c r="K99" s="603"/>
      <c r="L99" s="667">
        <f>((L102-L98)*0.25)+L98</f>
        <v>0</v>
      </c>
      <c r="M99" s="641"/>
    </row>
    <row r="100" spans="1:13" x14ac:dyDescent="0.3">
      <c r="A100" s="629"/>
      <c r="B100" s="666"/>
      <c r="C100" s="647"/>
      <c r="D100" s="663" t="s">
        <v>319</v>
      </c>
      <c r="E100" s="664"/>
      <c r="F100" s="656"/>
      <c r="G100" s="603"/>
      <c r="H100" s="667">
        <f>(H102+H98)/2</f>
        <v>37080.861969999998</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38726.401635000002</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40371.941299999999</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33789.782639999998</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IF(Gebäudeautomation!$T39="ja",Gebäudeautomation!J39,0)</f>
        <v>0</v>
      </c>
      <c r="D109" s="1639"/>
      <c r="E109" s="1669">
        <f>IF(Gebäudeautomation!T39="ja",Gebäudeautomation!L54,0)</f>
        <v>0</v>
      </c>
      <c r="F109" s="1639"/>
      <c r="G109" s="681">
        <f>C109*1.1+E109</f>
        <v>0</v>
      </c>
    </row>
    <row r="110" spans="1:13" x14ac:dyDescent="0.3">
      <c r="B110" s="682">
        <v>2</v>
      </c>
      <c r="C110" s="1408">
        <f>IF(Gebäudeautomation!T55="ja",Gebäudeautomation!J55,0)</f>
        <v>0</v>
      </c>
      <c r="D110" s="1409"/>
      <c r="E110" s="1670">
        <f>IF(Gebäudeautomation!T55="ja",Gebäudeautomation!L78,0)</f>
        <v>0</v>
      </c>
      <c r="F110" s="1409"/>
      <c r="G110" s="681">
        <f t="shared" ref="G110:G122" si="5">C110*1.1+E110</f>
        <v>0</v>
      </c>
    </row>
    <row r="111" spans="1:13" x14ac:dyDescent="0.3">
      <c r="B111" s="682">
        <v>3</v>
      </c>
      <c r="C111" s="1408">
        <f>IF(Gebäudeautomation!T82="ja",Gebäudeautomation!J82,0)</f>
        <v>0</v>
      </c>
      <c r="D111" s="1409"/>
      <c r="E111" s="1670">
        <f>IF(Gebäudeautomation!T82="ja",Gebäudeautomation!L115,0)</f>
        <v>0</v>
      </c>
      <c r="F111" s="1409"/>
      <c r="G111" s="681">
        <f t="shared" si="5"/>
        <v>0</v>
      </c>
    </row>
    <row r="112" spans="1:13" x14ac:dyDescent="0.3">
      <c r="B112" s="682">
        <v>4</v>
      </c>
      <c r="C112" s="1408">
        <f>IF(Gebäudeautomation!$T119="ja",Gebäudeautomation!J119,0)</f>
        <v>0</v>
      </c>
      <c r="D112" s="1409"/>
      <c r="E112" s="1670">
        <f>IF(Gebäudeautomation!T119="ja",Gebäudeautomation!L127,0)</f>
        <v>0</v>
      </c>
      <c r="F112" s="1409"/>
      <c r="G112" s="681">
        <f t="shared" si="5"/>
        <v>0</v>
      </c>
    </row>
    <row r="113" spans="2:7" x14ac:dyDescent="0.3">
      <c r="B113" s="682" t="s">
        <v>351</v>
      </c>
      <c r="C113" s="1408">
        <f>IF(Gebäudeautomation!$T128="ja",Gebäudeautomation!J128,0)</f>
        <v>0</v>
      </c>
      <c r="D113" s="1409"/>
      <c r="E113" s="1670">
        <f>IF(Gebäudeautomation!T128="ja",Gebäudeautomation!R128+Gebäudeautomation!R131,0)</f>
        <v>0</v>
      </c>
      <c r="F113" s="1409"/>
      <c r="G113" s="681">
        <f t="shared" si="5"/>
        <v>0</v>
      </c>
    </row>
    <row r="114" spans="2:7" x14ac:dyDescent="0.3">
      <c r="B114" s="682" t="s">
        <v>352</v>
      </c>
      <c r="C114" s="1408">
        <f>IF(Gebäudeautomation!$T133="ja",Gebäudeautomation!J133,0)</f>
        <v>0</v>
      </c>
      <c r="D114" s="1409"/>
      <c r="E114" s="1670">
        <f>IF(Gebäudeautomation!T133="ja",Gebäudeautomation!R133+Gebäudeautomation!R136+Gebäudeautomation!R139+Gebäudeautomation!R142,0)</f>
        <v>0</v>
      </c>
      <c r="F114" s="1409"/>
      <c r="G114" s="681">
        <f t="shared" si="5"/>
        <v>0</v>
      </c>
    </row>
    <row r="115" spans="2:7" x14ac:dyDescent="0.3">
      <c r="B115" s="682" t="s">
        <v>353</v>
      </c>
      <c r="C115" s="1408">
        <f>IF(Gebäudeautomation!$T143="ja",Gebäudeautomation!J143,0)</f>
        <v>0</v>
      </c>
      <c r="D115" s="1409"/>
      <c r="E115" s="1670">
        <f>IF(Gebäudeautomation!T143="ja",Gebäudeautomation!R143,0)</f>
        <v>0</v>
      </c>
      <c r="F115" s="1409"/>
      <c r="G115" s="681">
        <f t="shared" si="5"/>
        <v>0</v>
      </c>
    </row>
    <row r="116" spans="2:7" x14ac:dyDescent="0.3">
      <c r="B116" s="682" t="s">
        <v>354</v>
      </c>
      <c r="C116" s="1408">
        <f>IF(Gebäudeautomation!$T144="ja",Gebäudeautomation!J144,0)</f>
        <v>0</v>
      </c>
      <c r="D116" s="1409"/>
      <c r="E116" s="1670">
        <f>IF(Gebäudeautomation!T144="ja",Gebäudeautomation!R144,0)</f>
        <v>0</v>
      </c>
      <c r="F116" s="1409"/>
      <c r="G116" s="681">
        <f t="shared" si="5"/>
        <v>0</v>
      </c>
    </row>
    <row r="117" spans="2:7" x14ac:dyDescent="0.3">
      <c r="B117" s="682" t="s">
        <v>355</v>
      </c>
      <c r="C117" s="1408">
        <f>IF(Gebäudeautomation!$T145="ja",Gebäudeautomation!J145,0)</f>
        <v>0</v>
      </c>
      <c r="D117" s="1409"/>
      <c r="E117" s="1670">
        <f>IF(Gebäudeautomation!T145="ja",Gebäudeautomation!R145+Gebäudeautomation!R148,0)</f>
        <v>0</v>
      </c>
      <c r="F117" s="1409"/>
      <c r="G117" s="681">
        <f t="shared" si="5"/>
        <v>0</v>
      </c>
    </row>
    <row r="118" spans="2:7" x14ac:dyDescent="0.3">
      <c r="B118" s="682" t="s">
        <v>356</v>
      </c>
      <c r="C118" s="1408">
        <f>IF(Gebäudeautomation!$T150="ja",Gebäudeautomation!J150,0)</f>
        <v>0</v>
      </c>
      <c r="D118" s="1409"/>
      <c r="E118" s="1670">
        <f>IF(Gebäudeautomation!T150="ja",Gebäudeautomation!R150,0)</f>
        <v>0</v>
      </c>
      <c r="F118" s="1409"/>
      <c r="G118" s="681">
        <f t="shared" si="5"/>
        <v>0</v>
      </c>
    </row>
    <row r="119" spans="2:7" x14ac:dyDescent="0.3">
      <c r="B119" s="683">
        <v>6</v>
      </c>
      <c r="C119" s="1408">
        <f>IF(Gebäudeautomation!$T154="ja",Gebäudeautomation!J154,0)</f>
        <v>0</v>
      </c>
      <c r="D119" s="1409"/>
      <c r="E119" s="1670">
        <f>IF(Gebäudeautomation!T154="ja",Gebäudeautomation!L177,0)</f>
        <v>0</v>
      </c>
      <c r="F119" s="1409"/>
      <c r="G119" s="681">
        <f t="shared" si="5"/>
        <v>0</v>
      </c>
    </row>
    <row r="120" spans="2:7" x14ac:dyDescent="0.3">
      <c r="B120" s="683">
        <v>7</v>
      </c>
      <c r="C120" s="1408">
        <f>IF(Gebäudeautomation!$T178="ja",Gebäudeautomation!J178,0)</f>
        <v>0</v>
      </c>
      <c r="D120" s="1409"/>
      <c r="E120" s="1670">
        <f>IF(Gebäudeautomation!T178="ja",Gebäudeautomation!L192,0)</f>
        <v>0</v>
      </c>
      <c r="F120" s="1409"/>
      <c r="G120" s="681">
        <f t="shared" si="5"/>
        <v>0</v>
      </c>
    </row>
    <row r="121" spans="2:7" x14ac:dyDescent="0.3">
      <c r="B121" s="683">
        <v>8</v>
      </c>
      <c r="C121" s="1408">
        <f>IF(Gebäudeautomation!$T193="ja",Gebäudeautomation!J193,0)</f>
        <v>0</v>
      </c>
      <c r="D121" s="1409"/>
      <c r="E121" s="1670">
        <f>IF(Gebäudeautomation!T193="ja",Gebäudeautomation!L234,0)</f>
        <v>0</v>
      </c>
      <c r="F121" s="1409"/>
      <c r="G121" s="681">
        <f t="shared" si="5"/>
        <v>0</v>
      </c>
    </row>
    <row r="122" spans="2:7" ht="15.2" thickBot="1" x14ac:dyDescent="0.35">
      <c r="B122" s="684">
        <v>9</v>
      </c>
      <c r="C122" s="1674">
        <f>IF(Gebäudeautomation!$T235="ja",Gebäudeautomation!J235,0)</f>
        <v>0</v>
      </c>
      <c r="D122" s="1675"/>
      <c r="E122" s="1676">
        <f>IF(Gebäudeautomation!T235="ja",Gebäudeautomation!L244,0)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C123*Gebäudeautomation!F23+C123</f>
        <v>0</v>
      </c>
      <c r="D125" s="1658"/>
      <c r="E125" s="1657"/>
      <c r="F125" s="1658"/>
    </row>
    <row r="128" spans="2:7" x14ac:dyDescent="0.3">
      <c r="B128" s="594" t="s">
        <v>463</v>
      </c>
      <c r="D128" s="687">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688" t="s">
        <v>105</v>
      </c>
      <c r="C134" s="689" t="s">
        <v>285</v>
      </c>
      <c r="D134" s="690" t="s">
        <v>286</v>
      </c>
      <c r="E134" s="690" t="s">
        <v>287</v>
      </c>
      <c r="F134" s="690" t="s">
        <v>288</v>
      </c>
      <c r="G134" s="690" t="s">
        <v>289</v>
      </c>
      <c r="H134" s="690" t="s">
        <v>290</v>
      </c>
      <c r="I134" s="690" t="s">
        <v>291</v>
      </c>
      <c r="J134" s="690" t="s">
        <v>292</v>
      </c>
      <c r="K134" s="690" t="s">
        <v>293</v>
      </c>
      <c r="L134" s="690" t="s">
        <v>294</v>
      </c>
      <c r="M134" s="690" t="s">
        <v>295</v>
      </c>
      <c r="N134" s="690" t="s">
        <v>296</v>
      </c>
      <c r="O134" s="690" t="s">
        <v>297</v>
      </c>
      <c r="P134" s="690" t="s">
        <v>359</v>
      </c>
      <c r="Q134" s="691" t="s">
        <v>360</v>
      </c>
    </row>
    <row r="135" spans="2:17" x14ac:dyDescent="0.3">
      <c r="B135" s="692">
        <f>IF(Überblick!$H$53&gt;=1,1,"")</f>
        <v>1</v>
      </c>
      <c r="C135" s="693">
        <f>IF($B135=Gebäudeautomation!$U$39,Gebäudeautomation!$J$39*Gebäudeautomation!$F$23+Gebäudeautomation!$J$39+Gebäudeautomation!$L$54,0)</f>
        <v>0</v>
      </c>
      <c r="D135" s="694">
        <f>IF($B135=Gebäudeautomation!$U$55,Gebäudeautomation!$J$55*Gebäudeautomation!$F$23+Gebäudeautomation!$J$55+Gebäudeautomation!$L$78,0)</f>
        <v>0</v>
      </c>
      <c r="E135" s="694">
        <f>IF($B135=Gebäudeautomation!$U$82,Gebäudeautomation!$J$82*Gebäudeautomation!$F$23+Gebäudeautomation!$J$82+Gebäudeautomation!$L$115,0)</f>
        <v>0</v>
      </c>
      <c r="F135" s="694">
        <f>IF($B135=Gebäudeautomation!$U$119,Gebäudeautomation!$J$119*Gebäudeautomation!$F$23+Gebäudeautomation!$J$119+Gebäudeautomation!$L$127,0)</f>
        <v>0</v>
      </c>
      <c r="G135" s="694">
        <f>IF($B135=Gebäudeautomation!$U$128,Gebäudeautomation!$J$128*Gebäudeautomation!$F$23+Gebäudeautomation!$J$128+Gebäudeautomation!$R$128+Gebäudeautomation!$R$131,0)</f>
        <v>0</v>
      </c>
      <c r="H135" s="694">
        <f>IF($B135=Gebäudeautomation!$U$133,Gebäudeautomation!$J$133*Gebäudeautomation!$F$23+Gebäudeautomation!$J$133+Gebäudeautomation!$R$133+Gebäudeautomation!$R$136+Gebäudeautomation!$R$139+Gebäudeautomation!$R$142,0)</f>
        <v>0</v>
      </c>
      <c r="I135" s="694">
        <f>IF($B135=Gebäudeautomation!$U$143,Gebäudeautomation!$J$143*Gebäudeautomation!$F$23+Gebäudeautomation!$J$143+Gebäudeautomation!$R$143,0)</f>
        <v>0</v>
      </c>
      <c r="J135" s="694">
        <f>IF($B135=Gebäudeautomation!$U$144,Gebäudeautomation!$J$144*Gebäudeautomation!$F$23+Gebäudeautomation!$J$144+Gebäudeautomation!$R$144,0)</f>
        <v>0</v>
      </c>
      <c r="K135" s="694">
        <f>IF($B135=Gebäudeautomation!$U$145,Gebäudeautomation!$J$145*Gebäudeautomation!$F$23+Gebäudeautomation!$J$145+Gebäudeautomation!$R$145+Gebäudeautomation!$R$148,0)</f>
        <v>0</v>
      </c>
      <c r="L135" s="694">
        <f>IF($B135=Gebäudeautomation!$U$150,Gebäudeautomation!$J$150*Gebäudeautomation!$F$23+Gebäudeautomation!$J$150+Gebäudeautomation!$R$150,0)</f>
        <v>0</v>
      </c>
      <c r="M135" s="694">
        <f>IF($B135=Gebäudeautomation!$U$154,Gebäudeautomation!$J$154*Gebäudeautomation!$F$23+Gebäudeautomation!$J$154+Gebäudeautomation!$L$177,0)</f>
        <v>0</v>
      </c>
      <c r="N135" s="694">
        <f>IF($B135=Gebäudeautomation!$U$178,Gebäudeautomation!$J$178*Gebäudeautomation!$F$23+Gebäudeautomation!$J$178+Gebäudeautomation!$L$192,0)</f>
        <v>0</v>
      </c>
      <c r="O135" s="694">
        <f>IF($B135=Gebäudeautomation!$U$193,Gebäudeautomation!$J$193*Gebäudeautomation!$F$23+Gebäudeautomation!$J$193+Gebäudeautomation!$L$234,0)</f>
        <v>0</v>
      </c>
      <c r="P135" s="694">
        <f>IF($B135=Gebäudeautomation!$U$235,Gebäudeautomation!$J$235*Gebäudeautomation!$F$23+Gebäudeautomation!$J$235+Gebäudeautomation!$L$244,0)</f>
        <v>0</v>
      </c>
      <c r="Q135" s="695">
        <f>SUM(C135:P135)</f>
        <v>0</v>
      </c>
    </row>
    <row r="136" spans="2:17" x14ac:dyDescent="0.3">
      <c r="B136" s="696">
        <f>IF(Überblick!$H$53&gt;=2,2,"")</f>
        <v>2</v>
      </c>
      <c r="C136" s="697">
        <f>IF($B136=Gebäudeautomation!$U$39,Gebäudeautomation!$J$39*Gebäudeautomation!$F$23+Gebäudeautomation!$J$39+Gebäudeautomation!$L$54,0)</f>
        <v>0</v>
      </c>
      <c r="D136" s="698">
        <f>IF($B136=Gebäudeautomation!$U$55,Gebäudeautomation!$J$55*Gebäudeautomation!$F$23+Gebäudeautomation!$J$55+Gebäudeautomation!$L$78,0)</f>
        <v>0</v>
      </c>
      <c r="E136" s="698">
        <f>IF($B136=Gebäudeautomation!$U$82,Gebäudeautomation!$J$82*Gebäudeautomation!$F$23+Gebäudeautomation!$J$82+Gebäudeautomation!$L$115,0)</f>
        <v>0</v>
      </c>
      <c r="F136" s="698">
        <f>IF($B136=Gebäudeautomation!$U$119,Gebäudeautomation!$J$119*Gebäudeautomation!$F$23+Gebäudeautomation!$J$119+Gebäudeautomation!$L$127,0)</f>
        <v>0</v>
      </c>
      <c r="G136" s="698">
        <f>IF($B136=Gebäudeautomation!$U$128,Gebäudeautomation!$J$128*Gebäudeautomation!$F$23+Gebäudeautomation!$J$128+Gebäudeautomation!$R$128+Gebäudeautomation!$R$131,0)</f>
        <v>0</v>
      </c>
      <c r="H136" s="698">
        <f>IF($B136=Gebäudeautomation!$U$133,Gebäudeautomation!$J$133*Gebäudeautomation!$F$23+Gebäudeautomation!$J$133+Gebäudeautomation!$R$133+Gebäudeautomation!$R$136+Gebäudeautomation!$R$139+Gebäudeautomation!$R$142,0)</f>
        <v>0</v>
      </c>
      <c r="I136" s="698">
        <f>IF($B136=Gebäudeautomation!$U$143,Gebäudeautomation!$J$143*Gebäudeautomation!$F$23+Gebäudeautomation!$J$143+Gebäudeautomation!$R$143,0)</f>
        <v>0</v>
      </c>
      <c r="J136" s="698">
        <f>IF($B136=Gebäudeautomation!$U$144,Gebäudeautomation!$J$144*Gebäudeautomation!$F$23+Gebäudeautomation!$J$144+Gebäudeautomation!$R$144,0)</f>
        <v>0</v>
      </c>
      <c r="K136" s="698">
        <f>IF($B136=Gebäudeautomation!$U$145,Gebäudeautomation!$J$145*Gebäudeautomation!$F$23+Gebäudeautomation!$J$145+Gebäudeautomation!$R$145+Gebäudeautomation!$R$148,0)</f>
        <v>0</v>
      </c>
      <c r="L136" s="698">
        <f>IF($B136=Gebäudeautomation!$U$150,Gebäudeautomation!$J$150*Gebäudeautomation!$F$23+Gebäudeautomation!$J$150+Gebäudeautomation!$R$150,0)</f>
        <v>0</v>
      </c>
      <c r="M136" s="698">
        <f>IF($B136=Gebäudeautomation!$U$154,Gebäudeautomation!$J$154*Gebäudeautomation!$F$23+Gebäudeautomation!$J$154+Gebäudeautomation!$L$177,0)</f>
        <v>0</v>
      </c>
      <c r="N136" s="698">
        <f>IF($B136=Gebäudeautomation!$U$178,Gebäudeautomation!$J$178*Gebäudeautomation!$F$23+Gebäudeautomation!$J$178+Gebäudeautomation!$L$192,0)</f>
        <v>0</v>
      </c>
      <c r="O136" s="698">
        <f>IF($B136=Gebäudeautomation!$U$193,Gebäudeautomation!$J$193*Gebäudeautomation!$F$23+Gebäudeautomation!$J$193+Gebäudeautomation!$L$234,0)</f>
        <v>0</v>
      </c>
      <c r="P136" s="698">
        <f>IF($B136=Gebäudeautomation!$U$235,Gebäudeautomation!$J$235*Gebäudeautomation!$F$23+Gebäudeautomation!$J$235+Gebäudeautomation!$L$244,0)</f>
        <v>0</v>
      </c>
      <c r="Q136" s="699">
        <f t="shared" ref="Q136:Q142" si="6">SUM(C136:P136)</f>
        <v>0</v>
      </c>
    </row>
    <row r="137" spans="2:17" x14ac:dyDescent="0.3">
      <c r="B137" s="696">
        <f>IF(Überblick!$H$53&gt;=3,3,"")</f>
        <v>3</v>
      </c>
      <c r="C137" s="697">
        <f>IF($B137=Gebäudeautomation!$U$39,Gebäudeautomation!$J$39*Gebäudeautomation!$F$23+Gebäudeautomation!$J$39+Gebäudeautomation!$L$54,0)</f>
        <v>0</v>
      </c>
      <c r="D137" s="698">
        <f>IF($B137=Gebäudeautomation!$U$55,Gebäudeautomation!$J$55*Gebäudeautomation!$F$23+Gebäudeautomation!$J$55+Gebäudeautomation!$L$78,0)</f>
        <v>0</v>
      </c>
      <c r="E137" s="698">
        <f>IF($B137=Gebäudeautomation!$U$82,Gebäudeautomation!$J$82*Gebäudeautomation!$F$23+Gebäudeautomation!$J$82+Gebäudeautomation!$L$115,0)</f>
        <v>0</v>
      </c>
      <c r="F137" s="698">
        <f>IF($B137=Gebäudeautomation!$U$119,Gebäudeautomation!$J$119*Gebäudeautomation!$F$23+Gebäudeautomation!$J$119+Gebäudeautomation!$L$127,0)</f>
        <v>0</v>
      </c>
      <c r="G137" s="698">
        <f>IF($B137=Gebäudeautomation!$U$128,Gebäudeautomation!$J$128*Gebäudeautomation!$F$23+Gebäudeautomation!$J$128+Gebäudeautomation!$R$128+Gebäudeautomation!$R$131,0)</f>
        <v>0</v>
      </c>
      <c r="H137" s="698">
        <f>IF($B137=Gebäudeautomation!$U$133,Gebäudeautomation!$J$133*Gebäudeautomation!$F$23+Gebäudeautomation!$J$133+Gebäudeautomation!$R$133+Gebäudeautomation!$R$136+Gebäudeautomation!$R$139+Gebäudeautomation!$R$142,0)</f>
        <v>0</v>
      </c>
      <c r="I137" s="698">
        <f>IF($B137=Gebäudeautomation!$U$143,Gebäudeautomation!$J$143*Gebäudeautomation!$F$23+Gebäudeautomation!$J$143+Gebäudeautomation!$R$143,0)</f>
        <v>0</v>
      </c>
      <c r="J137" s="698">
        <f>IF($B137=Gebäudeautomation!$U$144,Gebäudeautomation!$J$144*Gebäudeautomation!$F$23+Gebäudeautomation!$J$144+Gebäudeautomation!$R$144,0)</f>
        <v>0</v>
      </c>
      <c r="K137" s="698">
        <f>IF($B137=Gebäudeautomation!$U$145,Gebäudeautomation!$J$145*Gebäudeautomation!$F$23+Gebäudeautomation!$J$145+Gebäudeautomation!$R$145+Gebäudeautomation!$R$148,0)</f>
        <v>0</v>
      </c>
      <c r="L137" s="698">
        <f>IF($B137=Gebäudeautomation!$U$150,Gebäudeautomation!$J$150*Gebäudeautomation!$F$23+Gebäudeautomation!$J$150+Gebäudeautomation!$R$150,0)</f>
        <v>0</v>
      </c>
      <c r="M137" s="698">
        <f>IF($B137=Gebäudeautomation!$U$154,Gebäudeautomation!$J$154*Gebäudeautomation!$F$23+Gebäudeautomation!$J$154+Gebäudeautomation!$L$177,0)</f>
        <v>0</v>
      </c>
      <c r="N137" s="698">
        <f>IF($B137=Gebäudeautomation!$U$178,Gebäudeautomation!$J$178*Gebäudeautomation!$F$23+Gebäudeautomation!$J$178+Gebäudeautomation!$L$192,0)</f>
        <v>0</v>
      </c>
      <c r="O137" s="698">
        <f>IF($B137=Gebäudeautomation!$U$193,Gebäudeautomation!$J$193*Gebäudeautomation!$F$23+Gebäudeautomation!$J$193+Gebäudeautomation!$L$234,0)</f>
        <v>0</v>
      </c>
      <c r="P137" s="698">
        <f>IF($B137=Gebäudeautomation!$U$235,Gebäudeautomation!$J$235*Gebäudeautomation!$F$23+Gebäudeautomation!$J$235+Gebäudeautomation!$L$244,0)</f>
        <v>0</v>
      </c>
      <c r="Q137" s="699">
        <f t="shared" si="6"/>
        <v>0</v>
      </c>
    </row>
    <row r="138" spans="2:17" x14ac:dyDescent="0.3">
      <c r="B138" s="696">
        <f>IF(Überblick!$H$53&gt;=4,4,"")</f>
        <v>4</v>
      </c>
      <c r="C138" s="697">
        <f>IF($B138=Gebäudeautomation!$U$39,Gebäudeautomation!$J$39*Gebäudeautomation!$F$23+Gebäudeautomation!$J$39+Gebäudeautomation!$L$54,0)</f>
        <v>0</v>
      </c>
      <c r="D138" s="698">
        <f>IF($B138=Gebäudeautomation!$U$55,Gebäudeautomation!$J$55*Gebäudeautomation!$F$23+Gebäudeautomation!$J$55+Gebäudeautomation!$L$78,0)</f>
        <v>0</v>
      </c>
      <c r="E138" s="698">
        <f>IF($B138=Gebäudeautomation!$U$82,Gebäudeautomation!$J$82*Gebäudeautomation!$F$23+Gebäudeautomation!$J$82+Gebäudeautomation!$L$115,0)</f>
        <v>0</v>
      </c>
      <c r="F138" s="698">
        <f>IF($B138=Gebäudeautomation!$U$119,Gebäudeautomation!$J$119*Gebäudeautomation!$F$23+Gebäudeautomation!$J$119+Gebäudeautomation!$L$127,0)</f>
        <v>0</v>
      </c>
      <c r="G138" s="698">
        <f>IF($B138=Gebäudeautomation!$U$128,Gebäudeautomation!$J$128*Gebäudeautomation!$F$23+Gebäudeautomation!$J$128+Gebäudeautomation!$R$128+Gebäudeautomation!$R$131,0)</f>
        <v>0</v>
      </c>
      <c r="H138" s="698">
        <f>IF($B138=Gebäudeautomation!$U$133,Gebäudeautomation!$J$133*Gebäudeautomation!$F$23+Gebäudeautomation!$J$133+Gebäudeautomation!$R$133+Gebäudeautomation!$R$136+Gebäudeautomation!$R$139+Gebäudeautomation!$R$142,0)</f>
        <v>0</v>
      </c>
      <c r="I138" s="698">
        <f>IF($B138=Gebäudeautomation!$U$143,Gebäudeautomation!$J$143*Gebäudeautomation!$F$23+Gebäudeautomation!$J$143+Gebäudeautomation!$R$143,0)</f>
        <v>0</v>
      </c>
      <c r="J138" s="698">
        <f>IF($B138=Gebäudeautomation!$U$144,Gebäudeautomation!$J$144*Gebäudeautomation!$F$23+Gebäudeautomation!$J$144+Gebäudeautomation!$R$144,0)</f>
        <v>0</v>
      </c>
      <c r="K138" s="698">
        <f>IF($B138=Gebäudeautomation!$U$145,Gebäudeautomation!$J$145*Gebäudeautomation!$F$23+Gebäudeautomation!$J$145+Gebäudeautomation!$R$145+Gebäudeautomation!$R$148,0)</f>
        <v>0</v>
      </c>
      <c r="L138" s="698">
        <f>IF($B138=Gebäudeautomation!$U$150,Gebäudeautomation!$J$150*Gebäudeautomation!$F$23+Gebäudeautomation!$J$150+Gebäudeautomation!$R$150,0)</f>
        <v>0</v>
      </c>
      <c r="M138" s="698">
        <f>IF($B138=Gebäudeautomation!$U$154,Gebäudeautomation!$J$154*Gebäudeautomation!$F$23+Gebäudeautomation!$J$154+Gebäudeautomation!$L$177,0)</f>
        <v>0</v>
      </c>
      <c r="N138" s="698">
        <f>IF($B138=Gebäudeautomation!$U$178,Gebäudeautomation!$J$178*Gebäudeautomation!$F$23+Gebäudeautomation!$J$178+Gebäudeautomation!$L$192,0)</f>
        <v>0</v>
      </c>
      <c r="O138" s="698">
        <f>IF($B138=Gebäudeautomation!$U$193,Gebäudeautomation!$J$193*Gebäudeautomation!$F$23+Gebäudeautomation!$J$193+Gebäudeautomation!$L$234,0)</f>
        <v>0</v>
      </c>
      <c r="P138" s="698">
        <f>IF($B138=Gebäudeautomation!$U$235,Gebäudeautomation!$J$235*Gebäudeautomation!$F$23+Gebäudeautomation!$J$235+Gebäudeautomation!$L$244,0)</f>
        <v>0</v>
      </c>
      <c r="Q138" s="699">
        <f t="shared" si="6"/>
        <v>0</v>
      </c>
    </row>
    <row r="139" spans="2:17" x14ac:dyDescent="0.3">
      <c r="B139" s="696">
        <f>IF(Überblick!$H$53&gt;=5,5,"")</f>
        <v>5</v>
      </c>
      <c r="C139" s="697">
        <f>IF($B139=Gebäudeautomation!$U$39,Gebäudeautomation!$J$39*Gebäudeautomation!$F$23+Gebäudeautomation!$J$39+Gebäudeautomation!$L$54,0)</f>
        <v>0</v>
      </c>
      <c r="D139" s="698">
        <f>IF($B139=Gebäudeautomation!$U$55,Gebäudeautomation!$J$55*Gebäudeautomation!$F$23+Gebäudeautomation!$J$55+Gebäudeautomation!$L$78,0)</f>
        <v>0</v>
      </c>
      <c r="E139" s="698">
        <f>IF($B139=Gebäudeautomation!$U$82,Gebäudeautomation!$J$82*Gebäudeautomation!$F$23+Gebäudeautomation!$J$82+Gebäudeautomation!$L$115,0)</f>
        <v>0</v>
      </c>
      <c r="F139" s="698">
        <f>IF($B139=Gebäudeautomation!$U$119,Gebäudeautomation!$J$119*Gebäudeautomation!$F$23+Gebäudeautomation!$J$119+Gebäudeautomation!$L$127,0)</f>
        <v>0</v>
      </c>
      <c r="G139" s="698">
        <f>IF($B139=Gebäudeautomation!$U$128,Gebäudeautomation!$J$128*Gebäudeautomation!$F$23+Gebäudeautomation!$J$128+Gebäudeautomation!$R$128+Gebäudeautomation!$R$131,0)</f>
        <v>0</v>
      </c>
      <c r="H139" s="698">
        <f>IF($B139=Gebäudeautomation!$U$133,Gebäudeautomation!$J$133*Gebäudeautomation!$F$23+Gebäudeautomation!$J$133+Gebäudeautomation!$R$133+Gebäudeautomation!$R$136+Gebäudeautomation!$R$139+Gebäudeautomation!$R$142,0)</f>
        <v>0</v>
      </c>
      <c r="I139" s="698">
        <f>IF($B139=Gebäudeautomation!$U$143,Gebäudeautomation!$J$143*Gebäudeautomation!$F$23+Gebäudeautomation!$J$143+Gebäudeautomation!$R$143,0)</f>
        <v>0</v>
      </c>
      <c r="J139" s="698">
        <f>IF($B139=Gebäudeautomation!$U$144,Gebäudeautomation!$J$144*Gebäudeautomation!$F$23+Gebäudeautomation!$J$144+Gebäudeautomation!$R$144,0)</f>
        <v>0</v>
      </c>
      <c r="K139" s="698">
        <f>IF($B139=Gebäudeautomation!$U$145,Gebäudeautomation!$J$145*Gebäudeautomation!$F$23+Gebäudeautomation!$J$145+Gebäudeautomation!$R$145+Gebäudeautomation!$R$148,0)</f>
        <v>0</v>
      </c>
      <c r="L139" s="698">
        <f>IF($B139=Gebäudeautomation!$U$150,Gebäudeautomation!$J$150*Gebäudeautomation!$F$23+Gebäudeautomation!$J$150+Gebäudeautomation!$R$150,0)</f>
        <v>0</v>
      </c>
      <c r="M139" s="698">
        <f>IF($B139=Gebäudeautomation!$U$154,Gebäudeautomation!$J$154*Gebäudeautomation!$F$23+Gebäudeautomation!$J$154+Gebäudeautomation!$L$177,0)</f>
        <v>0</v>
      </c>
      <c r="N139" s="698">
        <f>IF($B139=Gebäudeautomation!$U$178,Gebäudeautomation!$J$178*Gebäudeautomation!$F$23+Gebäudeautomation!$J$178+Gebäudeautomation!$L$192,0)</f>
        <v>0</v>
      </c>
      <c r="O139" s="698">
        <f>IF($B139=Gebäudeautomation!$U$193,Gebäudeautomation!$J$193*Gebäudeautomation!$F$23+Gebäudeautomation!$J$193+Gebäudeautomation!$L$234,0)</f>
        <v>0</v>
      </c>
      <c r="P139" s="698">
        <f>IF($B139=Gebäudeautomation!$U$235,Gebäudeautomation!$J$235*Gebäudeautomation!$F$23+Gebäudeautomation!$J$235+Gebäudeautomation!$L$244,0)</f>
        <v>0</v>
      </c>
      <c r="Q139" s="699">
        <f t="shared" si="6"/>
        <v>0</v>
      </c>
    </row>
    <row r="140" spans="2:17" x14ac:dyDescent="0.3">
      <c r="B140" s="696">
        <f>IF(Überblick!$H$53&gt;=6,6,"")</f>
        <v>6</v>
      </c>
      <c r="C140" s="697">
        <f>IF($B140=Gebäudeautomation!$U$39,Gebäudeautomation!$J$39*Gebäudeautomation!$F$23+Gebäudeautomation!$J$39+Gebäudeautomation!$L$54,0)</f>
        <v>0</v>
      </c>
      <c r="D140" s="698">
        <f>IF($B140=Gebäudeautomation!$U$55,Gebäudeautomation!$J$55*Gebäudeautomation!$F$23+Gebäudeautomation!$J$55+Gebäudeautomation!$L$78,0)</f>
        <v>0</v>
      </c>
      <c r="E140" s="698">
        <f>IF($B140=Gebäudeautomation!$U$82,Gebäudeautomation!$J$82*Gebäudeautomation!$F$23+Gebäudeautomation!$J$82+Gebäudeautomation!$L$115,0)</f>
        <v>0</v>
      </c>
      <c r="F140" s="698">
        <f>IF($B140=Gebäudeautomation!$U$119,Gebäudeautomation!$J$119*Gebäudeautomation!$F$23+Gebäudeautomation!$J$119+Gebäudeautomation!$L$127,0)</f>
        <v>0</v>
      </c>
      <c r="G140" s="698">
        <f>IF($B140=Gebäudeautomation!$U$128,Gebäudeautomation!$J$128*Gebäudeautomation!$F$23+Gebäudeautomation!$J$128+Gebäudeautomation!$R$128+Gebäudeautomation!$R$131,0)</f>
        <v>0</v>
      </c>
      <c r="H140" s="698">
        <f>IF($B140=Gebäudeautomation!$U$133,Gebäudeautomation!$J$133*Gebäudeautomation!$F$23+Gebäudeautomation!$J$133+Gebäudeautomation!$R$133+Gebäudeautomation!$R$136+Gebäudeautomation!$R$139+Gebäudeautomation!$R$142,0)</f>
        <v>0</v>
      </c>
      <c r="I140" s="698">
        <f>IF($B140=Gebäudeautomation!$U$143,Gebäudeautomation!$J$143*Gebäudeautomation!$F$23+Gebäudeautomation!$J$143+Gebäudeautomation!$R$143,0)</f>
        <v>0</v>
      </c>
      <c r="J140" s="698">
        <f>IF($B140=Gebäudeautomation!$U$144,Gebäudeautomation!$J$144*Gebäudeautomation!$F$23+Gebäudeautomation!$J$144+Gebäudeautomation!$R$144,0)</f>
        <v>0</v>
      </c>
      <c r="K140" s="698">
        <f>IF($B140=Gebäudeautomation!$U$145,Gebäudeautomation!$J$145*Gebäudeautomation!$F$23+Gebäudeautomation!$J$145+Gebäudeautomation!$R$145+Gebäudeautomation!$R$148,0)</f>
        <v>0</v>
      </c>
      <c r="L140" s="698">
        <f>IF($B140=Gebäudeautomation!$U$150,Gebäudeautomation!$J$150*Gebäudeautomation!$F$23+Gebäudeautomation!$J$150+Gebäudeautomation!$R$150,0)</f>
        <v>0</v>
      </c>
      <c r="M140" s="698">
        <f>IF($B140=Gebäudeautomation!$U$154,Gebäudeautomation!$J$154*Gebäudeautomation!$F$23+Gebäudeautomation!$J$154+Gebäudeautomation!$L$177,0)</f>
        <v>0</v>
      </c>
      <c r="N140" s="698">
        <f>IF($B140=Gebäudeautomation!$U$178,Gebäudeautomation!$J$178*Gebäudeautomation!$F$23+Gebäudeautomation!$J$178+Gebäudeautomation!$L$192,0)</f>
        <v>0</v>
      </c>
      <c r="O140" s="698">
        <f>IF($B140=Gebäudeautomation!$U$193,Gebäudeautomation!$J$193*Gebäudeautomation!$F$23+Gebäudeautomation!$J$193+Gebäudeautomation!$L$234,0)</f>
        <v>0</v>
      </c>
      <c r="P140" s="698">
        <f>IF($B140=Gebäudeautomation!$U$235,Gebäudeautomation!$J$235*Gebäudeautomation!$F$23+Gebäudeautomation!$J$235+Gebäudeautomation!$L$244,0)</f>
        <v>0</v>
      </c>
      <c r="Q140" s="699">
        <f t="shared" si="6"/>
        <v>0</v>
      </c>
    </row>
    <row r="141" spans="2:17" x14ac:dyDescent="0.3">
      <c r="B141" s="696" t="str">
        <f>IF(Überblick!$H$53&gt;=7,7,"")</f>
        <v/>
      </c>
      <c r="C141" s="697">
        <f>IF($B141=Gebäudeautomation!$U$39,Gebäudeautomation!$J$39*Gebäudeautomation!$F$23+Gebäudeautomation!$J$39+Gebäudeautomation!$L$54,0)</f>
        <v>0</v>
      </c>
      <c r="D141" s="698">
        <f>IF($B141=Gebäudeautomation!$U$55,Gebäudeautomation!$J$55*Gebäudeautomation!$F$23+Gebäudeautomation!$J$55+Gebäudeautomation!$L$78,0)</f>
        <v>0</v>
      </c>
      <c r="E141" s="698">
        <f>IF($B141=Gebäudeautomation!$U$82,Gebäudeautomation!$J$82*Gebäudeautomation!$F$23+Gebäudeautomation!$J$82+Gebäudeautomation!$L$115,0)</f>
        <v>0</v>
      </c>
      <c r="F141" s="698">
        <f>IF($B141=Gebäudeautomation!$U$119,Gebäudeautomation!$J$119*Gebäudeautomation!$F$23+Gebäudeautomation!$J$119+Gebäudeautomation!$L$127,0)</f>
        <v>0</v>
      </c>
      <c r="G141" s="698">
        <f>IF($B141=Gebäudeautomation!$U$128,Gebäudeautomation!$J$128*Gebäudeautomation!$F$23+Gebäudeautomation!$J$128+Gebäudeautomation!$R$128+Gebäudeautomation!$R$131,0)</f>
        <v>0</v>
      </c>
      <c r="H141" s="698">
        <f>IF($B141=Gebäudeautomation!$U$133,Gebäudeautomation!$J$133*Gebäudeautomation!$F$23+Gebäudeautomation!$J$133+Gebäudeautomation!$R$133+Gebäudeautomation!$R$136+Gebäudeautomation!$R$139+Gebäudeautomation!$R$142,0)</f>
        <v>0</v>
      </c>
      <c r="I141" s="698">
        <f>IF($B141=Gebäudeautomation!$U$143,Gebäudeautomation!$J$143*Gebäudeautomation!$F$23+Gebäudeautomation!$J$143+Gebäudeautomation!$R$143,0)</f>
        <v>0</v>
      </c>
      <c r="J141" s="698">
        <f>IF($B141=Gebäudeautomation!$U$144,Gebäudeautomation!$J$144*Gebäudeautomation!$F$23+Gebäudeautomation!$J$144+Gebäudeautomation!$R$144,0)</f>
        <v>0</v>
      </c>
      <c r="K141" s="698">
        <f>IF($B141=Gebäudeautomation!$U$145,Gebäudeautomation!$J$145*Gebäudeautomation!$F$23+Gebäudeautomation!$J$145+Gebäudeautomation!$R$145+Gebäudeautomation!$R$148,0)</f>
        <v>0</v>
      </c>
      <c r="L141" s="698">
        <f>IF($B141=Gebäudeautomation!$U$150,Gebäudeautomation!$J$150*Gebäudeautomation!$F$23+Gebäudeautomation!$J$150+Gebäudeautomation!$R$150,0)</f>
        <v>0</v>
      </c>
      <c r="M141" s="698">
        <f>IF($B141=Gebäudeautomation!$U$154,Gebäudeautomation!$J$154*Gebäudeautomation!$F$23+Gebäudeautomation!$J$154+Gebäudeautomation!$L$177,0)</f>
        <v>0</v>
      </c>
      <c r="N141" s="698">
        <f>IF($B141=Gebäudeautomation!$U$178,Gebäudeautomation!$J$178*Gebäudeautomation!$F$23+Gebäudeautomation!$J$178+Gebäudeautomation!$L$192,0)</f>
        <v>0</v>
      </c>
      <c r="O141" s="698">
        <f>IF($B141=Gebäudeautomation!$U$193,Gebäudeautomation!$J$193*Gebäudeautomation!$F$23+Gebäudeautomation!$J$193+Gebäudeautomation!$L$234,0)</f>
        <v>0</v>
      </c>
      <c r="P141" s="698">
        <f>IF($B141=Gebäudeautomation!$U$235,Gebäudeautomation!$J$235*Gebäudeautomation!$F$23+Gebäudeautomation!$J$235+Gebäudeautomation!$L$244,0)</f>
        <v>0</v>
      </c>
      <c r="Q141" s="699">
        <f t="shared" si="6"/>
        <v>0</v>
      </c>
    </row>
    <row r="142" spans="2:17" x14ac:dyDescent="0.3">
      <c r="B142" s="696" t="str">
        <f>IF(Überblick!$H$53&gt;=8,8,"")</f>
        <v/>
      </c>
      <c r="C142" s="697">
        <f>IF($B142=Gebäudeautomation!$U$39,Gebäudeautomation!$J$39*Gebäudeautomation!$F$23+Gebäudeautomation!$J$39+Gebäudeautomation!$L$54,0)</f>
        <v>0</v>
      </c>
      <c r="D142" s="698">
        <f>IF($B142=Gebäudeautomation!$U$55,Gebäudeautomation!$J$55*Gebäudeautomation!$F$23+Gebäudeautomation!$J$55+Gebäudeautomation!$L$78,0)</f>
        <v>0</v>
      </c>
      <c r="E142" s="698">
        <f>IF($B142=Gebäudeautomation!$U$82,Gebäudeautomation!$J$82*Gebäudeautomation!$F$23+Gebäudeautomation!$J$82+Gebäudeautomation!$L$115,0)</f>
        <v>0</v>
      </c>
      <c r="F142" s="698">
        <f>IF($B142=Gebäudeautomation!$U$119,Gebäudeautomation!$J$119*Gebäudeautomation!$F$23+Gebäudeautomation!$J$119+Gebäudeautomation!$L$127,0)</f>
        <v>0</v>
      </c>
      <c r="G142" s="698">
        <f>IF($B142=Gebäudeautomation!$U$128,Gebäudeautomation!$J$128*Gebäudeautomation!$F$23+Gebäudeautomation!$J$128+Gebäudeautomation!$R$128+Gebäudeautomation!$R$131,0)</f>
        <v>0</v>
      </c>
      <c r="H142" s="698">
        <f>IF($B142=Gebäudeautomation!$U$133,Gebäudeautomation!$J$133*Gebäudeautomation!$F$23+Gebäudeautomation!$J$133+Gebäudeautomation!$R$133+Gebäudeautomation!$R$136+Gebäudeautomation!$R$139+Gebäudeautomation!$R$142,0)</f>
        <v>0</v>
      </c>
      <c r="I142" s="698">
        <f>IF($B142=Gebäudeautomation!$U$143,Gebäudeautomation!$J$143*Gebäudeautomation!$F$23+Gebäudeautomation!$J$143+Gebäudeautomation!$R$143,0)</f>
        <v>0</v>
      </c>
      <c r="J142" s="698">
        <f>IF($B142=Gebäudeautomation!$U$144,Gebäudeautomation!$J$144*Gebäudeautomation!$F$23+Gebäudeautomation!$J$144+Gebäudeautomation!$R$144,0)</f>
        <v>0</v>
      </c>
      <c r="K142" s="698">
        <f>IF($B142=Gebäudeautomation!$U$145,Gebäudeautomation!$J$145*Gebäudeautomation!$F$23+Gebäudeautomation!$J$145+Gebäudeautomation!$R$145+Gebäudeautomation!$R$148,0)</f>
        <v>0</v>
      </c>
      <c r="L142" s="698">
        <f>IF($B142=Gebäudeautomation!$U$150,Gebäudeautomation!$J$150*Gebäudeautomation!$F$23+Gebäudeautomation!$J$150+Gebäudeautomation!$R$150,0)</f>
        <v>0</v>
      </c>
      <c r="M142" s="698">
        <f>IF($B142=Gebäudeautomation!$U$154,Gebäudeautomation!$J$154*Gebäudeautomation!$F$23+Gebäudeautomation!$J$154+Gebäudeautomation!$L$177,0)</f>
        <v>0</v>
      </c>
      <c r="N142" s="698">
        <f>IF($B142=Gebäudeautomation!$U$178,Gebäudeautomation!$J$178*Gebäudeautomation!$F$23+Gebäudeautomation!$J$178+Gebäudeautomation!$L$192,0)</f>
        <v>0</v>
      </c>
      <c r="O142" s="698">
        <f>IF($B142=Gebäudeautomation!$U$193,Gebäudeautomation!$J$193*Gebäudeautomation!$F$23+Gebäudeautomation!$J$193+Gebäudeautomation!$L$234,0)</f>
        <v>0</v>
      </c>
      <c r="P142" s="698">
        <f>IF($B142=Gebäudeautomation!$U$235,Gebäudeautomation!$J$235*Gebäudeautomation!$F$23+Gebäudeautomation!$J$235+Gebäudeautomation!$L$244,0)</f>
        <v>0</v>
      </c>
      <c r="Q142" s="699">
        <f t="shared" si="6"/>
        <v>0</v>
      </c>
    </row>
    <row r="143" spans="2:17" ht="15.2" thickBot="1" x14ac:dyDescent="0.35">
      <c r="B143" s="700" t="str">
        <f>IF(Überblick!$H$53&gt;=9,9,"")</f>
        <v/>
      </c>
      <c r="C143" s="701">
        <f>IF($B143=Gebäudeautomation!$U$39,Gebäudeautomation!$J$39*Gebäudeautomation!$F$23+Gebäudeautomation!$J$39+Gebäudeautomation!$L$54,0)</f>
        <v>0</v>
      </c>
      <c r="D143" s="702">
        <f>IF($B143=Gebäudeautomation!$U$55,Gebäudeautomation!$J$55*Gebäudeautomation!$F$23+Gebäudeautomation!$J$55+Gebäudeautomation!$L$78,0)</f>
        <v>0</v>
      </c>
      <c r="E143" s="702">
        <f>IF($B143=Gebäudeautomation!$U$82,Gebäudeautomation!$J$82*Gebäudeautomation!$F$23+Gebäudeautomation!$J$82+Gebäudeautomation!$L$115,0)</f>
        <v>0</v>
      </c>
      <c r="F143" s="702">
        <f>IF($B143=Gebäudeautomation!$U$119,Gebäudeautomation!$J$119*Gebäudeautomation!$F$23+Gebäudeautomation!$J$119+Gebäudeautomation!$L$127,0)</f>
        <v>0</v>
      </c>
      <c r="G143" s="702">
        <f>IF($B143=Gebäudeautomation!$U$128,Gebäudeautomation!$J$128*Gebäudeautomation!$F$23+Gebäudeautomation!$J$128+Gebäudeautomation!$R$128+Gebäudeautomation!$R$131,0)</f>
        <v>0</v>
      </c>
      <c r="H143" s="702">
        <f>IF($B143=Gebäudeautomation!$U$133,Gebäudeautomation!$J$133*Gebäudeautomation!$F$23+Gebäudeautomation!$J$133+Gebäudeautomation!$R$133+Gebäudeautomation!$R$136+Gebäudeautomation!$R$139+Gebäudeautomation!$R$142,0)</f>
        <v>0</v>
      </c>
      <c r="I143" s="702">
        <f>IF($B143=Gebäudeautomation!$U$143,Gebäudeautomation!$J$143*Gebäudeautomation!$F$23+Gebäudeautomation!$J$143+Gebäudeautomation!$R$143,0)</f>
        <v>0</v>
      </c>
      <c r="J143" s="702">
        <f>IF($B143=Gebäudeautomation!$U$144,Gebäudeautomation!$J$144*Gebäudeautomation!$F$23+Gebäudeautomation!$J$144+Gebäudeautomation!$R$144,0)</f>
        <v>0</v>
      </c>
      <c r="K143" s="702">
        <f>IF($B143=Gebäudeautomation!$U$145,Gebäudeautomation!$J$145*Gebäudeautomation!$F$23+Gebäudeautomation!$J$145+Gebäudeautomation!$R$145+Gebäudeautomation!$R$148,0)</f>
        <v>0</v>
      </c>
      <c r="L143" s="702">
        <f>IF($B143=Gebäudeautomation!$U$150,Gebäudeautomation!$J$150*Gebäudeautomation!$F$23+Gebäudeautomation!$J$150+Gebäudeautomation!$R$150,0)</f>
        <v>0</v>
      </c>
      <c r="M143" s="702">
        <f>IF($B143=Gebäudeautomation!$U$154,Gebäudeautomation!$J$154*Gebäudeautomation!$F$23+Gebäudeautomation!$J$154+Gebäudeautomation!$L$177,0)</f>
        <v>0</v>
      </c>
      <c r="N143" s="702">
        <f>IF($B143=Gebäudeautomation!$U$178,Gebäudeautomation!$J$178*Gebäudeautomation!$F$23+Gebäudeautomation!$J$178+Gebäudeautomation!$L$192,0)</f>
        <v>0</v>
      </c>
      <c r="O143" s="702">
        <f>IF($B143=Gebäudeautomation!$U$193,Gebäudeautomation!$J$193*Gebäudeautomation!$F$23+Gebäudeautomation!$J$193+Gebäudeautomation!$L$234,0)</f>
        <v>0</v>
      </c>
      <c r="P143" s="702">
        <f>IF($B143=Gebäudeautomation!$U$235,Gebäudeautomation!$J$235*Gebäudeautomation!$F$23+Gebäudeautomation!$J$235+Gebäudeautomation!$L$244,0)</f>
        <v>0</v>
      </c>
      <c r="Q143" s="703">
        <f t="shared" ref="Q143" si="7">SUM(C143:P143)</f>
        <v>0</v>
      </c>
    </row>
    <row r="144" spans="2:17" x14ac:dyDescent="0.3">
      <c r="Q144" s="704">
        <f>SUM(Q135:Q143)</f>
        <v>0</v>
      </c>
    </row>
    <row r="156" spans="2:4" x14ac:dyDescent="0.3">
      <c r="B156" s="705"/>
      <c r="C156" s="706"/>
      <c r="D156" s="707"/>
    </row>
  </sheetData>
  <mergeCells count="84">
    <mergeCell ref="B26:B44"/>
    <mergeCell ref="E26:E44"/>
    <mergeCell ref="H26:H44"/>
    <mergeCell ref="E132:F132"/>
    <mergeCell ref="C123:D123"/>
    <mergeCell ref="E123:F123"/>
    <mergeCell ref="C125:D125"/>
    <mergeCell ref="E125:F125"/>
    <mergeCell ref="C130:D130"/>
    <mergeCell ref="E130:F130"/>
    <mergeCell ref="C120:D120"/>
    <mergeCell ref="E120:F120"/>
    <mergeCell ref="C121:D121"/>
    <mergeCell ref="E121:F121"/>
    <mergeCell ref="C122:D122"/>
    <mergeCell ref="E122:F122"/>
    <mergeCell ref="C117:D117"/>
    <mergeCell ref="E117:F117"/>
    <mergeCell ref="C118:D118"/>
    <mergeCell ref="E118:F118"/>
    <mergeCell ref="C119:D119"/>
    <mergeCell ref="E119:F119"/>
    <mergeCell ref="C114:D114"/>
    <mergeCell ref="E114:F114"/>
    <mergeCell ref="C115:D115"/>
    <mergeCell ref="E115:F115"/>
    <mergeCell ref="C116:D116"/>
    <mergeCell ref="E116:F116"/>
    <mergeCell ref="C111:D111"/>
    <mergeCell ref="E111:F111"/>
    <mergeCell ref="C112:D112"/>
    <mergeCell ref="E112:F112"/>
    <mergeCell ref="C113:D113"/>
    <mergeCell ref="E113:F113"/>
    <mergeCell ref="C110:D110"/>
    <mergeCell ref="E110:F110"/>
    <mergeCell ref="B95:E95"/>
    <mergeCell ref="B96:E96"/>
    <mergeCell ref="G104:H104"/>
    <mergeCell ref="C107:F107"/>
    <mergeCell ref="C108:D108"/>
    <mergeCell ref="E108:F108"/>
    <mergeCell ref="C109:D109"/>
    <mergeCell ref="E109:F109"/>
    <mergeCell ref="I104:J104"/>
    <mergeCell ref="K104:L104"/>
    <mergeCell ref="B105:E105"/>
    <mergeCell ref="B85:E85"/>
    <mergeCell ref="B86:E86"/>
    <mergeCell ref="B87:E87"/>
    <mergeCell ref="B88:E88"/>
    <mergeCell ref="B93:E93"/>
    <mergeCell ref="B94:E94"/>
    <mergeCell ref="E76:E77"/>
    <mergeCell ref="B64:E64"/>
    <mergeCell ref="G64:H64"/>
    <mergeCell ref="J64:K64"/>
    <mergeCell ref="B65:E65"/>
    <mergeCell ref="G65:H65"/>
    <mergeCell ref="J65:K65"/>
    <mergeCell ref="G69:H69"/>
    <mergeCell ref="I69:J69"/>
    <mergeCell ref="K69:L69"/>
    <mergeCell ref="E70:E71"/>
    <mergeCell ref="D76:D80"/>
    <mergeCell ref="D70:D74"/>
    <mergeCell ref="G50:H50"/>
    <mergeCell ref="J50:K50"/>
    <mergeCell ref="G52:G54"/>
    <mergeCell ref="G56:G60"/>
    <mergeCell ref="B62:E62"/>
    <mergeCell ref="G62:H62"/>
    <mergeCell ref="I62:J62"/>
    <mergeCell ref="K62:L62"/>
    <mergeCell ref="A2:A5"/>
    <mergeCell ref="C2:D2"/>
    <mergeCell ref="F2:G2"/>
    <mergeCell ref="I2:J2"/>
    <mergeCell ref="C3:D3"/>
    <mergeCell ref="F3:G3"/>
    <mergeCell ref="I3:J3"/>
    <mergeCell ref="C5:D5"/>
    <mergeCell ref="F5:G5"/>
    <mergeCell ref="I5:J5"/>
  </mergeCells>
  <conditionalFormatting sqref="A6:A44">
    <cfRule type="colorScale" priority="7">
      <colorScale>
        <cfvo type="min"/>
        <cfvo type="percentile" val="50"/>
        <cfvo type="max"/>
        <color rgb="FF63BE7B"/>
        <color rgb="FFFFEB84"/>
        <color rgb="FFF8696B"/>
      </colorScale>
    </cfRule>
  </conditionalFormatting>
  <conditionalFormatting sqref="C6:C44">
    <cfRule type="colorScale" priority="6">
      <colorScale>
        <cfvo type="min"/>
        <cfvo type="percentile" val="50"/>
        <cfvo type="max"/>
        <color rgb="FF63BE7B"/>
        <color rgb="FFFFEB84"/>
        <color rgb="FFF8696B"/>
      </colorScale>
    </cfRule>
  </conditionalFormatting>
  <conditionalFormatting sqref="D6:D44">
    <cfRule type="colorScale" priority="5">
      <colorScale>
        <cfvo type="min"/>
        <cfvo type="percentile" val="50"/>
        <cfvo type="max"/>
        <color rgb="FF63BE7B"/>
        <color rgb="FFFFEB84"/>
        <color rgb="FFF8696B"/>
      </colorScale>
    </cfRule>
  </conditionalFormatting>
  <conditionalFormatting sqref="F6:F44">
    <cfRule type="colorScale" priority="4">
      <colorScale>
        <cfvo type="min"/>
        <cfvo type="percentile" val="50"/>
        <cfvo type="max"/>
        <color rgb="FF63BE7B"/>
        <color rgb="FFFFEB84"/>
        <color rgb="FFF8696B"/>
      </colorScale>
    </cfRule>
  </conditionalFormatting>
  <conditionalFormatting sqref="G6:G44">
    <cfRule type="colorScale" priority="3">
      <colorScale>
        <cfvo type="min"/>
        <cfvo type="percentile" val="50"/>
        <cfvo type="max"/>
        <color rgb="FF63BE7B"/>
        <color rgb="FFFFEB84"/>
        <color rgb="FFF8696B"/>
      </colorScale>
    </cfRule>
  </conditionalFormatting>
  <conditionalFormatting sqref="I6:I44">
    <cfRule type="colorScale" priority="2">
      <colorScale>
        <cfvo type="min"/>
        <cfvo type="percentile" val="50"/>
        <cfvo type="max"/>
        <color rgb="FF63BE7B"/>
        <color rgb="FFFFEB84"/>
        <color rgb="FFF8696B"/>
      </colorScale>
    </cfRule>
  </conditionalFormatting>
  <conditionalFormatting sqref="J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472C4-1C06-4F72-B271-0A3B4301D0B1}">
  <sheetPr>
    <tabColor rgb="FFFFC000"/>
  </sheetPr>
  <dimension ref="A1:AP163"/>
  <sheetViews>
    <sheetView zoomScaleNormal="100" workbookViewId="0">
      <selection activeCell="D17" sqref="D17"/>
    </sheetView>
  </sheetViews>
  <sheetFormatPr baseColWidth="10" defaultColWidth="11.44140625" defaultRowHeight="13.9" x14ac:dyDescent="0.25"/>
  <cols>
    <col min="1" max="1" width="7.21875" style="491" customWidth="1"/>
    <col min="2" max="7" width="9.21875" style="39" customWidth="1"/>
    <col min="8" max="8" width="9.44140625" style="39" customWidth="1"/>
    <col min="9" max="13" width="9.21875" style="39" customWidth="1"/>
    <col min="14" max="14" width="9.44140625" style="39" customWidth="1"/>
    <col min="15" max="21" width="9.21875" style="39" customWidth="1"/>
    <col min="22" max="23" width="9.21875" style="72" customWidth="1"/>
    <col min="24" max="24" width="11" style="72" customWidth="1"/>
    <col min="25" max="26" width="8.21875" style="72" bestFit="1" customWidth="1"/>
    <col min="27" max="28" width="11.44140625" style="72"/>
    <col min="29" max="33" width="11.44140625" style="68"/>
    <col min="34" max="16384" width="11.44140625" style="39"/>
  </cols>
  <sheetData>
    <row r="1" spans="1:24" x14ac:dyDescent="0.25">
      <c r="A1" s="493" t="str">
        <f>Überblick!X109</f>
        <v>E.</v>
      </c>
      <c r="B1" s="188" t="str">
        <f>IF(Überblick!B2=Überblick!L4,'Bauphysik - Wärmeschutz'!V1,'Bauphysik - Wärmeschutz'!V2)</f>
        <v>Honorarangebot HOAI - Bauphysik - Wärmeschutz und Energiebilanzierung</v>
      </c>
      <c r="T1" s="963" t="str">
        <f>'Hochbauplanung '!T1</f>
        <v>Version: 27.06.2023</v>
      </c>
      <c r="U1" s="963"/>
      <c r="V1" s="72" t="s">
        <v>504</v>
      </c>
    </row>
    <row r="2" spans="1:24" x14ac:dyDescent="0.25">
      <c r="R2" s="535" t="s">
        <v>110</v>
      </c>
      <c r="S2" s="1389" t="str">
        <f>IF(Überblick!Q2=0,"",Überblick!Q2)</f>
        <v/>
      </c>
      <c r="T2" s="1389"/>
      <c r="U2" s="1389"/>
      <c r="V2" s="72" t="s">
        <v>505</v>
      </c>
    </row>
    <row r="3" spans="1:24" x14ac:dyDescent="0.25">
      <c r="A3" s="491" t="s">
        <v>112</v>
      </c>
      <c r="B3" s="40" t="s">
        <v>365</v>
      </c>
      <c r="F3" s="883" t="s">
        <v>963</v>
      </c>
      <c r="G3" s="878"/>
      <c r="H3" s="878"/>
      <c r="R3" s="535" t="s">
        <v>24</v>
      </c>
      <c r="S3" s="1389" t="str">
        <f>IF(Überblick!G29=0,"",Überblick!G29)</f>
        <v>Breite Strasse, 10178 Berlin-Mitte, zw. Neumannsgasse und Scharrenstrasse</v>
      </c>
      <c r="T3" s="1389"/>
      <c r="U3" s="1389"/>
    </row>
    <row r="4" spans="1:24" ht="14.55" thickBot="1" x14ac:dyDescent="0.3">
      <c r="R4" s="535" t="s">
        <v>17</v>
      </c>
      <c r="S4" s="1389" t="str">
        <f>IF(Überblick!D19=0,"",Überblick!D19)</f>
        <v/>
      </c>
      <c r="T4" s="1389"/>
      <c r="U4" s="1389"/>
    </row>
    <row r="5" spans="1:24" ht="32.25" customHeight="1" thickBot="1" x14ac:dyDescent="0.3">
      <c r="B5" s="107"/>
      <c r="C5" s="144"/>
      <c r="D5" s="144"/>
      <c r="E5" s="488"/>
      <c r="F5" s="1198" t="s">
        <v>116</v>
      </c>
      <c r="G5" s="1199"/>
      <c r="H5" s="1199"/>
      <c r="I5" s="1200"/>
      <c r="J5" s="1198" t="s">
        <v>117</v>
      </c>
      <c r="K5" s="1199"/>
      <c r="L5" s="1199"/>
      <c r="M5" s="1200"/>
      <c r="N5" s="1198" t="s">
        <v>118</v>
      </c>
      <c r="O5" s="1199"/>
      <c r="P5" s="1199"/>
      <c r="Q5" s="1200"/>
      <c r="R5" s="47"/>
      <c r="S5" s="47"/>
      <c r="T5" s="47"/>
      <c r="U5" s="87"/>
      <c r="V5" s="87" t="s">
        <v>119</v>
      </c>
      <c r="W5" s="87"/>
      <c r="X5" s="87"/>
    </row>
    <row r="6" spans="1:24" ht="15.95" customHeight="1" thickBot="1" x14ac:dyDescent="0.3">
      <c r="B6" s="107"/>
      <c r="C6" s="144"/>
      <c r="D6" s="144"/>
      <c r="E6" s="488"/>
      <c r="F6" s="1215" t="s">
        <v>120</v>
      </c>
      <c r="G6" s="1216"/>
      <c r="H6" s="1217"/>
      <c r="I6" s="1218"/>
      <c r="J6" s="1213" t="s">
        <v>120</v>
      </c>
      <c r="K6" s="1214"/>
      <c r="L6" s="1217"/>
      <c r="M6" s="1218"/>
      <c r="N6" s="1213" t="s">
        <v>120</v>
      </c>
      <c r="O6" s="1214"/>
      <c r="P6" s="1217"/>
      <c r="Q6" s="1218"/>
      <c r="R6" s="47"/>
      <c r="S6" s="47"/>
      <c r="T6" s="47"/>
      <c r="U6" s="47"/>
      <c r="V6" s="87"/>
      <c r="W6" s="87"/>
      <c r="X6" s="87"/>
    </row>
    <row r="7" spans="1:24" ht="15.95" customHeight="1" thickBot="1" x14ac:dyDescent="0.3">
      <c r="B7" s="1115" t="s">
        <v>121</v>
      </c>
      <c r="C7" s="1116"/>
      <c r="D7" s="1116"/>
      <c r="E7" s="1117"/>
      <c r="F7" s="1209" t="s">
        <v>107</v>
      </c>
      <c r="G7" s="1210"/>
      <c r="H7" s="1211" t="s">
        <v>106</v>
      </c>
      <c r="I7" s="1212"/>
      <c r="J7" s="1209" t="s">
        <v>107</v>
      </c>
      <c r="K7" s="1210"/>
      <c r="L7" s="1211" t="s">
        <v>106</v>
      </c>
      <c r="M7" s="1212"/>
      <c r="N7" s="1209" t="s">
        <v>107</v>
      </c>
      <c r="O7" s="1210"/>
      <c r="P7" s="1211" t="s">
        <v>106</v>
      </c>
      <c r="Q7" s="1212"/>
      <c r="R7" s="40"/>
      <c r="S7" s="40"/>
      <c r="T7" s="40"/>
      <c r="U7" s="40"/>
      <c r="V7" s="151"/>
      <c r="W7" s="151"/>
      <c r="X7" s="151"/>
    </row>
    <row r="8" spans="1:24" ht="15" customHeight="1" thickBot="1" x14ac:dyDescent="0.3">
      <c r="B8" s="1232" t="s">
        <v>366</v>
      </c>
      <c r="C8" s="1233"/>
      <c r="D8" s="1233"/>
      <c r="E8" s="1234"/>
      <c r="F8" s="1235">
        <f>H8*Überblick!G98+H8</f>
        <v>0</v>
      </c>
      <c r="G8" s="1236"/>
      <c r="H8" s="1219"/>
      <c r="I8" s="1220"/>
      <c r="J8" s="1201">
        <f>L8*1.19</f>
        <v>0</v>
      </c>
      <c r="K8" s="1202"/>
      <c r="L8" s="1203"/>
      <c r="M8" s="1204"/>
      <c r="N8" s="1201">
        <f>P8*1.19</f>
        <v>0</v>
      </c>
      <c r="O8" s="1202"/>
      <c r="P8" s="1203"/>
      <c r="Q8" s="1204"/>
      <c r="R8" s="96">
        <f>SUM(H8,L8,P8)</f>
        <v>0</v>
      </c>
      <c r="S8" s="72">
        <f>IF((R8+AB110)&gt;0,1,0)</f>
        <v>1</v>
      </c>
      <c r="T8" s="48"/>
      <c r="U8" s="48"/>
      <c r="V8" s="96"/>
      <c r="W8" s="96"/>
      <c r="X8" s="96"/>
    </row>
    <row r="9" spans="1:24" ht="15.95" customHeight="1" x14ac:dyDescent="0.25">
      <c r="B9" s="49"/>
      <c r="C9" s="49"/>
      <c r="D9" s="49"/>
      <c r="E9" s="49"/>
      <c r="F9" s="294"/>
      <c r="G9" s="294"/>
      <c r="H9" s="294"/>
      <c r="I9" s="294"/>
      <c r="J9" s="294"/>
      <c r="K9" s="294"/>
      <c r="L9" s="294"/>
      <c r="M9" s="294"/>
      <c r="N9" s="294"/>
      <c r="O9" s="294"/>
      <c r="P9" s="294"/>
      <c r="Q9" s="294"/>
      <c r="R9" s="48"/>
      <c r="S9" s="48"/>
      <c r="T9" s="48"/>
      <c r="U9" s="48"/>
      <c r="V9" s="96"/>
      <c r="W9" s="96"/>
      <c r="X9" s="96"/>
    </row>
    <row r="10" spans="1:24" x14ac:dyDescent="0.25">
      <c r="B10" s="39" t="s">
        <v>130</v>
      </c>
    </row>
    <row r="11" spans="1:24" x14ac:dyDescent="0.25">
      <c r="B11" s="39" t="s">
        <v>131</v>
      </c>
    </row>
    <row r="12" spans="1:24" ht="14.55" thickBot="1" x14ac:dyDescent="0.3">
      <c r="B12" s="40"/>
      <c r="G12" s="54"/>
      <c r="H12" s="41"/>
      <c r="I12" s="57"/>
      <c r="J12" s="54"/>
      <c r="K12" s="54"/>
      <c r="L12" s="57"/>
      <c r="M12" s="58"/>
      <c r="N12" s="58"/>
      <c r="O12" s="59"/>
      <c r="S12" s="57"/>
      <c r="T12" s="48"/>
    </row>
    <row r="13" spans="1:24" ht="15" customHeight="1" x14ac:dyDescent="0.25">
      <c r="B13" s="1221" t="s">
        <v>132</v>
      </c>
      <c r="C13" s="1222"/>
      <c r="D13" s="1222"/>
      <c r="E13" s="1223"/>
      <c r="F13" s="1164">
        <v>1</v>
      </c>
      <c r="G13" s="1165"/>
      <c r="H13" s="1165"/>
      <c r="I13" s="1165"/>
      <c r="J13" s="1165"/>
      <c r="K13" s="1165"/>
      <c r="L13" s="1165"/>
      <c r="M13" s="1165"/>
      <c r="N13" s="1165"/>
      <c r="O13" s="1165"/>
      <c r="P13" s="1165"/>
      <c r="Q13" s="1166"/>
      <c r="S13" s="57"/>
      <c r="T13" s="48"/>
      <c r="U13" s="72" t="s">
        <v>133</v>
      </c>
      <c r="V13" s="72">
        <v>1</v>
      </c>
    </row>
    <row r="14" spans="1:24" ht="15.95" customHeight="1" thickBot="1" x14ac:dyDescent="0.3">
      <c r="B14" s="1224" t="s">
        <v>134</v>
      </c>
      <c r="C14" s="1225"/>
      <c r="D14" s="1225"/>
      <c r="E14" s="1226"/>
      <c r="F14" s="1167" t="s">
        <v>135</v>
      </c>
      <c r="G14" s="1168"/>
      <c r="H14" s="1168"/>
      <c r="I14" s="1168"/>
      <c r="J14" s="1168"/>
      <c r="K14" s="1168"/>
      <c r="L14" s="1168"/>
      <c r="M14" s="1168"/>
      <c r="N14" s="1168"/>
      <c r="O14" s="1168"/>
      <c r="P14" s="1168"/>
      <c r="Q14" s="1169"/>
      <c r="S14" s="57"/>
      <c r="T14" s="48"/>
      <c r="U14" s="72"/>
      <c r="V14" s="72">
        <v>2</v>
      </c>
    </row>
    <row r="15" spans="1:24" ht="15.95" customHeight="1" x14ac:dyDescent="0.25">
      <c r="B15" s="60"/>
      <c r="C15" s="60"/>
      <c r="D15" s="60"/>
      <c r="E15" s="60"/>
      <c r="F15" s="1241" t="s">
        <v>136</v>
      </c>
      <c r="G15" s="1241"/>
      <c r="H15" s="1241"/>
      <c r="I15" s="1241"/>
      <c r="J15" s="1241" t="s">
        <v>137</v>
      </c>
      <c r="K15" s="1241"/>
      <c r="L15" s="1241"/>
      <c r="M15" s="1241"/>
      <c r="N15" s="1241" t="s">
        <v>367</v>
      </c>
      <c r="O15" s="1241"/>
      <c r="P15" s="1241"/>
      <c r="Q15" s="1241"/>
      <c r="S15" s="57"/>
      <c r="T15" s="48"/>
      <c r="U15" s="72"/>
      <c r="V15" s="72">
        <v>3</v>
      </c>
    </row>
    <row r="16" spans="1:24" ht="15.95" customHeight="1" thickBot="1" x14ac:dyDescent="0.3">
      <c r="B16" s="60"/>
      <c r="C16" s="60"/>
      <c r="D16" s="60"/>
      <c r="E16" s="60"/>
      <c r="F16" s="1242"/>
      <c r="G16" s="1242"/>
      <c r="H16" s="1242"/>
      <c r="I16" s="1242"/>
      <c r="J16" s="1242"/>
      <c r="K16" s="1242"/>
      <c r="L16" s="1242"/>
      <c r="M16" s="1242"/>
      <c r="N16" s="1242"/>
      <c r="O16" s="1242"/>
      <c r="P16" s="1242"/>
      <c r="Q16" s="1242"/>
      <c r="S16" s="57"/>
      <c r="T16" s="48"/>
      <c r="U16" s="72"/>
      <c r="V16" s="72">
        <v>4</v>
      </c>
    </row>
    <row r="17" spans="1:27" ht="15.95" customHeight="1" thickBot="1" x14ac:dyDescent="0.3">
      <c r="B17" s="40"/>
      <c r="C17" s="40"/>
      <c r="D17" s="895"/>
      <c r="E17" s="69"/>
      <c r="F17" s="1721">
        <v>0</v>
      </c>
      <c r="G17" s="1722"/>
      <c r="H17" s="1722"/>
      <c r="I17" s="1723"/>
      <c r="J17" s="1721" t="str">
        <f>IF('Berechnung - Wärmeschutz'!J89=0,"Kostenschätzung liegt noch nicht vor",'Berechnung - Wärmeschutz'!J89)</f>
        <v>Kostenschätzung liegt noch nicht vor</v>
      </c>
      <c r="K17" s="1722"/>
      <c r="L17" s="1722"/>
      <c r="M17" s="1723"/>
      <c r="N17" s="1721" t="str">
        <f>IF('Berechnung - Wärmeschutz'!L89=0,"Kostenberechnung liegt noch nicht vor",'Berechnung - Wärmeschutz'!L89)</f>
        <v>Kostenberechnung liegt noch nicht vor</v>
      </c>
      <c r="O17" s="1722"/>
      <c r="P17" s="1722"/>
      <c r="Q17" s="1723"/>
      <c r="R17" s="96">
        <f>SUM(F17:Q17)</f>
        <v>0</v>
      </c>
      <c r="S17" s="57"/>
      <c r="T17" s="48"/>
      <c r="U17" s="72"/>
      <c r="V17" s="72">
        <v>5</v>
      </c>
    </row>
    <row r="18" spans="1:27" x14ac:dyDescent="0.25">
      <c r="B18" s="40"/>
      <c r="G18" s="54"/>
      <c r="H18" s="41"/>
      <c r="I18" s="57"/>
      <c r="J18" s="54"/>
      <c r="K18" s="54"/>
      <c r="L18" s="57"/>
      <c r="M18" s="58"/>
      <c r="N18" s="58"/>
      <c r="O18" s="59"/>
      <c r="R18" s="72"/>
      <c r="S18" s="57"/>
      <c r="T18" s="48"/>
    </row>
    <row r="19" spans="1:27" x14ac:dyDescent="0.25">
      <c r="A19" s="492" t="s">
        <v>139</v>
      </c>
      <c r="B19" s="42" t="s">
        <v>140</v>
      </c>
      <c r="C19" s="43"/>
      <c r="D19" s="43"/>
      <c r="E19" s="61"/>
      <c r="F19" s="43"/>
      <c r="G19" s="43"/>
      <c r="H19" s="44"/>
      <c r="I19" s="44"/>
      <c r="R19" s="72"/>
    </row>
    <row r="20" spans="1:27" ht="14.55" thickBot="1" x14ac:dyDescent="0.3">
      <c r="A20" s="492"/>
      <c r="B20" s="43"/>
      <c r="C20" s="43"/>
      <c r="D20" s="43"/>
      <c r="E20" s="61"/>
      <c r="F20" s="43"/>
      <c r="G20" s="43"/>
      <c r="H20" s="62"/>
      <c r="I20" s="62"/>
      <c r="R20" s="72"/>
      <c r="S20" s="63"/>
      <c r="T20" s="63"/>
      <c r="U20" s="63"/>
    </row>
    <row r="21" spans="1:27" ht="52.1" customHeight="1" thickBot="1" x14ac:dyDescent="0.3">
      <c r="A21" s="492"/>
      <c r="B21" s="1586" t="s">
        <v>142</v>
      </c>
      <c r="C21" s="1587"/>
      <c r="D21" s="1587"/>
      <c r="E21" s="1588"/>
      <c r="F21" s="1589"/>
      <c r="G21" s="1590"/>
      <c r="H21" s="1590"/>
      <c r="I21" s="1590"/>
      <c r="J21" s="1590"/>
      <c r="K21" s="1590"/>
      <c r="L21" s="1590"/>
      <c r="M21" s="1590"/>
      <c r="N21" s="1590"/>
      <c r="O21" s="1590"/>
      <c r="P21" s="1590"/>
      <c r="Q21" s="1591"/>
      <c r="R21" s="183">
        <f>IF(AND(R8&gt;0,F21=""),1,0)</f>
        <v>0</v>
      </c>
      <c r="S21" s="148"/>
      <c r="T21" s="148"/>
      <c r="U21" s="148"/>
      <c r="V21" s="352"/>
      <c r="W21" s="352"/>
      <c r="X21" s="352"/>
    </row>
    <row r="22" spans="1:27" x14ac:dyDescent="0.25">
      <c r="B22" s="40"/>
      <c r="G22" s="54"/>
      <c r="H22" s="41"/>
      <c r="I22" s="57"/>
      <c r="J22" s="54"/>
      <c r="K22" s="54"/>
      <c r="L22" s="57"/>
      <c r="M22" s="58"/>
      <c r="N22" s="58"/>
      <c r="O22" s="59"/>
      <c r="S22" s="57"/>
      <c r="T22" s="96"/>
      <c r="U22" s="72"/>
    </row>
    <row r="23" spans="1:27" x14ac:dyDescent="0.25">
      <c r="B23" s="39" t="s">
        <v>506</v>
      </c>
      <c r="G23" s="54"/>
      <c r="H23" s="41"/>
      <c r="I23" s="57"/>
      <c r="J23" s="54"/>
      <c r="K23" s="54"/>
      <c r="L23" s="57"/>
      <c r="M23" s="58"/>
      <c r="N23" s="58"/>
      <c r="O23" s="59"/>
      <c r="S23" s="57"/>
      <c r="T23" s="96"/>
      <c r="U23" s="72"/>
    </row>
    <row r="24" spans="1:27" x14ac:dyDescent="0.25">
      <c r="B24" s="40"/>
      <c r="G24" s="54"/>
      <c r="H24" s="41"/>
      <c r="I24" s="57"/>
      <c r="J24" s="54"/>
      <c r="K24" s="54"/>
      <c r="L24" s="57"/>
      <c r="M24" s="58"/>
      <c r="N24" s="58"/>
      <c r="O24" s="59"/>
      <c r="S24" s="57"/>
      <c r="T24" s="96"/>
      <c r="U24" s="72"/>
    </row>
    <row r="25" spans="1:27" x14ac:dyDescent="0.25">
      <c r="A25" s="491" t="s">
        <v>144</v>
      </c>
      <c r="B25" s="40" t="s">
        <v>145</v>
      </c>
      <c r="G25" s="48"/>
      <c r="I25" s="48"/>
      <c r="T25" s="72"/>
      <c r="U25" s="72"/>
    </row>
    <row r="26" spans="1:27" x14ac:dyDescent="0.25">
      <c r="B26" s="40"/>
      <c r="T26" s="72"/>
      <c r="U26" s="72"/>
    </row>
    <row r="27" spans="1:27" ht="15.95" customHeight="1" x14ac:dyDescent="0.25">
      <c r="B27" s="39" t="s">
        <v>369</v>
      </c>
      <c r="S27" s="72"/>
      <c r="T27" s="72"/>
      <c r="U27" s="72" t="s">
        <v>115</v>
      </c>
      <c r="V27" s="72" t="s">
        <v>100</v>
      </c>
    </row>
    <row r="28" spans="1:27" ht="15.95" customHeight="1" x14ac:dyDescent="0.25">
      <c r="B28" s="39" t="s">
        <v>147</v>
      </c>
      <c r="S28" s="72"/>
      <c r="T28" s="72"/>
      <c r="U28" s="72"/>
      <c r="V28" s="72" t="s">
        <v>99</v>
      </c>
      <c r="AA28" s="72" t="s">
        <v>148</v>
      </c>
    </row>
    <row r="29" spans="1:27" ht="15.95" customHeight="1" thickBot="1" x14ac:dyDescent="0.3">
      <c r="S29" s="72"/>
      <c r="T29" s="72"/>
      <c r="U29" s="72"/>
    </row>
    <row r="30" spans="1:27" ht="15.95" customHeight="1" x14ac:dyDescent="0.25">
      <c r="A30" s="1516" t="s">
        <v>507</v>
      </c>
      <c r="B30" s="1125" t="s">
        <v>150</v>
      </c>
      <c r="C30" s="1126"/>
      <c r="D30" s="1126"/>
      <c r="E30" s="1126"/>
      <c r="F30" s="1126"/>
      <c r="G30" s="1126"/>
      <c r="H30" s="1731" t="s">
        <v>151</v>
      </c>
      <c r="I30" s="1734"/>
      <c r="J30" s="995" t="s">
        <v>153</v>
      </c>
      <c r="K30" s="996"/>
      <c r="L30" s="142"/>
      <c r="M30" s="114"/>
      <c r="N30" s="114"/>
      <c r="O30" s="114"/>
      <c r="P30" s="70"/>
      <c r="Q30" s="70"/>
      <c r="R30" s="70"/>
      <c r="S30" s="73"/>
      <c r="T30" s="117"/>
      <c r="U30" s="117"/>
    </row>
    <row r="31" spans="1:27" ht="15.95" customHeight="1" x14ac:dyDescent="0.25">
      <c r="A31" s="1516"/>
      <c r="B31" s="1127"/>
      <c r="C31" s="1128"/>
      <c r="D31" s="1128"/>
      <c r="E31" s="1128"/>
      <c r="F31" s="1128"/>
      <c r="G31" s="1128"/>
      <c r="H31" s="1732"/>
      <c r="I31" s="1735"/>
      <c r="J31" s="997"/>
      <c r="K31" s="998"/>
      <c r="L31" s="142"/>
      <c r="M31" s="114"/>
      <c r="N31" s="114"/>
      <c r="O31" s="114"/>
      <c r="P31" s="70"/>
      <c r="Q31" s="70"/>
      <c r="R31" s="70"/>
      <c r="S31" s="73"/>
      <c r="T31" s="73"/>
      <c r="U31" s="81" t="s">
        <v>372</v>
      </c>
    </row>
    <row r="32" spans="1:27" ht="15" customHeight="1" thickBot="1" x14ac:dyDescent="0.3">
      <c r="A32" s="1516"/>
      <c r="B32" s="1129"/>
      <c r="C32" s="1130"/>
      <c r="D32" s="1130"/>
      <c r="E32" s="1130"/>
      <c r="F32" s="1130"/>
      <c r="G32" s="1130"/>
      <c r="H32" s="1733"/>
      <c r="I32" s="1736"/>
      <c r="J32" s="999"/>
      <c r="K32" s="1000"/>
      <c r="L32" s="143"/>
      <c r="M32" s="115"/>
      <c r="N32" s="115"/>
      <c r="O32" s="115"/>
      <c r="P32" s="116"/>
      <c r="Q32" s="116"/>
      <c r="R32" s="116"/>
      <c r="S32" s="73"/>
      <c r="T32" s="73"/>
      <c r="U32" s="81"/>
    </row>
    <row r="33" spans="1:28" ht="15" customHeight="1" thickBot="1" x14ac:dyDescent="0.3">
      <c r="A33" s="1516"/>
      <c r="B33" s="1035" t="s">
        <v>154</v>
      </c>
      <c r="C33" s="1036"/>
      <c r="D33" s="1036"/>
      <c r="E33" s="1036"/>
      <c r="F33" s="1036"/>
      <c r="G33" s="1036"/>
      <c r="H33" s="1161"/>
      <c r="I33" s="1344">
        <f>F17</f>
        <v>0</v>
      </c>
      <c r="J33" s="1345"/>
      <c r="K33" s="1346"/>
      <c r="L33" s="1019" t="s">
        <v>155</v>
      </c>
      <c r="M33" s="1020"/>
      <c r="N33" s="1020"/>
      <c r="O33" s="1020"/>
      <c r="P33" s="1629"/>
      <c r="Q33" s="1131" t="s">
        <v>151</v>
      </c>
      <c r="R33" s="1608" t="str">
        <f>IF(B1=V2,"Honorar für die Besonderen Leistungen","Honorarangebot für die Besonderen Leistungen")</f>
        <v>Honorarangebot für die Besonderen Leistungen</v>
      </c>
      <c r="S33" s="1264"/>
      <c r="T33" s="1254" t="s">
        <v>156</v>
      </c>
      <c r="U33" s="1336" t="s">
        <v>157</v>
      </c>
      <c r="V33" s="184"/>
    </row>
    <row r="34" spans="1:28" ht="15" customHeight="1" thickBot="1" x14ac:dyDescent="0.3">
      <c r="A34" s="1516"/>
      <c r="B34" s="1038"/>
      <c r="C34" s="1039"/>
      <c r="D34" s="1039"/>
      <c r="E34" s="1039"/>
      <c r="F34" s="1039"/>
      <c r="G34" s="1039"/>
      <c r="H34" s="1162"/>
      <c r="I34" s="1347"/>
      <c r="J34" s="1348"/>
      <c r="K34" s="1349"/>
      <c r="L34" s="1021"/>
      <c r="M34" s="1022"/>
      <c r="N34" s="1022"/>
      <c r="O34" s="1022"/>
      <c r="P34" s="1630"/>
      <c r="Q34" s="1132"/>
      <c r="R34" s="1609"/>
      <c r="S34" s="1266"/>
      <c r="T34" s="1255"/>
      <c r="U34" s="1336"/>
      <c r="V34" s="184"/>
    </row>
    <row r="35" spans="1:28" ht="15.95" customHeight="1" thickBot="1" x14ac:dyDescent="0.3">
      <c r="A35" s="1516"/>
      <c r="B35" s="1041"/>
      <c r="C35" s="1042"/>
      <c r="D35" s="1042"/>
      <c r="E35" s="1042"/>
      <c r="F35" s="1042"/>
      <c r="G35" s="1042"/>
      <c r="H35" s="1163"/>
      <c r="I35" s="1350"/>
      <c r="J35" s="1351"/>
      <c r="K35" s="1352"/>
      <c r="L35" s="1023"/>
      <c r="M35" s="1024"/>
      <c r="N35" s="1024"/>
      <c r="O35" s="1024"/>
      <c r="P35" s="1631"/>
      <c r="Q35" s="1133"/>
      <c r="R35" s="1753"/>
      <c r="S35" s="1268"/>
      <c r="T35" s="1256"/>
      <c r="U35" s="1336"/>
      <c r="V35" s="184"/>
    </row>
    <row r="36" spans="1:28" ht="15.95" customHeight="1" thickBot="1" x14ac:dyDescent="0.3">
      <c r="A36" s="1516"/>
      <c r="B36" s="1082" t="s">
        <v>159</v>
      </c>
      <c r="C36" s="1083"/>
      <c r="D36" s="1083"/>
      <c r="E36" s="1083"/>
      <c r="F36" s="1083"/>
      <c r="G36" s="1084"/>
      <c r="H36" s="246"/>
      <c r="I36" s="1378"/>
      <c r="J36" s="1379"/>
      <c r="K36" s="1379"/>
      <c r="L36" s="1378"/>
      <c r="M36" s="1379"/>
      <c r="N36" s="1379"/>
      <c r="O36" s="1379"/>
      <c r="P36" s="1380"/>
      <c r="Q36" s="401"/>
      <c r="R36" s="1379"/>
      <c r="S36" s="1632"/>
      <c r="T36" s="71"/>
      <c r="U36" s="154"/>
      <c r="V36" s="149"/>
    </row>
    <row r="37" spans="1:28" ht="14.25" customHeight="1" thickBot="1" x14ac:dyDescent="0.3">
      <c r="A37" s="1516"/>
      <c r="B37" s="1383" t="s">
        <v>508</v>
      </c>
      <c r="C37" s="1384"/>
      <c r="D37" s="1384"/>
      <c r="E37" s="1384"/>
      <c r="F37" s="1384"/>
      <c r="G37" s="1384"/>
      <c r="H37" s="1137" t="s">
        <v>99</v>
      </c>
      <c r="I37" s="1016">
        <f>W43</f>
        <v>0.03</v>
      </c>
      <c r="J37" s="1027">
        <f>$I$33*I37</f>
        <v>0</v>
      </c>
      <c r="K37" s="1028"/>
      <c r="L37" s="1754"/>
      <c r="M37" s="1755"/>
      <c r="N37" s="1755"/>
      <c r="O37" s="1755"/>
      <c r="P37" s="1756"/>
      <c r="Q37" s="1763" t="s">
        <v>100</v>
      </c>
      <c r="R37" s="1728"/>
      <c r="S37" s="1729"/>
      <c r="T37" s="1341" t="str">
        <f>IFERROR(IF((VLOOKUP(U37,Überblick!$M$125:$N$133,2))="ja","ja","nein"),"")</f>
        <v/>
      </c>
      <c r="U37" s="1337"/>
      <c r="V37" s="72">
        <f>IF(AND(Q37="ja",R37=""),1,0)</f>
        <v>0</v>
      </c>
      <c r="W37" s="77">
        <f>IF(H37="ja",X37,0)</f>
        <v>1.4999999999999999E-2</v>
      </c>
      <c r="X37" s="74">
        <f>Z37/2</f>
        <v>1.4999999999999999E-2</v>
      </c>
      <c r="Z37" s="77">
        <v>0.03</v>
      </c>
      <c r="AA37" s="77"/>
      <c r="AB37" s="72">
        <f>IF(Q37="ja",1,0)</f>
        <v>0</v>
      </c>
    </row>
    <row r="38" spans="1:28" ht="15" customHeight="1" thickBot="1" x14ac:dyDescent="0.3">
      <c r="A38" s="1516"/>
      <c r="B38" s="1098"/>
      <c r="C38" s="1099"/>
      <c r="D38" s="1099"/>
      <c r="E38" s="1099"/>
      <c r="F38" s="1099"/>
      <c r="G38" s="1099"/>
      <c r="H38" s="1013"/>
      <c r="I38" s="1017"/>
      <c r="J38" s="1029"/>
      <c r="K38" s="1030"/>
      <c r="L38" s="1757"/>
      <c r="M38" s="1758"/>
      <c r="N38" s="1758"/>
      <c r="O38" s="1758"/>
      <c r="P38" s="1759"/>
      <c r="Q38" s="1727"/>
      <c r="R38" s="1724"/>
      <c r="S38" s="1725"/>
      <c r="T38" s="1342"/>
      <c r="U38" s="1337"/>
      <c r="W38" s="77"/>
      <c r="X38" s="74"/>
      <c r="AB38" s="72">
        <f t="shared" ref="AB38:AB101" si="0">IF(Q38="ja",1,0)</f>
        <v>0</v>
      </c>
    </row>
    <row r="39" spans="1:28" ht="14.25" customHeight="1" thickBot="1" x14ac:dyDescent="0.3">
      <c r="A39" s="1516"/>
      <c r="B39" s="1098"/>
      <c r="C39" s="1099"/>
      <c r="D39" s="1099"/>
      <c r="E39" s="1099"/>
      <c r="F39" s="1099"/>
      <c r="G39" s="1099"/>
      <c r="H39" s="1013"/>
      <c r="I39" s="1017"/>
      <c r="J39" s="1029"/>
      <c r="K39" s="1030"/>
      <c r="L39" s="1757"/>
      <c r="M39" s="1758"/>
      <c r="N39" s="1758"/>
      <c r="O39" s="1758"/>
      <c r="P39" s="1759"/>
      <c r="Q39" s="353" t="s">
        <v>100</v>
      </c>
      <c r="R39" s="1724"/>
      <c r="S39" s="1725"/>
      <c r="T39" s="1342"/>
      <c r="U39" s="1337"/>
      <c r="W39" s="77"/>
      <c r="X39" s="74"/>
      <c r="Z39" s="77"/>
      <c r="AA39" s="77"/>
      <c r="AB39" s="72">
        <f t="shared" si="0"/>
        <v>0</v>
      </c>
    </row>
    <row r="40" spans="1:28" ht="13.6" customHeight="1" thickBot="1" x14ac:dyDescent="0.3">
      <c r="A40" s="1516"/>
      <c r="B40" s="1487" t="s">
        <v>509</v>
      </c>
      <c r="C40" s="1488"/>
      <c r="D40" s="1488"/>
      <c r="E40" s="1488"/>
      <c r="F40" s="1488"/>
      <c r="G40" s="1489"/>
      <c r="H40" s="981" t="s">
        <v>99</v>
      </c>
      <c r="I40" s="1017"/>
      <c r="J40" s="1029"/>
      <c r="K40" s="1030"/>
      <c r="L40" s="1757"/>
      <c r="M40" s="1758"/>
      <c r="N40" s="1758"/>
      <c r="O40" s="1758"/>
      <c r="P40" s="1759"/>
      <c r="Q40" s="1726" t="s">
        <v>100</v>
      </c>
      <c r="R40" s="1724"/>
      <c r="S40" s="1725"/>
      <c r="T40" s="1342"/>
      <c r="U40" s="1337"/>
      <c r="V40" s="72">
        <f t="shared" ref="V40:V86" si="1">IF(AND(Q40="ja",R40=""),1,0)</f>
        <v>0</v>
      </c>
      <c r="W40" s="77">
        <f>IF(H40="ja",X40,0)</f>
        <v>1.4999999999999999E-2</v>
      </c>
      <c r="X40" s="74">
        <f>Z37/2</f>
        <v>1.4999999999999999E-2</v>
      </c>
      <c r="Z40" s="77"/>
      <c r="AA40" s="77"/>
      <c r="AB40" s="72">
        <f t="shared" si="0"/>
        <v>0</v>
      </c>
    </row>
    <row r="41" spans="1:28" ht="13.6" customHeight="1" thickBot="1" x14ac:dyDescent="0.3">
      <c r="A41" s="1516"/>
      <c r="B41" s="1493"/>
      <c r="C41" s="1317"/>
      <c r="D41" s="1317"/>
      <c r="E41" s="1317"/>
      <c r="F41" s="1317"/>
      <c r="G41" s="1494"/>
      <c r="H41" s="982"/>
      <c r="I41" s="1017"/>
      <c r="J41" s="1029"/>
      <c r="K41" s="1030"/>
      <c r="L41" s="1757"/>
      <c r="M41" s="1758"/>
      <c r="N41" s="1758"/>
      <c r="O41" s="1758"/>
      <c r="P41" s="1759"/>
      <c r="Q41" s="1727"/>
      <c r="R41" s="1724"/>
      <c r="S41" s="1725"/>
      <c r="T41" s="1342"/>
      <c r="U41" s="1337"/>
      <c r="W41" s="77"/>
      <c r="X41" s="74"/>
      <c r="Z41" s="77"/>
      <c r="AA41" s="77"/>
      <c r="AB41" s="72">
        <f t="shared" si="0"/>
        <v>0</v>
      </c>
    </row>
    <row r="42" spans="1:28" ht="14.55" thickBot="1" x14ac:dyDescent="0.3">
      <c r="A42" s="1516"/>
      <c r="B42" s="1592"/>
      <c r="C42" s="1593"/>
      <c r="D42" s="1593"/>
      <c r="E42" s="1593"/>
      <c r="F42" s="1593"/>
      <c r="G42" s="1594"/>
      <c r="H42" s="1304"/>
      <c r="I42" s="1018"/>
      <c r="J42" s="1031"/>
      <c r="K42" s="1032"/>
      <c r="L42" s="1760" t="s">
        <v>510</v>
      </c>
      <c r="M42" s="1761"/>
      <c r="N42" s="1761"/>
      <c r="O42" s="1761"/>
      <c r="P42" s="1762"/>
      <c r="Q42" s="353" t="s">
        <v>99</v>
      </c>
      <c r="R42" s="1623"/>
      <c r="S42" s="1624"/>
      <c r="T42" s="1342"/>
      <c r="U42" s="1337"/>
      <c r="W42" s="74"/>
      <c r="X42" s="74"/>
      <c r="AB42" s="72">
        <f t="shared" si="0"/>
        <v>1</v>
      </c>
    </row>
    <row r="43" spans="1:28" ht="14.25" customHeight="1" thickBot="1" x14ac:dyDescent="0.3">
      <c r="A43" s="1516"/>
      <c r="B43" s="1082" t="s">
        <v>172</v>
      </c>
      <c r="C43" s="1083"/>
      <c r="D43" s="1083"/>
      <c r="E43" s="1083"/>
      <c r="F43" s="1083"/>
      <c r="G43" s="1084"/>
      <c r="H43" s="145"/>
      <c r="I43" s="1744"/>
      <c r="J43" s="1745"/>
      <c r="K43" s="1746"/>
      <c r="L43" s="1180">
        <f>SUM(R37:S42)</f>
        <v>0</v>
      </c>
      <c r="M43" s="1181"/>
      <c r="N43" s="1181"/>
      <c r="O43" s="1181"/>
      <c r="P43" s="1181"/>
      <c r="Q43" s="211"/>
      <c r="R43" s="1181"/>
      <c r="S43" s="1272"/>
      <c r="T43" s="334"/>
      <c r="U43" s="335" t="s">
        <v>157</v>
      </c>
      <c r="W43" s="74">
        <f>SUM(W37:W42)</f>
        <v>0.03</v>
      </c>
      <c r="X43" s="75"/>
      <c r="Y43" s="75"/>
      <c r="Z43" s="75"/>
      <c r="AA43" s="75"/>
      <c r="AB43" s="72">
        <f t="shared" si="0"/>
        <v>0</v>
      </c>
    </row>
    <row r="44" spans="1:28" ht="14.25" customHeight="1" x14ac:dyDescent="0.25">
      <c r="A44" s="1516"/>
      <c r="B44" s="1394" t="s">
        <v>511</v>
      </c>
      <c r="C44" s="1395"/>
      <c r="D44" s="1395"/>
      <c r="E44" s="1395"/>
      <c r="F44" s="1395"/>
      <c r="G44" s="1396"/>
      <c r="H44" s="325" t="s">
        <v>99</v>
      </c>
      <c r="I44" s="1016">
        <f>W56</f>
        <v>0.19999999999999998</v>
      </c>
      <c r="J44" s="1044">
        <f>I33*I44</f>
        <v>0</v>
      </c>
      <c r="K44" s="1045"/>
      <c r="L44" s="1749" t="s">
        <v>512</v>
      </c>
      <c r="M44" s="1750"/>
      <c r="N44" s="1750"/>
      <c r="O44" s="1750"/>
      <c r="P44" s="1750"/>
      <c r="Q44" s="1727" t="s">
        <v>99</v>
      </c>
      <c r="R44" s="1627"/>
      <c r="S44" s="1008"/>
      <c r="T44" s="1257" t="str">
        <f>IFERROR(IF((VLOOKUP(U44,Überblick!$M$125:$N$133,2))="ja","ja","nein"),"")</f>
        <v/>
      </c>
      <c r="U44" s="1338"/>
      <c r="V44" s="72">
        <f t="shared" si="1"/>
        <v>1</v>
      </c>
      <c r="W44" s="77">
        <f>IF(H44="ja",X44,0)</f>
        <v>3.3333333333333333E-2</v>
      </c>
      <c r="X44" s="74">
        <f>Z44/6</f>
        <v>3.3333333333333333E-2</v>
      </c>
      <c r="Z44" s="77">
        <v>0.2</v>
      </c>
      <c r="AA44" s="77"/>
      <c r="AB44" s="72">
        <f t="shared" si="0"/>
        <v>1</v>
      </c>
    </row>
    <row r="45" spans="1:28" ht="14.25" customHeight="1" x14ac:dyDescent="0.25">
      <c r="A45" s="1516"/>
      <c r="B45" s="1487" t="s">
        <v>513</v>
      </c>
      <c r="C45" s="1488"/>
      <c r="D45" s="1488"/>
      <c r="E45" s="1488"/>
      <c r="F45" s="1488"/>
      <c r="G45" s="1489"/>
      <c r="H45" s="981" t="s">
        <v>99</v>
      </c>
      <c r="I45" s="1017"/>
      <c r="J45" s="1046"/>
      <c r="K45" s="1047"/>
      <c r="L45" s="1749"/>
      <c r="M45" s="1750"/>
      <c r="N45" s="1750"/>
      <c r="O45" s="1750"/>
      <c r="P45" s="1750"/>
      <c r="Q45" s="1727"/>
      <c r="R45" s="1627"/>
      <c r="S45" s="1008"/>
      <c r="T45" s="1258"/>
      <c r="U45" s="1339"/>
      <c r="W45" s="77">
        <f>IF(H45="ja",X45,0)</f>
        <v>3.3333333333333333E-2</v>
      </c>
      <c r="X45" s="74">
        <f>Z44/6</f>
        <v>3.3333333333333333E-2</v>
      </c>
      <c r="AB45" s="72">
        <f t="shared" si="0"/>
        <v>0</v>
      </c>
    </row>
    <row r="46" spans="1:28" ht="14.25" customHeight="1" x14ac:dyDescent="0.25">
      <c r="A46" s="1516"/>
      <c r="B46" s="1493"/>
      <c r="C46" s="1317"/>
      <c r="D46" s="1317"/>
      <c r="E46" s="1317"/>
      <c r="F46" s="1317"/>
      <c r="G46" s="1494"/>
      <c r="H46" s="982"/>
      <c r="I46" s="1017"/>
      <c r="J46" s="1046"/>
      <c r="K46" s="1047"/>
      <c r="L46" s="1751"/>
      <c r="M46" s="1752"/>
      <c r="N46" s="1752"/>
      <c r="O46" s="1752"/>
      <c r="P46" s="1752"/>
      <c r="Q46" s="1743"/>
      <c r="R46" s="1628"/>
      <c r="S46" s="1270"/>
      <c r="T46" s="1258"/>
      <c r="U46" s="1339"/>
      <c r="X46" s="74"/>
      <c r="AB46" s="72">
        <f t="shared" si="0"/>
        <v>0</v>
      </c>
    </row>
    <row r="47" spans="1:28" ht="14.25" customHeight="1" x14ac:dyDescent="0.25">
      <c r="A47" s="1516"/>
      <c r="B47" s="1490"/>
      <c r="C47" s="1491"/>
      <c r="D47" s="1491"/>
      <c r="E47" s="1491"/>
      <c r="F47" s="1491"/>
      <c r="G47" s="1492"/>
      <c r="H47" s="983"/>
      <c r="I47" s="1017"/>
      <c r="J47" s="1046"/>
      <c r="K47" s="1047"/>
      <c r="L47" s="1737" t="s">
        <v>990</v>
      </c>
      <c r="M47" s="1738"/>
      <c r="N47" s="1738"/>
      <c r="O47" s="1738"/>
      <c r="P47" s="1738"/>
      <c r="Q47" s="1726" t="s">
        <v>99</v>
      </c>
      <c r="R47" s="1764"/>
      <c r="S47" s="1006"/>
      <c r="T47" s="1258"/>
      <c r="U47" s="1339"/>
      <c r="V47" s="72">
        <f t="shared" si="1"/>
        <v>1</v>
      </c>
      <c r="X47" s="74"/>
      <c r="AB47" s="72">
        <f t="shared" si="0"/>
        <v>1</v>
      </c>
    </row>
    <row r="48" spans="1:28" ht="14.25" customHeight="1" x14ac:dyDescent="0.25">
      <c r="A48" s="1516"/>
      <c r="B48" s="1103" t="s">
        <v>515</v>
      </c>
      <c r="C48" s="1104"/>
      <c r="D48" s="1104"/>
      <c r="E48" s="1104"/>
      <c r="F48" s="1104"/>
      <c r="G48" s="1105"/>
      <c r="H48" s="1190" t="s">
        <v>99</v>
      </c>
      <c r="I48" s="1017"/>
      <c r="J48" s="1046"/>
      <c r="K48" s="1047"/>
      <c r="L48" s="1739"/>
      <c r="M48" s="1740"/>
      <c r="N48" s="1740"/>
      <c r="O48" s="1740"/>
      <c r="P48" s="1740"/>
      <c r="Q48" s="1727"/>
      <c r="R48" s="1627"/>
      <c r="S48" s="1008"/>
      <c r="T48" s="1258"/>
      <c r="U48" s="1339"/>
      <c r="W48" s="77">
        <f>IF(H48="ja",X48,0)</f>
        <v>3.3333333333333333E-2</v>
      </c>
      <c r="X48" s="74">
        <f>Z44/6</f>
        <v>3.3333333333333333E-2</v>
      </c>
      <c r="AB48" s="72">
        <f t="shared" si="0"/>
        <v>0</v>
      </c>
    </row>
    <row r="49" spans="1:42" ht="14.25" customHeight="1" x14ac:dyDescent="0.25">
      <c r="A49" s="1516"/>
      <c r="B49" s="1103"/>
      <c r="C49" s="1104"/>
      <c r="D49" s="1104"/>
      <c r="E49" s="1104"/>
      <c r="F49" s="1104"/>
      <c r="G49" s="1105"/>
      <c r="H49" s="1191"/>
      <c r="I49" s="1017"/>
      <c r="J49" s="1046"/>
      <c r="K49" s="1047"/>
      <c r="L49" s="1741"/>
      <c r="M49" s="1742"/>
      <c r="N49" s="1742"/>
      <c r="O49" s="1742"/>
      <c r="P49" s="1742"/>
      <c r="Q49" s="1743"/>
      <c r="R49" s="1628"/>
      <c r="S49" s="1270"/>
      <c r="T49" s="1258"/>
      <c r="U49" s="1339"/>
      <c r="X49" s="74"/>
      <c r="AB49" s="72">
        <f t="shared" si="0"/>
        <v>0</v>
      </c>
    </row>
    <row r="50" spans="1:42" ht="14.25" customHeight="1" x14ac:dyDescent="0.25">
      <c r="A50" s="1516"/>
      <c r="B50" s="1103" t="s">
        <v>516</v>
      </c>
      <c r="C50" s="1104"/>
      <c r="D50" s="1104"/>
      <c r="E50" s="1104"/>
      <c r="F50" s="1104"/>
      <c r="G50" s="1105"/>
      <c r="H50" s="1190" t="s">
        <v>99</v>
      </c>
      <c r="I50" s="1017"/>
      <c r="J50" s="1046"/>
      <c r="K50" s="1047"/>
      <c r="L50" s="1737"/>
      <c r="M50" s="1738"/>
      <c r="N50" s="1738"/>
      <c r="O50" s="1738"/>
      <c r="P50" s="1738"/>
      <c r="Q50" s="1726" t="s">
        <v>100</v>
      </c>
      <c r="R50" s="1764"/>
      <c r="S50" s="1006"/>
      <c r="T50" s="1258"/>
      <c r="U50" s="1339"/>
      <c r="V50" s="72">
        <f t="shared" si="1"/>
        <v>0</v>
      </c>
      <c r="W50" s="77">
        <f>IF(H50="ja",X50,0)</f>
        <v>3.3333333333333333E-2</v>
      </c>
      <c r="X50" s="74">
        <f>Z44/6</f>
        <v>3.3333333333333333E-2</v>
      </c>
      <c r="AB50" s="72">
        <f t="shared" si="0"/>
        <v>0</v>
      </c>
    </row>
    <row r="51" spans="1:42" ht="14.25" customHeight="1" x14ac:dyDescent="0.25">
      <c r="A51" s="1516"/>
      <c r="B51" s="1103"/>
      <c r="C51" s="1104"/>
      <c r="D51" s="1104"/>
      <c r="E51" s="1104"/>
      <c r="F51" s="1104"/>
      <c r="G51" s="1105"/>
      <c r="H51" s="1193"/>
      <c r="I51" s="1017"/>
      <c r="J51" s="1046"/>
      <c r="K51" s="1047"/>
      <c r="L51" s="1739"/>
      <c r="M51" s="1740"/>
      <c r="N51" s="1740"/>
      <c r="O51" s="1740"/>
      <c r="P51" s="1740"/>
      <c r="Q51" s="1727"/>
      <c r="R51" s="1627"/>
      <c r="S51" s="1008"/>
      <c r="T51" s="1258"/>
      <c r="U51" s="1339"/>
      <c r="X51" s="74"/>
      <c r="Z51" s="77"/>
      <c r="AA51" s="77"/>
      <c r="AB51" s="72">
        <f t="shared" si="0"/>
        <v>0</v>
      </c>
    </row>
    <row r="52" spans="1:42" ht="14.25" customHeight="1" x14ac:dyDescent="0.25">
      <c r="A52" s="1516"/>
      <c r="B52" s="1103" t="s">
        <v>518</v>
      </c>
      <c r="C52" s="1104"/>
      <c r="D52" s="1104"/>
      <c r="E52" s="1104"/>
      <c r="F52" s="1104"/>
      <c r="G52" s="1105"/>
      <c r="H52" s="1190" t="s">
        <v>99</v>
      </c>
      <c r="I52" s="1017"/>
      <c r="J52" s="1046"/>
      <c r="K52" s="1047"/>
      <c r="L52" s="1741"/>
      <c r="M52" s="1742"/>
      <c r="N52" s="1742"/>
      <c r="O52" s="1742"/>
      <c r="P52" s="1742"/>
      <c r="Q52" s="1743"/>
      <c r="R52" s="1628"/>
      <c r="S52" s="1270"/>
      <c r="T52" s="1258"/>
      <c r="U52" s="1339"/>
      <c r="W52" s="77">
        <f>IF(H52="ja",X52,0)</f>
        <v>3.3333333333333333E-2</v>
      </c>
      <c r="X52" s="74">
        <f>Z44/6</f>
        <v>3.3333333333333333E-2</v>
      </c>
      <c r="AB52" s="72">
        <f t="shared" si="0"/>
        <v>0</v>
      </c>
    </row>
    <row r="53" spans="1:42" ht="14.25" customHeight="1" x14ac:dyDescent="0.25">
      <c r="A53" s="1516"/>
      <c r="B53" s="1103"/>
      <c r="C53" s="1104"/>
      <c r="D53" s="1104"/>
      <c r="E53" s="1104"/>
      <c r="F53" s="1104"/>
      <c r="G53" s="1105"/>
      <c r="H53" s="1191"/>
      <c r="I53" s="1017"/>
      <c r="J53" s="1046"/>
      <c r="K53" s="1047"/>
      <c r="L53" s="1737"/>
      <c r="M53" s="1738"/>
      <c r="N53" s="1738"/>
      <c r="O53" s="1738"/>
      <c r="P53" s="1738"/>
      <c r="Q53" s="1726" t="s">
        <v>100</v>
      </c>
      <c r="R53" s="1764"/>
      <c r="S53" s="1006"/>
      <c r="T53" s="1258"/>
      <c r="U53" s="1339"/>
      <c r="V53" s="72">
        <f t="shared" si="1"/>
        <v>0</v>
      </c>
      <c r="X53" s="74"/>
      <c r="Z53" s="77"/>
      <c r="AA53" s="77"/>
      <c r="AB53" s="72">
        <f t="shared" si="0"/>
        <v>0</v>
      </c>
    </row>
    <row r="54" spans="1:42" ht="14.25" customHeight="1" x14ac:dyDescent="0.25">
      <c r="A54" s="1516"/>
      <c r="B54" s="1103" t="s">
        <v>519</v>
      </c>
      <c r="C54" s="1104"/>
      <c r="D54" s="1104"/>
      <c r="E54" s="1104"/>
      <c r="F54" s="1104"/>
      <c r="G54" s="1105"/>
      <c r="H54" s="1190" t="s">
        <v>99</v>
      </c>
      <c r="I54" s="1017"/>
      <c r="J54" s="1046"/>
      <c r="K54" s="1047"/>
      <c r="L54" s="1739"/>
      <c r="M54" s="1740"/>
      <c r="N54" s="1740"/>
      <c r="O54" s="1740"/>
      <c r="P54" s="1740"/>
      <c r="Q54" s="1727"/>
      <c r="R54" s="1627"/>
      <c r="S54" s="1008"/>
      <c r="T54" s="1258"/>
      <c r="U54" s="1339"/>
      <c r="W54" s="77">
        <f>IF(H54="ja",X54,0)</f>
        <v>3.3333333333333333E-2</v>
      </c>
      <c r="X54" s="74">
        <f>Z44/6</f>
        <v>3.3333333333333333E-2</v>
      </c>
      <c r="Z54" s="77"/>
      <c r="AA54" s="77"/>
      <c r="AB54" s="72">
        <f t="shared" si="0"/>
        <v>0</v>
      </c>
    </row>
    <row r="55" spans="1:42" ht="14.25" customHeight="1" thickBot="1" x14ac:dyDescent="0.3">
      <c r="A55" s="1516"/>
      <c r="B55" s="1103"/>
      <c r="C55" s="1104"/>
      <c r="D55" s="1104"/>
      <c r="E55" s="1104"/>
      <c r="F55" s="1104"/>
      <c r="G55" s="1105"/>
      <c r="H55" s="1191"/>
      <c r="I55" s="1018"/>
      <c r="J55" s="1048"/>
      <c r="K55" s="1049"/>
      <c r="L55" s="1741"/>
      <c r="M55" s="1742"/>
      <c r="N55" s="1742"/>
      <c r="O55" s="1742"/>
      <c r="P55" s="1742"/>
      <c r="Q55" s="1743"/>
      <c r="R55" s="1628"/>
      <c r="S55" s="1270"/>
      <c r="T55" s="1258"/>
      <c r="U55" s="1339"/>
      <c r="W55" s="74"/>
      <c r="X55" s="74"/>
      <c r="Z55" s="77"/>
      <c r="AA55" s="77"/>
      <c r="AB55" s="72">
        <f t="shared" si="0"/>
        <v>0</v>
      </c>
    </row>
    <row r="56" spans="1:42" ht="14.25" customHeight="1" x14ac:dyDescent="0.25">
      <c r="A56" s="1516"/>
      <c r="B56" s="1035" t="s">
        <v>154</v>
      </c>
      <c r="C56" s="1036"/>
      <c r="D56" s="1036"/>
      <c r="E56" s="1036"/>
      <c r="F56" s="1036"/>
      <c r="G56" s="1036"/>
      <c r="H56" s="1161"/>
      <c r="I56" s="1035">
        <f>IF(J17="Kostenschätzung liegt noch nicht vor",I33,J17)</f>
        <v>0</v>
      </c>
      <c r="J56" s="1036"/>
      <c r="K56" s="1037"/>
      <c r="L56" s="1355">
        <f>SUM(R44:S55)</f>
        <v>0</v>
      </c>
      <c r="M56" s="1356"/>
      <c r="N56" s="1356"/>
      <c r="O56" s="1356"/>
      <c r="P56" s="1356"/>
      <c r="Q56" s="1795"/>
      <c r="R56" s="1356"/>
      <c r="S56" s="1798"/>
      <c r="T56" s="1260"/>
      <c r="U56" s="1257"/>
      <c r="W56" s="74">
        <f>SUM(W44:W55)</f>
        <v>0.19999999999999998</v>
      </c>
      <c r="X56" s="75"/>
      <c r="Y56" s="75"/>
      <c r="AB56" s="72">
        <f t="shared" si="0"/>
        <v>0</v>
      </c>
    </row>
    <row r="57" spans="1:42" ht="14.25" customHeight="1" x14ac:dyDescent="0.25">
      <c r="A57" s="1516"/>
      <c r="B57" s="1038"/>
      <c r="C57" s="1039"/>
      <c r="D57" s="1039"/>
      <c r="E57" s="1039"/>
      <c r="F57" s="1039"/>
      <c r="G57" s="1039"/>
      <c r="H57" s="1162"/>
      <c r="I57" s="1038"/>
      <c r="J57" s="1039"/>
      <c r="K57" s="1040"/>
      <c r="L57" s="1357"/>
      <c r="M57" s="1358"/>
      <c r="N57" s="1358"/>
      <c r="O57" s="1358"/>
      <c r="P57" s="1358"/>
      <c r="Q57" s="1796"/>
      <c r="R57" s="1358"/>
      <c r="S57" s="1799"/>
      <c r="T57" s="1261"/>
      <c r="U57" s="1258"/>
      <c r="W57" s="76"/>
      <c r="X57" s="74"/>
      <c r="AB57" s="72">
        <f t="shared" si="0"/>
        <v>0</v>
      </c>
    </row>
    <row r="58" spans="1:42" ht="14.25" customHeight="1" thickBot="1" x14ac:dyDescent="0.3">
      <c r="A58" s="1516"/>
      <c r="B58" s="1041"/>
      <c r="C58" s="1042"/>
      <c r="D58" s="1042"/>
      <c r="E58" s="1042"/>
      <c r="F58" s="1042"/>
      <c r="G58" s="1042"/>
      <c r="H58" s="1163"/>
      <c r="I58" s="1041"/>
      <c r="J58" s="1042"/>
      <c r="K58" s="1043"/>
      <c r="L58" s="1359"/>
      <c r="M58" s="1360"/>
      <c r="N58" s="1360"/>
      <c r="O58" s="1360"/>
      <c r="P58" s="1360"/>
      <c r="Q58" s="1797"/>
      <c r="R58" s="1360"/>
      <c r="S58" s="1800"/>
      <c r="T58" s="1262"/>
      <c r="U58" s="1259"/>
      <c r="W58" s="76"/>
      <c r="X58" s="74"/>
      <c r="AB58" s="72">
        <f t="shared" si="0"/>
        <v>0</v>
      </c>
    </row>
    <row r="59" spans="1:42" ht="14.25" customHeight="1" thickBot="1" x14ac:dyDescent="0.3">
      <c r="A59" s="1516"/>
      <c r="B59" s="1082" t="s">
        <v>186</v>
      </c>
      <c r="C59" s="1083"/>
      <c r="D59" s="1083"/>
      <c r="E59" s="1083"/>
      <c r="F59" s="1083"/>
      <c r="G59" s="1084"/>
      <c r="H59" s="144"/>
      <c r="I59" s="1361"/>
      <c r="J59" s="1362"/>
      <c r="K59" s="1576"/>
      <c r="L59" s="1361"/>
      <c r="M59" s="1362"/>
      <c r="N59" s="1362"/>
      <c r="O59" s="1362"/>
      <c r="P59" s="1362"/>
      <c r="Q59" s="212"/>
      <c r="R59" s="1181"/>
      <c r="S59" s="1272"/>
      <c r="U59" s="335" t="s">
        <v>157</v>
      </c>
      <c r="W59" s="74"/>
      <c r="X59" s="150"/>
      <c r="Y59" s="150"/>
      <c r="Z59" s="150"/>
      <c r="AB59" s="72">
        <f t="shared" si="0"/>
        <v>0</v>
      </c>
    </row>
    <row r="60" spans="1:42" ht="14.25" customHeight="1" x14ac:dyDescent="0.25">
      <c r="A60" s="1516"/>
      <c r="B60" s="1497" t="s">
        <v>520</v>
      </c>
      <c r="C60" s="1498"/>
      <c r="D60" s="1498"/>
      <c r="E60" s="1498"/>
      <c r="F60" s="1498"/>
      <c r="G60" s="1499"/>
      <c r="H60" s="1194" t="s">
        <v>99</v>
      </c>
      <c r="I60" s="1016">
        <f>W73</f>
        <v>0.4</v>
      </c>
      <c r="J60" s="1044">
        <f>I60*I56</f>
        <v>0</v>
      </c>
      <c r="K60" s="1045"/>
      <c r="L60" s="1739" t="s">
        <v>989</v>
      </c>
      <c r="M60" s="1740"/>
      <c r="N60" s="1740"/>
      <c r="O60" s="1740"/>
      <c r="P60" s="1740"/>
      <c r="Q60" s="1727" t="s">
        <v>99</v>
      </c>
      <c r="R60" s="1627"/>
      <c r="S60" s="1008"/>
      <c r="T60" s="1257" t="str">
        <f>IFERROR(IF((VLOOKUP(U60,Überblick!$M$125:$N$133,2))="ja","ja","nein"),"")</f>
        <v/>
      </c>
      <c r="U60" s="1338"/>
      <c r="V60" s="72">
        <f t="shared" si="1"/>
        <v>1</v>
      </c>
      <c r="W60" s="77">
        <f>IF(H60="ja",X60,0)</f>
        <v>0.1</v>
      </c>
      <c r="X60" s="74">
        <f>Z60/4</f>
        <v>0.1</v>
      </c>
      <c r="Z60" s="348">
        <v>0.4</v>
      </c>
      <c r="AB60" s="72">
        <f t="shared" si="0"/>
        <v>1</v>
      </c>
      <c r="AI60" s="192"/>
      <c r="AJ60" s="192"/>
      <c r="AK60" s="68"/>
      <c r="AL60" s="68"/>
      <c r="AM60" s="68"/>
      <c r="AN60" s="68"/>
      <c r="AO60" s="68"/>
      <c r="AP60" s="68"/>
    </row>
    <row r="61" spans="1:42" ht="14.25" customHeight="1" x14ac:dyDescent="0.25">
      <c r="A61" s="1516"/>
      <c r="B61" s="1493"/>
      <c r="C61" s="1317"/>
      <c r="D61" s="1317"/>
      <c r="E61" s="1317"/>
      <c r="F61" s="1317"/>
      <c r="G61" s="1494"/>
      <c r="H61" s="982"/>
      <c r="I61" s="1017"/>
      <c r="J61" s="1046"/>
      <c r="K61" s="1047"/>
      <c r="L61" s="1739"/>
      <c r="M61" s="1740"/>
      <c r="N61" s="1740"/>
      <c r="O61" s="1740"/>
      <c r="P61" s="1740"/>
      <c r="Q61" s="1727"/>
      <c r="R61" s="1627"/>
      <c r="S61" s="1008"/>
      <c r="T61" s="1258"/>
      <c r="U61" s="1339"/>
      <c r="X61" s="74"/>
      <c r="AB61" s="72">
        <f t="shared" si="0"/>
        <v>0</v>
      </c>
      <c r="AI61" s="68"/>
      <c r="AJ61" s="68"/>
      <c r="AK61" s="68"/>
      <c r="AL61" s="68"/>
      <c r="AM61" s="68"/>
      <c r="AN61" s="68"/>
      <c r="AO61" s="68"/>
      <c r="AP61" s="68"/>
    </row>
    <row r="62" spans="1:42" ht="38.549999999999997" customHeight="1" x14ac:dyDescent="0.25">
      <c r="A62" s="1516"/>
      <c r="B62" s="1493"/>
      <c r="C62" s="1317"/>
      <c r="D62" s="1317"/>
      <c r="E62" s="1317"/>
      <c r="F62" s="1317"/>
      <c r="G62" s="1494"/>
      <c r="H62" s="983"/>
      <c r="I62" s="1017"/>
      <c r="J62" s="1046"/>
      <c r="K62" s="1047"/>
      <c r="L62" s="1741"/>
      <c r="M62" s="1742"/>
      <c r="N62" s="1742"/>
      <c r="O62" s="1742"/>
      <c r="P62" s="1742"/>
      <c r="Q62" s="1743"/>
      <c r="R62" s="1628"/>
      <c r="S62" s="1270"/>
      <c r="T62" s="1258"/>
      <c r="U62" s="1339"/>
      <c r="X62" s="74"/>
      <c r="AB62" s="72">
        <f t="shared" si="0"/>
        <v>0</v>
      </c>
      <c r="AI62" s="68"/>
      <c r="AJ62" s="68"/>
      <c r="AK62" s="68"/>
      <c r="AL62" s="68"/>
      <c r="AM62" s="68"/>
      <c r="AN62" s="68"/>
      <c r="AO62" s="68"/>
      <c r="AP62" s="68"/>
    </row>
    <row r="63" spans="1:42" ht="14.25" customHeight="1" x14ac:dyDescent="0.25">
      <c r="A63" s="1516"/>
      <c r="B63" s="1487" t="s">
        <v>522</v>
      </c>
      <c r="C63" s="1488"/>
      <c r="D63" s="1488"/>
      <c r="E63" s="1488"/>
      <c r="F63" s="1488"/>
      <c r="G63" s="1489"/>
      <c r="H63" s="981" t="s">
        <v>99</v>
      </c>
      <c r="I63" s="1017"/>
      <c r="J63" s="1046"/>
      <c r="K63" s="1047"/>
      <c r="L63" s="1747" t="s">
        <v>988</v>
      </c>
      <c r="M63" s="1748"/>
      <c r="N63" s="1748"/>
      <c r="O63" s="1748"/>
      <c r="P63" s="1748"/>
      <c r="Q63" s="1726" t="s">
        <v>99</v>
      </c>
      <c r="R63" s="1764"/>
      <c r="S63" s="1006"/>
      <c r="T63" s="1258"/>
      <c r="U63" s="1339"/>
      <c r="V63" s="72">
        <f t="shared" si="1"/>
        <v>1</v>
      </c>
      <c r="W63" s="77">
        <f>IF(H63="ja",X63,0)</f>
        <v>0.1</v>
      </c>
      <c r="X63" s="74">
        <f>Z60/4</f>
        <v>0.1</v>
      </c>
      <c r="AB63" s="72">
        <f t="shared" si="0"/>
        <v>1</v>
      </c>
      <c r="AI63" s="68"/>
      <c r="AJ63" s="68"/>
      <c r="AK63" s="68"/>
      <c r="AL63" s="68"/>
      <c r="AM63" s="68"/>
      <c r="AN63" s="68"/>
      <c r="AO63" s="68"/>
      <c r="AP63" s="68"/>
    </row>
    <row r="64" spans="1:42" ht="14.25" customHeight="1" x14ac:dyDescent="0.25">
      <c r="A64" s="1516"/>
      <c r="B64" s="1493"/>
      <c r="C64" s="1317"/>
      <c r="D64" s="1317"/>
      <c r="E64" s="1317"/>
      <c r="F64" s="1317"/>
      <c r="G64" s="1494"/>
      <c r="H64" s="982"/>
      <c r="I64" s="1017"/>
      <c r="J64" s="1046"/>
      <c r="K64" s="1047"/>
      <c r="L64" s="1749"/>
      <c r="M64" s="1750"/>
      <c r="N64" s="1750"/>
      <c r="O64" s="1750"/>
      <c r="P64" s="1750"/>
      <c r="Q64" s="1727"/>
      <c r="R64" s="1627"/>
      <c r="S64" s="1008"/>
      <c r="T64" s="1258"/>
      <c r="U64" s="1339"/>
      <c r="W64" s="77"/>
      <c r="X64" s="74"/>
      <c r="AB64" s="72">
        <f t="shared" si="0"/>
        <v>0</v>
      </c>
      <c r="AI64" s="192"/>
      <c r="AJ64" s="192"/>
      <c r="AK64" s="68"/>
      <c r="AL64" s="68"/>
      <c r="AM64" s="68"/>
      <c r="AN64" s="68"/>
      <c r="AO64" s="68"/>
      <c r="AP64" s="68"/>
    </row>
    <row r="65" spans="1:42" ht="14.25" customHeight="1" x14ac:dyDescent="0.25">
      <c r="A65" s="1516"/>
      <c r="B65" s="1493"/>
      <c r="C65" s="1317"/>
      <c r="D65" s="1317"/>
      <c r="E65" s="1317"/>
      <c r="F65" s="1317"/>
      <c r="G65" s="1494"/>
      <c r="H65" s="982"/>
      <c r="I65" s="1017"/>
      <c r="J65" s="1046"/>
      <c r="K65" s="1047"/>
      <c r="L65" s="1751"/>
      <c r="M65" s="1752"/>
      <c r="N65" s="1752"/>
      <c r="O65" s="1752"/>
      <c r="P65" s="1752"/>
      <c r="Q65" s="1743"/>
      <c r="R65" s="1628"/>
      <c r="S65" s="1270"/>
      <c r="T65" s="1258"/>
      <c r="U65" s="1339"/>
      <c r="W65" s="77"/>
      <c r="X65" s="74"/>
      <c r="AB65" s="72">
        <f t="shared" si="0"/>
        <v>0</v>
      </c>
      <c r="AI65" s="192"/>
      <c r="AJ65" s="192"/>
      <c r="AK65" s="68"/>
      <c r="AL65" s="68"/>
      <c r="AM65" s="68"/>
      <c r="AN65" s="68"/>
      <c r="AO65" s="68"/>
      <c r="AP65" s="68"/>
    </row>
    <row r="66" spans="1:42" ht="14.25" customHeight="1" x14ac:dyDescent="0.25">
      <c r="A66" s="1516"/>
      <c r="B66" s="1490"/>
      <c r="C66" s="1491"/>
      <c r="D66" s="1491"/>
      <c r="E66" s="1491"/>
      <c r="F66" s="1491"/>
      <c r="G66" s="1492"/>
      <c r="H66" s="983"/>
      <c r="I66" s="1017"/>
      <c r="J66" s="1046"/>
      <c r="K66" s="1047"/>
      <c r="L66" s="1737"/>
      <c r="M66" s="1738"/>
      <c r="N66" s="1738"/>
      <c r="O66" s="1738"/>
      <c r="P66" s="1738"/>
      <c r="Q66" s="1726" t="s">
        <v>100</v>
      </c>
      <c r="R66" s="1764"/>
      <c r="S66" s="1006"/>
      <c r="T66" s="1258"/>
      <c r="U66" s="1339"/>
      <c r="V66" s="72">
        <f t="shared" si="1"/>
        <v>0</v>
      </c>
      <c r="X66" s="74"/>
      <c r="AB66" s="72">
        <f t="shared" si="0"/>
        <v>0</v>
      </c>
      <c r="AI66" s="192"/>
      <c r="AJ66" s="192"/>
      <c r="AK66" s="68"/>
      <c r="AL66" s="68"/>
      <c r="AM66" s="68"/>
      <c r="AN66" s="68"/>
      <c r="AO66" s="68"/>
      <c r="AP66" s="68"/>
    </row>
    <row r="67" spans="1:42" ht="14.25" customHeight="1" x14ac:dyDescent="0.25">
      <c r="A67" s="1516"/>
      <c r="B67" s="1784" t="s">
        <v>523</v>
      </c>
      <c r="C67" s="1785"/>
      <c r="D67" s="1785"/>
      <c r="E67" s="1785"/>
      <c r="F67" s="1785"/>
      <c r="G67" s="1786"/>
      <c r="H67" s="981" t="s">
        <v>99</v>
      </c>
      <c r="I67" s="1017"/>
      <c r="J67" s="1046"/>
      <c r="K67" s="1047"/>
      <c r="L67" s="1739"/>
      <c r="M67" s="1740"/>
      <c r="N67" s="1740"/>
      <c r="O67" s="1740"/>
      <c r="P67" s="1740"/>
      <c r="Q67" s="1727"/>
      <c r="R67" s="1627"/>
      <c r="S67" s="1008"/>
      <c r="T67" s="1258"/>
      <c r="U67" s="1339"/>
      <c r="W67" s="77">
        <f>IF(H67="ja",X67,0)</f>
        <v>0.1</v>
      </c>
      <c r="X67" s="74">
        <f>Z60/4</f>
        <v>0.1</v>
      </c>
      <c r="AB67" s="72">
        <f t="shared" si="0"/>
        <v>0</v>
      </c>
      <c r="AI67" s="192"/>
      <c r="AJ67" s="192"/>
      <c r="AK67" s="68"/>
      <c r="AL67" s="68"/>
      <c r="AM67" s="68"/>
      <c r="AN67" s="68"/>
      <c r="AO67" s="68"/>
      <c r="AP67" s="68"/>
    </row>
    <row r="68" spans="1:42" ht="14.25" customHeight="1" x14ac:dyDescent="0.25">
      <c r="A68" s="1516"/>
      <c r="B68" s="1784"/>
      <c r="C68" s="1785"/>
      <c r="D68" s="1785"/>
      <c r="E68" s="1785"/>
      <c r="F68" s="1785"/>
      <c r="G68" s="1786"/>
      <c r="H68" s="982"/>
      <c r="I68" s="1017"/>
      <c r="J68" s="1046"/>
      <c r="K68" s="1047"/>
      <c r="L68" s="1741"/>
      <c r="M68" s="1742"/>
      <c r="N68" s="1742"/>
      <c r="O68" s="1742"/>
      <c r="P68" s="1742"/>
      <c r="Q68" s="1743"/>
      <c r="R68" s="1628"/>
      <c r="S68" s="1270"/>
      <c r="T68" s="1258"/>
      <c r="U68" s="1339"/>
      <c r="X68" s="74"/>
      <c r="AB68" s="72">
        <f t="shared" si="0"/>
        <v>0</v>
      </c>
      <c r="AI68" s="192"/>
      <c r="AJ68" s="192"/>
      <c r="AK68" s="68"/>
      <c r="AL68" s="68"/>
      <c r="AM68" s="68"/>
      <c r="AN68" s="68"/>
      <c r="AO68" s="68"/>
      <c r="AP68" s="68"/>
    </row>
    <row r="69" spans="1:42" ht="14.25" customHeight="1" x14ac:dyDescent="0.25">
      <c r="A69" s="1516"/>
      <c r="B69" s="1787"/>
      <c r="C69" s="1788"/>
      <c r="D69" s="1788"/>
      <c r="E69" s="1788"/>
      <c r="F69" s="1788"/>
      <c r="G69" s="1789"/>
      <c r="H69" s="983"/>
      <c r="I69" s="1017"/>
      <c r="J69" s="1046"/>
      <c r="K69" s="1047"/>
      <c r="L69" s="1737"/>
      <c r="M69" s="1738"/>
      <c r="N69" s="1738"/>
      <c r="O69" s="1738"/>
      <c r="P69" s="1738"/>
      <c r="Q69" s="1726" t="s">
        <v>100</v>
      </c>
      <c r="R69" s="1764"/>
      <c r="S69" s="1006"/>
      <c r="T69" s="1258"/>
      <c r="U69" s="1339"/>
      <c r="V69" s="72">
        <f t="shared" si="1"/>
        <v>0</v>
      </c>
      <c r="X69" s="74"/>
      <c r="AB69" s="72">
        <f t="shared" si="0"/>
        <v>0</v>
      </c>
      <c r="AI69" s="192"/>
      <c r="AJ69" s="192"/>
      <c r="AK69" s="68"/>
      <c r="AL69" s="68"/>
      <c r="AM69" s="68"/>
      <c r="AN69" s="68"/>
      <c r="AO69" s="68"/>
      <c r="AP69" s="68"/>
    </row>
    <row r="70" spans="1:42" ht="14.25" customHeight="1" x14ac:dyDescent="0.25">
      <c r="A70" s="1516"/>
      <c r="B70" s="1077" t="s">
        <v>524</v>
      </c>
      <c r="C70" s="1078"/>
      <c r="D70" s="1078"/>
      <c r="E70" s="1078"/>
      <c r="F70" s="1078"/>
      <c r="G70" s="1078"/>
      <c r="H70" s="981" t="s">
        <v>99</v>
      </c>
      <c r="I70" s="1017"/>
      <c r="J70" s="1046"/>
      <c r="K70" s="1047"/>
      <c r="L70" s="1739"/>
      <c r="M70" s="1740"/>
      <c r="N70" s="1740"/>
      <c r="O70" s="1740"/>
      <c r="P70" s="1740"/>
      <c r="Q70" s="1727"/>
      <c r="R70" s="1627"/>
      <c r="S70" s="1008"/>
      <c r="T70" s="1258"/>
      <c r="U70" s="1339"/>
      <c r="W70" s="77">
        <f>IF(H70="ja",X70,0)</f>
        <v>0.1</v>
      </c>
      <c r="X70" s="74">
        <f>Z60/4</f>
        <v>0.1</v>
      </c>
      <c r="AB70" s="72">
        <f t="shared" si="0"/>
        <v>0</v>
      </c>
      <c r="AI70" s="192"/>
      <c r="AJ70" s="192"/>
      <c r="AK70" s="68"/>
      <c r="AL70" s="68"/>
      <c r="AM70" s="68"/>
      <c r="AN70" s="68"/>
      <c r="AO70" s="68"/>
      <c r="AP70" s="68"/>
    </row>
    <row r="71" spans="1:42" ht="14.25" customHeight="1" x14ac:dyDescent="0.25">
      <c r="A71" s="1516"/>
      <c r="B71" s="1072"/>
      <c r="C71" s="913"/>
      <c r="D71" s="913"/>
      <c r="E71" s="913"/>
      <c r="F71" s="913"/>
      <c r="G71" s="913"/>
      <c r="H71" s="982"/>
      <c r="I71" s="1017"/>
      <c r="J71" s="1046"/>
      <c r="K71" s="1047"/>
      <c r="L71" s="1741"/>
      <c r="M71" s="1742"/>
      <c r="N71" s="1742"/>
      <c r="O71" s="1742"/>
      <c r="P71" s="1742"/>
      <c r="Q71" s="1743"/>
      <c r="R71" s="1628"/>
      <c r="S71" s="1270"/>
      <c r="T71" s="1258"/>
      <c r="U71" s="1339"/>
      <c r="X71" s="74"/>
      <c r="AB71" s="72">
        <f t="shared" si="0"/>
        <v>0</v>
      </c>
      <c r="AI71" s="192"/>
      <c r="AJ71" s="192"/>
      <c r="AK71" s="68"/>
      <c r="AL71" s="68"/>
      <c r="AM71" s="68"/>
      <c r="AN71" s="68"/>
      <c r="AO71" s="68"/>
      <c r="AP71" s="68"/>
    </row>
    <row r="72" spans="1:42" ht="14.25" customHeight="1" thickBot="1" x14ac:dyDescent="0.3">
      <c r="A72" s="1516"/>
      <c r="B72" s="1074"/>
      <c r="C72" s="1075"/>
      <c r="D72" s="1075"/>
      <c r="E72" s="1075"/>
      <c r="F72" s="1075"/>
      <c r="G72" s="1075"/>
      <c r="H72" s="983"/>
      <c r="I72" s="1017"/>
      <c r="J72" s="1046"/>
      <c r="K72" s="1047"/>
      <c r="L72" s="1765"/>
      <c r="M72" s="1766"/>
      <c r="N72" s="1766"/>
      <c r="O72" s="1766"/>
      <c r="P72" s="1766"/>
      <c r="Q72" s="353" t="s">
        <v>100</v>
      </c>
      <c r="R72" s="1767"/>
      <c r="S72" s="1624"/>
      <c r="T72" s="1258"/>
      <c r="U72" s="1339"/>
      <c r="V72" s="72">
        <f t="shared" si="1"/>
        <v>0</v>
      </c>
      <c r="X72" s="74"/>
      <c r="AB72" s="72">
        <f t="shared" si="0"/>
        <v>0</v>
      </c>
      <c r="AI72" s="192"/>
      <c r="AJ72" s="192"/>
      <c r="AK72" s="68"/>
      <c r="AL72" s="68"/>
      <c r="AM72" s="68"/>
      <c r="AN72" s="68"/>
      <c r="AO72" s="68"/>
      <c r="AP72" s="68"/>
    </row>
    <row r="73" spans="1:42" ht="14.25" customHeight="1" x14ac:dyDescent="0.25">
      <c r="A73" s="1516"/>
      <c r="B73" s="1035" t="s">
        <v>154</v>
      </c>
      <c r="C73" s="1036"/>
      <c r="D73" s="1036"/>
      <c r="E73" s="1036"/>
      <c r="F73" s="1036"/>
      <c r="G73" s="1036"/>
      <c r="H73" s="1161"/>
      <c r="I73" s="1035">
        <f>IF(N17="Kostenberechnung liegt noch nicht vor",I56,N17)</f>
        <v>0</v>
      </c>
      <c r="J73" s="1036"/>
      <c r="K73" s="1037"/>
      <c r="L73" s="1355">
        <f>SUM(R60:S72)</f>
        <v>0</v>
      </c>
      <c r="M73" s="1356"/>
      <c r="N73" s="1356"/>
      <c r="O73" s="1356"/>
      <c r="P73" s="1356"/>
      <c r="Q73" s="1795"/>
      <c r="R73" s="1356"/>
      <c r="S73" s="1798"/>
      <c r="T73" s="1260"/>
      <c r="U73" s="1257"/>
      <c r="W73" s="77">
        <f>SUM(W60:W72)</f>
        <v>0.4</v>
      </c>
      <c r="X73" s="75"/>
      <c r="Y73" s="75"/>
      <c r="AB73" s="72">
        <f t="shared" si="0"/>
        <v>0</v>
      </c>
    </row>
    <row r="74" spans="1:42" ht="14.25" customHeight="1" x14ac:dyDescent="0.25">
      <c r="A74" s="1516"/>
      <c r="B74" s="1038"/>
      <c r="C74" s="1039"/>
      <c r="D74" s="1039"/>
      <c r="E74" s="1039"/>
      <c r="F74" s="1039"/>
      <c r="G74" s="1039"/>
      <c r="H74" s="1162"/>
      <c r="I74" s="1038"/>
      <c r="J74" s="1039"/>
      <c r="K74" s="1040"/>
      <c r="L74" s="1357"/>
      <c r="M74" s="1358"/>
      <c r="N74" s="1358"/>
      <c r="O74" s="1358"/>
      <c r="P74" s="1358"/>
      <c r="Q74" s="1796"/>
      <c r="R74" s="1358"/>
      <c r="S74" s="1799"/>
      <c r="T74" s="1261"/>
      <c r="U74" s="1258"/>
      <c r="W74" s="76"/>
      <c r="X74" s="74"/>
      <c r="AB74" s="72">
        <f t="shared" si="0"/>
        <v>0</v>
      </c>
      <c r="AN74" s="68"/>
    </row>
    <row r="75" spans="1:42" ht="14.25" customHeight="1" thickBot="1" x14ac:dyDescent="0.3">
      <c r="A75" s="1516"/>
      <c r="B75" s="1041"/>
      <c r="C75" s="1042"/>
      <c r="D75" s="1042"/>
      <c r="E75" s="1042"/>
      <c r="F75" s="1042"/>
      <c r="G75" s="1042"/>
      <c r="H75" s="1163"/>
      <c r="I75" s="1041"/>
      <c r="J75" s="1042"/>
      <c r="K75" s="1043"/>
      <c r="L75" s="1359"/>
      <c r="M75" s="1360"/>
      <c r="N75" s="1360"/>
      <c r="O75" s="1360"/>
      <c r="P75" s="1360"/>
      <c r="Q75" s="1797"/>
      <c r="R75" s="1360"/>
      <c r="S75" s="1800"/>
      <c r="T75" s="1262"/>
      <c r="U75" s="1259"/>
      <c r="W75" s="76"/>
      <c r="X75" s="74"/>
      <c r="AB75" s="72">
        <f t="shared" si="0"/>
        <v>0</v>
      </c>
      <c r="AN75" s="68"/>
    </row>
    <row r="76" spans="1:42" ht="14.25" customHeight="1" thickBot="1" x14ac:dyDescent="0.3">
      <c r="A76" s="1516"/>
      <c r="B76" s="1082" t="s">
        <v>198</v>
      </c>
      <c r="C76" s="1083"/>
      <c r="D76" s="1083"/>
      <c r="E76" s="1083"/>
      <c r="F76" s="1083"/>
      <c r="G76" s="1084"/>
      <c r="H76" s="144"/>
      <c r="I76" s="1361"/>
      <c r="J76" s="1362"/>
      <c r="K76" s="1576"/>
      <c r="L76" s="1361"/>
      <c r="M76" s="1362"/>
      <c r="N76" s="1362"/>
      <c r="O76" s="1362"/>
      <c r="P76" s="1362"/>
      <c r="Q76" s="212"/>
      <c r="R76" s="1181"/>
      <c r="S76" s="1272"/>
      <c r="T76" s="524"/>
      <c r="U76" s="335" t="s">
        <v>157</v>
      </c>
      <c r="W76" s="77"/>
      <c r="X76" s="74"/>
      <c r="Y76" s="150"/>
      <c r="Z76" s="150"/>
      <c r="AB76" s="72">
        <f t="shared" si="0"/>
        <v>0</v>
      </c>
      <c r="AN76" s="68"/>
    </row>
    <row r="77" spans="1:42" ht="14.25" customHeight="1" x14ac:dyDescent="0.25">
      <c r="A77" s="1516"/>
      <c r="B77" s="1497" t="s">
        <v>525</v>
      </c>
      <c r="C77" s="1498"/>
      <c r="D77" s="1498"/>
      <c r="E77" s="1498"/>
      <c r="F77" s="1498"/>
      <c r="G77" s="1499"/>
      <c r="H77" s="1194" t="s">
        <v>99</v>
      </c>
      <c r="I77" s="1016">
        <f>W88</f>
        <v>0.06</v>
      </c>
      <c r="J77" s="1044">
        <f>I77*$I$73</f>
        <v>0</v>
      </c>
      <c r="K77" s="1045"/>
      <c r="L77" s="1749" t="s">
        <v>526</v>
      </c>
      <c r="M77" s="1750"/>
      <c r="N77" s="1750"/>
      <c r="O77" s="1750"/>
      <c r="P77" s="1750"/>
      <c r="Q77" s="1727" t="s">
        <v>99</v>
      </c>
      <c r="R77" s="1627"/>
      <c r="S77" s="1008"/>
      <c r="T77" s="1257" t="str">
        <f>IFERROR(IF((VLOOKUP(U77,Überblick!$M$125:$N$133,2))="ja","ja","nein"),"")</f>
        <v/>
      </c>
      <c r="U77" s="1338"/>
      <c r="V77" s="72">
        <f t="shared" si="1"/>
        <v>1</v>
      </c>
      <c r="W77" s="74">
        <f>IF(H77="ja",X77,0)</f>
        <v>0.02</v>
      </c>
      <c r="X77" s="74">
        <f>$Z$77/3</f>
        <v>0.02</v>
      </c>
      <c r="Z77" s="77">
        <v>0.06</v>
      </c>
      <c r="AB77" s="72">
        <f t="shared" si="0"/>
        <v>1</v>
      </c>
      <c r="AN77" s="193"/>
    </row>
    <row r="78" spans="1:42" ht="14.25" customHeight="1" x14ac:dyDescent="0.25">
      <c r="A78" s="1516"/>
      <c r="B78" s="1493"/>
      <c r="C78" s="1317"/>
      <c r="D78" s="1317"/>
      <c r="E78" s="1317"/>
      <c r="F78" s="1317"/>
      <c r="G78" s="1494"/>
      <c r="H78" s="982"/>
      <c r="I78" s="1017"/>
      <c r="J78" s="1046"/>
      <c r="K78" s="1047"/>
      <c r="L78" s="1749"/>
      <c r="M78" s="1750"/>
      <c r="N78" s="1750"/>
      <c r="O78" s="1750"/>
      <c r="P78" s="1750"/>
      <c r="Q78" s="1727"/>
      <c r="R78" s="1627"/>
      <c r="S78" s="1008"/>
      <c r="T78" s="1258"/>
      <c r="U78" s="1339"/>
      <c r="W78" s="76"/>
      <c r="X78" s="74"/>
      <c r="AB78" s="72">
        <f t="shared" si="0"/>
        <v>0</v>
      </c>
      <c r="AN78" s="192"/>
    </row>
    <row r="79" spans="1:42" ht="14.25" customHeight="1" x14ac:dyDescent="0.25">
      <c r="A79" s="1516"/>
      <c r="B79" s="1493"/>
      <c r="C79" s="1317"/>
      <c r="D79" s="1317"/>
      <c r="E79" s="1317"/>
      <c r="F79" s="1317"/>
      <c r="G79" s="1494"/>
      <c r="H79" s="982"/>
      <c r="I79" s="1017"/>
      <c r="J79" s="1046"/>
      <c r="K79" s="1047"/>
      <c r="L79" s="1751"/>
      <c r="M79" s="1752"/>
      <c r="N79" s="1752"/>
      <c r="O79" s="1752"/>
      <c r="P79" s="1752"/>
      <c r="Q79" s="1743"/>
      <c r="R79" s="1628"/>
      <c r="S79" s="1270"/>
      <c r="T79" s="1258"/>
      <c r="U79" s="1339"/>
      <c r="W79" s="76"/>
      <c r="X79" s="74"/>
      <c r="AB79" s="72">
        <f t="shared" si="0"/>
        <v>0</v>
      </c>
      <c r="AN79" s="68"/>
    </row>
    <row r="80" spans="1:42" ht="14.25" customHeight="1" x14ac:dyDescent="0.25">
      <c r="A80" s="1516"/>
      <c r="B80" s="1490"/>
      <c r="C80" s="1491"/>
      <c r="D80" s="1491"/>
      <c r="E80" s="1491"/>
      <c r="F80" s="1491"/>
      <c r="G80" s="1492"/>
      <c r="H80" s="983"/>
      <c r="I80" s="1017"/>
      <c r="J80" s="1046"/>
      <c r="K80" s="1047"/>
      <c r="L80" s="1737"/>
      <c r="M80" s="1738"/>
      <c r="N80" s="1738"/>
      <c r="O80" s="1738"/>
      <c r="P80" s="1738"/>
      <c r="Q80" s="1726" t="s">
        <v>100</v>
      </c>
      <c r="R80" s="1764"/>
      <c r="S80" s="1006"/>
      <c r="T80" s="1258"/>
      <c r="U80" s="1339"/>
      <c r="V80" s="72">
        <f>IF(AND(Q80="ja",R80=""),1,0)</f>
        <v>0</v>
      </c>
      <c r="Z80" s="77"/>
      <c r="AB80" s="72">
        <f t="shared" si="0"/>
        <v>0</v>
      </c>
      <c r="AN80" s="192"/>
    </row>
    <row r="81" spans="1:40" ht="14.25" customHeight="1" x14ac:dyDescent="0.25">
      <c r="A81" s="1516"/>
      <c r="B81" s="1487" t="s">
        <v>528</v>
      </c>
      <c r="C81" s="1488"/>
      <c r="D81" s="1488"/>
      <c r="E81" s="1488"/>
      <c r="F81" s="1488"/>
      <c r="G81" s="1489"/>
      <c r="H81" s="981" t="s">
        <v>99</v>
      </c>
      <c r="I81" s="1017"/>
      <c r="J81" s="1046"/>
      <c r="K81" s="1047"/>
      <c r="L81" s="1739"/>
      <c r="M81" s="1740"/>
      <c r="N81" s="1740"/>
      <c r="O81" s="1740"/>
      <c r="P81" s="1740"/>
      <c r="Q81" s="1727"/>
      <c r="R81" s="1627"/>
      <c r="S81" s="1008"/>
      <c r="T81" s="1258"/>
      <c r="U81" s="1339"/>
      <c r="W81" s="74">
        <f>IF(H81="ja",X81,0)</f>
        <v>0.02</v>
      </c>
      <c r="X81" s="74">
        <f>$Z$77/3</f>
        <v>0.02</v>
      </c>
      <c r="Z81" s="77"/>
      <c r="AB81" s="72">
        <f t="shared" si="0"/>
        <v>0</v>
      </c>
      <c r="AN81" s="192"/>
    </row>
    <row r="82" spans="1:40" ht="14.25" customHeight="1" x14ac:dyDescent="0.25">
      <c r="A82" s="1516"/>
      <c r="B82" s="1493"/>
      <c r="C82" s="1317"/>
      <c r="D82" s="1317"/>
      <c r="E82" s="1317"/>
      <c r="F82" s="1317"/>
      <c r="G82" s="1494"/>
      <c r="H82" s="982"/>
      <c r="I82" s="1017"/>
      <c r="J82" s="1046"/>
      <c r="K82" s="1047"/>
      <c r="L82" s="1741"/>
      <c r="M82" s="1742"/>
      <c r="N82" s="1742"/>
      <c r="O82" s="1742"/>
      <c r="P82" s="1742"/>
      <c r="Q82" s="1743"/>
      <c r="R82" s="1628"/>
      <c r="S82" s="1270"/>
      <c r="T82" s="1258"/>
      <c r="U82" s="1339"/>
      <c r="W82" s="74"/>
      <c r="X82" s="74"/>
      <c r="Z82" s="77"/>
      <c r="AB82" s="72">
        <f t="shared" si="0"/>
        <v>0</v>
      </c>
      <c r="AN82" s="192"/>
    </row>
    <row r="83" spans="1:40" ht="14.25" customHeight="1" x14ac:dyDescent="0.25">
      <c r="A83" s="1516"/>
      <c r="B83" s="1493"/>
      <c r="C83" s="1317"/>
      <c r="D83" s="1317"/>
      <c r="E83" s="1317"/>
      <c r="F83" s="1317"/>
      <c r="G83" s="1494"/>
      <c r="H83" s="982"/>
      <c r="I83" s="1017"/>
      <c r="J83" s="1046"/>
      <c r="K83" s="1047"/>
      <c r="L83" s="1737"/>
      <c r="M83" s="1738"/>
      <c r="N83" s="1738"/>
      <c r="O83" s="1738"/>
      <c r="P83" s="1738"/>
      <c r="Q83" s="1726" t="s">
        <v>100</v>
      </c>
      <c r="R83" s="1764"/>
      <c r="S83" s="1006"/>
      <c r="T83" s="1258"/>
      <c r="U83" s="1339"/>
      <c r="V83" s="72">
        <f t="shared" si="1"/>
        <v>0</v>
      </c>
      <c r="W83" s="74"/>
      <c r="X83" s="74"/>
      <c r="Z83" s="77"/>
      <c r="AB83" s="72">
        <f t="shared" si="0"/>
        <v>0</v>
      </c>
      <c r="AN83" s="192"/>
    </row>
    <row r="84" spans="1:40" ht="14.25" customHeight="1" x14ac:dyDescent="0.25">
      <c r="A84" s="1516"/>
      <c r="B84" s="1490"/>
      <c r="C84" s="1491"/>
      <c r="D84" s="1491"/>
      <c r="E84" s="1491"/>
      <c r="F84" s="1491"/>
      <c r="G84" s="1492"/>
      <c r="H84" s="983"/>
      <c r="I84" s="1017"/>
      <c r="J84" s="1046"/>
      <c r="K84" s="1047"/>
      <c r="L84" s="1739"/>
      <c r="M84" s="1740"/>
      <c r="N84" s="1740"/>
      <c r="O84" s="1740"/>
      <c r="P84" s="1740"/>
      <c r="Q84" s="1727"/>
      <c r="R84" s="1627"/>
      <c r="S84" s="1008"/>
      <c r="T84" s="1258"/>
      <c r="U84" s="1339"/>
      <c r="W84" s="74"/>
      <c r="X84" s="74"/>
      <c r="Z84" s="77"/>
      <c r="AB84" s="72">
        <f t="shared" si="0"/>
        <v>0</v>
      </c>
      <c r="AN84" s="192"/>
    </row>
    <row r="85" spans="1:40" ht="14.25" customHeight="1" x14ac:dyDescent="0.25">
      <c r="A85" s="1516"/>
      <c r="B85" s="1487" t="s">
        <v>529</v>
      </c>
      <c r="C85" s="1488"/>
      <c r="D85" s="1488"/>
      <c r="E85" s="1488"/>
      <c r="F85" s="1488"/>
      <c r="G85" s="1489"/>
      <c r="H85" s="981" t="s">
        <v>99</v>
      </c>
      <c r="I85" s="1017"/>
      <c r="J85" s="1046"/>
      <c r="K85" s="1047"/>
      <c r="L85" s="1741"/>
      <c r="M85" s="1742"/>
      <c r="N85" s="1742"/>
      <c r="O85" s="1742"/>
      <c r="P85" s="1742"/>
      <c r="Q85" s="1743"/>
      <c r="R85" s="1628"/>
      <c r="S85" s="1270"/>
      <c r="T85" s="1258"/>
      <c r="U85" s="1339"/>
      <c r="W85" s="74">
        <f>IF(H85="ja",X85,0)</f>
        <v>0.02</v>
      </c>
      <c r="X85" s="74">
        <f>$Z$77/3</f>
        <v>0.02</v>
      </c>
      <c r="Z85" s="77"/>
      <c r="AB85" s="72">
        <f t="shared" si="0"/>
        <v>0</v>
      </c>
      <c r="AN85" s="192"/>
    </row>
    <row r="86" spans="1:40" ht="14.25" customHeight="1" x14ac:dyDescent="0.25">
      <c r="A86" s="1516"/>
      <c r="B86" s="1493"/>
      <c r="C86" s="1317"/>
      <c r="D86" s="1317"/>
      <c r="E86" s="1317"/>
      <c r="F86" s="1317"/>
      <c r="G86" s="1494"/>
      <c r="H86" s="982"/>
      <c r="I86" s="1017"/>
      <c r="J86" s="1046"/>
      <c r="K86" s="1047"/>
      <c r="L86" s="1737"/>
      <c r="M86" s="1738"/>
      <c r="N86" s="1738"/>
      <c r="O86" s="1738"/>
      <c r="P86" s="1738"/>
      <c r="Q86" s="1726" t="s">
        <v>100</v>
      </c>
      <c r="R86" s="1764"/>
      <c r="S86" s="1006"/>
      <c r="T86" s="1258"/>
      <c r="U86" s="1339"/>
      <c r="V86" s="72">
        <f t="shared" si="1"/>
        <v>0</v>
      </c>
      <c r="W86" s="74"/>
      <c r="X86" s="74"/>
      <c r="Z86" s="77"/>
      <c r="AB86" s="72">
        <f t="shared" si="0"/>
        <v>0</v>
      </c>
      <c r="AN86" s="192"/>
    </row>
    <row r="87" spans="1:40" ht="14.25" customHeight="1" thickBot="1" x14ac:dyDescent="0.3">
      <c r="A87" s="1516"/>
      <c r="B87" s="1592"/>
      <c r="C87" s="1593"/>
      <c r="D87" s="1593"/>
      <c r="E87" s="1593"/>
      <c r="F87" s="1593"/>
      <c r="G87" s="1594"/>
      <c r="H87" s="1304"/>
      <c r="I87" s="1017"/>
      <c r="J87" s="1046"/>
      <c r="K87" s="1047"/>
      <c r="L87" s="1770"/>
      <c r="M87" s="1771"/>
      <c r="N87" s="1771"/>
      <c r="O87" s="1771"/>
      <c r="P87" s="1771"/>
      <c r="Q87" s="1769"/>
      <c r="R87" s="1768"/>
      <c r="S87" s="1010"/>
      <c r="T87" s="1258"/>
      <c r="U87" s="1339"/>
      <c r="W87" s="76"/>
      <c r="X87" s="74"/>
      <c r="AB87" s="72">
        <f t="shared" si="0"/>
        <v>0</v>
      </c>
      <c r="AN87" s="192"/>
    </row>
    <row r="88" spans="1:40" ht="14.25" customHeight="1" thickBot="1" x14ac:dyDescent="0.3">
      <c r="A88" s="1730"/>
      <c r="B88" s="1082" t="s">
        <v>204</v>
      </c>
      <c r="C88" s="1083"/>
      <c r="D88" s="1083"/>
      <c r="E88" s="1083"/>
      <c r="F88" s="1083"/>
      <c r="G88" s="1084"/>
      <c r="H88" s="144"/>
      <c r="I88" s="1238"/>
      <c r="J88" s="1239"/>
      <c r="K88" s="1240"/>
      <c r="L88" s="1331">
        <f>SUM(R77:S87)</f>
        <v>0</v>
      </c>
      <c r="M88" s="1332"/>
      <c r="N88" s="1332"/>
      <c r="O88" s="1332"/>
      <c r="P88" s="1332"/>
      <c r="Q88" s="355"/>
      <c r="R88" s="1181"/>
      <c r="S88" s="1272"/>
      <c r="T88" s="334"/>
      <c r="U88" s="335" t="s">
        <v>157</v>
      </c>
      <c r="W88" s="74">
        <f>SUM(W77:W87)</f>
        <v>0.06</v>
      </c>
      <c r="X88" s="75"/>
      <c r="Y88" s="75"/>
      <c r="Z88" s="150"/>
      <c r="AB88" s="72">
        <f t="shared" si="0"/>
        <v>0</v>
      </c>
      <c r="AN88" s="68"/>
    </row>
    <row r="89" spans="1:40" ht="14.25" customHeight="1" x14ac:dyDescent="0.25">
      <c r="A89" s="1778" t="s">
        <v>206</v>
      </c>
      <c r="B89" s="1497" t="s">
        <v>530</v>
      </c>
      <c r="C89" s="1498"/>
      <c r="D89" s="1498"/>
      <c r="E89" s="1498"/>
      <c r="F89" s="1498"/>
      <c r="G89" s="1499"/>
      <c r="H89" s="1194" t="s">
        <v>100</v>
      </c>
      <c r="I89" s="1662">
        <f>W89</f>
        <v>0</v>
      </c>
      <c r="J89" s="1780">
        <f>I89*$I$73</f>
        <v>0</v>
      </c>
      <c r="K89" s="1781"/>
      <c r="L89" s="1739" t="s">
        <v>531</v>
      </c>
      <c r="M89" s="1740"/>
      <c r="N89" s="1740"/>
      <c r="O89" s="1740"/>
      <c r="P89" s="1740"/>
      <c r="Q89" s="1727" t="s">
        <v>100</v>
      </c>
      <c r="R89" s="1627"/>
      <c r="S89" s="1008"/>
      <c r="T89" s="1376" t="str">
        <f>IFERROR(IF((VLOOKUP(U89,Überblick!$M$125:$N$133,2))="ja","ja","nein"),"")</f>
        <v/>
      </c>
      <c r="U89" s="1338"/>
      <c r="V89" s="72">
        <f t="shared" ref="V89:V103" si="2">IF(AND(Q89="ja",R89=""),1,0)</f>
        <v>0</v>
      </c>
      <c r="W89" s="74">
        <f>IF(H89="ja",X89,0)</f>
        <v>0</v>
      </c>
      <c r="X89" s="74">
        <f>Z89/2</f>
        <v>0.13500000000000001</v>
      </c>
      <c r="Y89" s="77"/>
      <c r="Z89" s="77">
        <v>0.27</v>
      </c>
      <c r="AB89" s="72">
        <f t="shared" si="0"/>
        <v>0</v>
      </c>
      <c r="AI89" s="68"/>
      <c r="AN89" s="193"/>
    </row>
    <row r="90" spans="1:40" ht="14.25" customHeight="1" x14ac:dyDescent="0.25">
      <c r="A90" s="1779"/>
      <c r="B90" s="1493"/>
      <c r="C90" s="1317"/>
      <c r="D90" s="1317"/>
      <c r="E90" s="1317"/>
      <c r="F90" s="1317"/>
      <c r="G90" s="1494"/>
      <c r="H90" s="982"/>
      <c r="I90" s="1663"/>
      <c r="J90" s="1782"/>
      <c r="K90" s="1783"/>
      <c r="L90" s="1739"/>
      <c r="M90" s="1740"/>
      <c r="N90" s="1740"/>
      <c r="O90" s="1740"/>
      <c r="P90" s="1740"/>
      <c r="Q90" s="1727"/>
      <c r="R90" s="1627"/>
      <c r="S90" s="1008"/>
      <c r="T90" s="1377"/>
      <c r="U90" s="1339"/>
      <c r="W90" s="76"/>
      <c r="X90" s="74"/>
      <c r="AB90" s="72">
        <f t="shared" si="0"/>
        <v>0</v>
      </c>
      <c r="AI90" s="68"/>
    </row>
    <row r="91" spans="1:40" ht="14.25" customHeight="1" x14ac:dyDescent="0.25">
      <c r="A91" s="1779"/>
      <c r="B91" s="1493"/>
      <c r="C91" s="1317"/>
      <c r="D91" s="1317"/>
      <c r="E91" s="1317"/>
      <c r="F91" s="1317"/>
      <c r="G91" s="1494"/>
      <c r="H91" s="983"/>
      <c r="I91" s="1663"/>
      <c r="J91" s="1782"/>
      <c r="K91" s="1783"/>
      <c r="L91" s="1741"/>
      <c r="M91" s="1742"/>
      <c r="N91" s="1742"/>
      <c r="O91" s="1742"/>
      <c r="P91" s="1742"/>
      <c r="Q91" s="1743"/>
      <c r="R91" s="1628"/>
      <c r="S91" s="1270"/>
      <c r="T91" s="1377"/>
      <c r="U91" s="1375"/>
      <c r="W91" s="76"/>
      <c r="X91" s="74"/>
      <c r="AB91" s="72">
        <f t="shared" si="0"/>
        <v>0</v>
      </c>
      <c r="AI91" s="68"/>
    </row>
    <row r="92" spans="1:40" ht="14.25" customHeight="1" x14ac:dyDescent="0.25">
      <c r="A92" s="1779" t="s">
        <v>208</v>
      </c>
      <c r="B92" s="1487" t="s">
        <v>532</v>
      </c>
      <c r="C92" s="1488"/>
      <c r="D92" s="1488"/>
      <c r="E92" s="1488"/>
      <c r="F92" s="1488"/>
      <c r="G92" s="1489"/>
      <c r="H92" s="1080" t="s">
        <v>100</v>
      </c>
      <c r="I92" s="1663">
        <f>W92</f>
        <v>0</v>
      </c>
      <c r="J92" s="1782">
        <f>I73*I92</f>
        <v>0</v>
      </c>
      <c r="K92" s="1783"/>
      <c r="L92" s="1757"/>
      <c r="M92" s="1758"/>
      <c r="N92" s="1758"/>
      <c r="O92" s="1758"/>
      <c r="P92" s="1758"/>
      <c r="Q92" s="1775" t="s">
        <v>100</v>
      </c>
      <c r="R92" s="1777"/>
      <c r="S92" s="1725"/>
      <c r="T92" s="1011" t="str">
        <f>IFERROR(IF((VLOOKUP(U92,Überblick!$M$125:$N$133,2))="ja","ja","nein"),"")</f>
        <v/>
      </c>
      <c r="U92" s="1372"/>
      <c r="V92" s="72">
        <f t="shared" si="2"/>
        <v>0</v>
      </c>
      <c r="W92" s="74">
        <f>IF(H92="ja",X92,0)</f>
        <v>0</v>
      </c>
      <c r="X92" s="74">
        <f>Z89/2</f>
        <v>0.13500000000000001</v>
      </c>
      <c r="Y92" s="77"/>
      <c r="Z92" s="77"/>
      <c r="AB92" s="72">
        <f t="shared" si="0"/>
        <v>0</v>
      </c>
      <c r="AI92" s="68"/>
    </row>
    <row r="93" spans="1:40" ht="14.25" customHeight="1" x14ac:dyDescent="0.25">
      <c r="A93" s="1779"/>
      <c r="B93" s="1493"/>
      <c r="C93" s="1317"/>
      <c r="D93" s="1317"/>
      <c r="E93" s="1317"/>
      <c r="F93" s="1317"/>
      <c r="G93" s="1494"/>
      <c r="H93" s="1080"/>
      <c r="I93" s="1663"/>
      <c r="J93" s="1782"/>
      <c r="K93" s="1783"/>
      <c r="L93" s="1757"/>
      <c r="M93" s="1758"/>
      <c r="N93" s="1758"/>
      <c r="O93" s="1758"/>
      <c r="P93" s="1758"/>
      <c r="Q93" s="1775"/>
      <c r="R93" s="1777"/>
      <c r="S93" s="1725"/>
      <c r="T93" s="1377"/>
      <c r="U93" s="1372"/>
      <c r="W93" s="74"/>
      <c r="X93" s="74"/>
      <c r="Y93" s="77"/>
      <c r="Z93" s="77"/>
      <c r="AB93" s="72">
        <f t="shared" si="0"/>
        <v>0</v>
      </c>
      <c r="AI93" s="68"/>
    </row>
    <row r="94" spans="1:40" ht="14.25" customHeight="1" thickBot="1" x14ac:dyDescent="0.3">
      <c r="A94" s="1779"/>
      <c r="B94" s="1493"/>
      <c r="C94" s="1317"/>
      <c r="D94" s="1317"/>
      <c r="E94" s="1317"/>
      <c r="F94" s="1317"/>
      <c r="G94" s="1494"/>
      <c r="H94" s="1080"/>
      <c r="I94" s="1663"/>
      <c r="J94" s="1782"/>
      <c r="K94" s="1783"/>
      <c r="L94" s="1757"/>
      <c r="M94" s="1758"/>
      <c r="N94" s="1758"/>
      <c r="O94" s="1758"/>
      <c r="P94" s="1758"/>
      <c r="Q94" s="1775"/>
      <c r="R94" s="1777"/>
      <c r="S94" s="1725"/>
      <c r="T94" s="1794"/>
      <c r="U94" s="1372"/>
      <c r="W94" s="76"/>
      <c r="X94" s="74"/>
      <c r="Y94" s="77"/>
      <c r="AB94" s="72">
        <f t="shared" si="0"/>
        <v>0</v>
      </c>
      <c r="AI94" s="68"/>
    </row>
    <row r="95" spans="1:40" ht="14.25" customHeight="1" thickBot="1" x14ac:dyDescent="0.3">
      <c r="A95" s="1772" t="s">
        <v>533</v>
      </c>
      <c r="B95" s="1082" t="s">
        <v>218</v>
      </c>
      <c r="C95" s="1083"/>
      <c r="D95" s="1083"/>
      <c r="E95" s="1083"/>
      <c r="F95" s="1083"/>
      <c r="G95" s="1084"/>
      <c r="H95" s="144"/>
      <c r="I95" s="1361"/>
      <c r="J95" s="1362"/>
      <c r="K95" s="1576"/>
      <c r="L95" s="1180">
        <f>SUM(R89:S94)</f>
        <v>0</v>
      </c>
      <c r="M95" s="1181"/>
      <c r="N95" s="1181"/>
      <c r="O95" s="1181"/>
      <c r="P95" s="1181"/>
      <c r="Q95" s="211"/>
      <c r="R95" s="1181"/>
      <c r="S95" s="1272"/>
      <c r="T95" s="334"/>
      <c r="U95" s="335" t="s">
        <v>157</v>
      </c>
      <c r="W95" s="77">
        <f>SUM(W89:W94)</f>
        <v>0</v>
      </c>
      <c r="X95" s="75"/>
      <c r="Y95" s="150"/>
      <c r="Z95" s="150"/>
      <c r="AB95" s="72">
        <f t="shared" si="0"/>
        <v>0</v>
      </c>
    </row>
    <row r="96" spans="1:40" ht="14.25" customHeight="1" x14ac:dyDescent="0.25">
      <c r="A96" s="1516"/>
      <c r="B96" s="1394" t="s">
        <v>534</v>
      </c>
      <c r="C96" s="1395"/>
      <c r="D96" s="1395"/>
      <c r="E96" s="1395"/>
      <c r="F96" s="1395"/>
      <c r="G96" s="1396"/>
      <c r="H96" s="1194" t="s">
        <v>100</v>
      </c>
      <c r="I96" s="1016">
        <f>W96</f>
        <v>0</v>
      </c>
      <c r="J96" s="1790">
        <f>I96*$I$73</f>
        <v>0</v>
      </c>
      <c r="K96" s="1791"/>
      <c r="L96" s="1739"/>
      <c r="M96" s="1740"/>
      <c r="N96" s="1740"/>
      <c r="O96" s="1740"/>
      <c r="P96" s="1740"/>
      <c r="Q96" s="1727" t="s">
        <v>100</v>
      </c>
      <c r="R96" s="1627"/>
      <c r="S96" s="1008"/>
      <c r="T96" s="1257" t="str">
        <f>IFERROR(IF((VLOOKUP(U96,Überblick!$M$125:$N$133,2))="ja","ja","nein"),"")</f>
        <v/>
      </c>
      <c r="U96" s="1338"/>
      <c r="V96" s="72">
        <f t="shared" si="2"/>
        <v>0</v>
      </c>
      <c r="W96" s="74">
        <f>IF(H96="ja",X96,0)</f>
        <v>0</v>
      </c>
      <c r="X96" s="74">
        <v>0.02</v>
      </c>
      <c r="Z96" s="77">
        <v>0.02</v>
      </c>
      <c r="AB96" s="72">
        <f t="shared" si="0"/>
        <v>0</v>
      </c>
    </row>
    <row r="97" spans="1:28" ht="14.25" customHeight="1" x14ac:dyDescent="0.25">
      <c r="A97" s="1516"/>
      <c r="B97" s="1103"/>
      <c r="C97" s="1104"/>
      <c r="D97" s="1104"/>
      <c r="E97" s="1104"/>
      <c r="F97" s="1104"/>
      <c r="G97" s="1105"/>
      <c r="H97" s="982"/>
      <c r="I97" s="1017"/>
      <c r="J97" s="1060"/>
      <c r="K97" s="1061"/>
      <c r="L97" s="1739"/>
      <c r="M97" s="1740"/>
      <c r="N97" s="1740"/>
      <c r="O97" s="1740"/>
      <c r="P97" s="1740"/>
      <c r="Q97" s="1727"/>
      <c r="R97" s="1627"/>
      <c r="S97" s="1008"/>
      <c r="T97" s="1258"/>
      <c r="U97" s="1339"/>
      <c r="W97" s="74"/>
      <c r="X97" s="74"/>
      <c r="AB97" s="72">
        <f t="shared" si="0"/>
        <v>0</v>
      </c>
    </row>
    <row r="98" spans="1:28" ht="14.25" customHeight="1" x14ac:dyDescent="0.25">
      <c r="A98" s="1516"/>
      <c r="B98" s="1103"/>
      <c r="C98" s="1104"/>
      <c r="D98" s="1104"/>
      <c r="E98" s="1104"/>
      <c r="F98" s="1104"/>
      <c r="G98" s="1105"/>
      <c r="H98" s="982"/>
      <c r="I98" s="1017"/>
      <c r="J98" s="1060"/>
      <c r="K98" s="1061"/>
      <c r="L98" s="1741"/>
      <c r="M98" s="1742"/>
      <c r="N98" s="1742"/>
      <c r="O98" s="1742"/>
      <c r="P98" s="1742"/>
      <c r="Q98" s="1743"/>
      <c r="R98" s="1628"/>
      <c r="S98" s="1270"/>
      <c r="T98" s="1258"/>
      <c r="U98" s="1339"/>
      <c r="W98" s="74"/>
      <c r="X98" s="74"/>
      <c r="AB98" s="72">
        <f t="shared" si="0"/>
        <v>0</v>
      </c>
    </row>
    <row r="99" spans="1:28" ht="14.25" customHeight="1" x14ac:dyDescent="0.25">
      <c r="A99" s="1516"/>
      <c r="B99" s="1103"/>
      <c r="C99" s="1104"/>
      <c r="D99" s="1104"/>
      <c r="E99" s="1104"/>
      <c r="F99" s="1104"/>
      <c r="G99" s="1105"/>
      <c r="H99" s="982"/>
      <c r="I99" s="1017"/>
      <c r="J99" s="1060"/>
      <c r="K99" s="1061"/>
      <c r="L99" s="1757"/>
      <c r="M99" s="1758"/>
      <c r="N99" s="1758"/>
      <c r="O99" s="1758"/>
      <c r="P99" s="1758"/>
      <c r="Q99" s="1775" t="s">
        <v>100</v>
      </c>
      <c r="R99" s="1777"/>
      <c r="S99" s="1725"/>
      <c r="T99" s="1258"/>
      <c r="U99" s="1339"/>
      <c r="V99" s="72">
        <f t="shared" si="2"/>
        <v>0</v>
      </c>
      <c r="W99" s="74"/>
      <c r="X99" s="74"/>
      <c r="AB99" s="72">
        <f t="shared" si="0"/>
        <v>0</v>
      </c>
    </row>
    <row r="100" spans="1:28" ht="14.25" customHeight="1" x14ac:dyDescent="0.25">
      <c r="A100" s="1516"/>
      <c r="B100" s="1103"/>
      <c r="C100" s="1104"/>
      <c r="D100" s="1104"/>
      <c r="E100" s="1104"/>
      <c r="F100" s="1104"/>
      <c r="G100" s="1105"/>
      <c r="H100" s="982"/>
      <c r="I100" s="1017"/>
      <c r="J100" s="1060"/>
      <c r="K100" s="1061"/>
      <c r="L100" s="1757"/>
      <c r="M100" s="1758"/>
      <c r="N100" s="1758"/>
      <c r="O100" s="1758"/>
      <c r="P100" s="1758"/>
      <c r="Q100" s="1775"/>
      <c r="R100" s="1777"/>
      <c r="S100" s="1725"/>
      <c r="T100" s="1258"/>
      <c r="U100" s="1339"/>
      <c r="W100" s="74"/>
      <c r="X100" s="74"/>
      <c r="AB100" s="72">
        <f t="shared" si="0"/>
        <v>0</v>
      </c>
    </row>
    <row r="101" spans="1:28" ht="14.25" customHeight="1" thickBot="1" x14ac:dyDescent="0.3">
      <c r="A101" s="1516"/>
      <c r="B101" s="1103"/>
      <c r="C101" s="1104"/>
      <c r="D101" s="1104"/>
      <c r="E101" s="1104"/>
      <c r="F101" s="1104"/>
      <c r="G101" s="1105"/>
      <c r="H101" s="982"/>
      <c r="I101" s="1017"/>
      <c r="J101" s="1792"/>
      <c r="K101" s="1793"/>
      <c r="L101" s="1757"/>
      <c r="M101" s="1758"/>
      <c r="N101" s="1758"/>
      <c r="O101" s="1758"/>
      <c r="P101" s="1758"/>
      <c r="Q101" s="1775"/>
      <c r="R101" s="1777"/>
      <c r="S101" s="1725"/>
      <c r="T101" s="1258"/>
      <c r="U101" s="1340"/>
      <c r="W101" s="74"/>
      <c r="X101" s="74"/>
      <c r="AB101" s="72">
        <f t="shared" si="0"/>
        <v>0</v>
      </c>
    </row>
    <row r="102" spans="1:28" ht="14.25" customHeight="1" thickBot="1" x14ac:dyDescent="0.3">
      <c r="A102" s="1516"/>
      <c r="B102" s="1082" t="s">
        <v>229</v>
      </c>
      <c r="C102" s="1083"/>
      <c r="D102" s="1083"/>
      <c r="E102" s="1083"/>
      <c r="F102" s="1083"/>
      <c r="G102" s="1084"/>
      <c r="H102" s="144"/>
      <c r="I102" s="1361"/>
      <c r="J102" s="1362"/>
      <c r="K102" s="1576"/>
      <c r="L102" s="1180">
        <f>SUM(R95:S101)</f>
        <v>0</v>
      </c>
      <c r="M102" s="1181"/>
      <c r="N102" s="1181"/>
      <c r="O102" s="1181"/>
      <c r="P102" s="1181"/>
      <c r="Q102" s="211"/>
      <c r="R102" s="1181"/>
      <c r="S102" s="1272"/>
      <c r="T102" s="334"/>
      <c r="U102" s="335" t="s">
        <v>157</v>
      </c>
      <c r="W102" s="74"/>
      <c r="X102" s="74"/>
      <c r="AB102" s="72">
        <f t="shared" ref="AB102:AB108" si="3">IF(Q102="ja",1,0)</f>
        <v>0</v>
      </c>
    </row>
    <row r="103" spans="1:28" ht="14.25" customHeight="1" x14ac:dyDescent="0.25">
      <c r="A103" s="1516"/>
      <c r="B103" s="1493" t="s">
        <v>535</v>
      </c>
      <c r="C103" s="1317"/>
      <c r="D103" s="1317"/>
      <c r="E103" s="1317"/>
      <c r="F103" s="1317"/>
      <c r="G103" s="1494"/>
      <c r="H103" s="986" t="s">
        <v>100</v>
      </c>
      <c r="I103" s="1016">
        <f>W103</f>
        <v>0</v>
      </c>
      <c r="J103" s="1790">
        <f>I103*I73</f>
        <v>0</v>
      </c>
      <c r="K103" s="1791"/>
      <c r="L103" s="1739" t="s">
        <v>536</v>
      </c>
      <c r="M103" s="1740"/>
      <c r="N103" s="1740"/>
      <c r="O103" s="1740"/>
      <c r="P103" s="1740"/>
      <c r="Q103" s="1727" t="s">
        <v>100</v>
      </c>
      <c r="R103" s="1627"/>
      <c r="S103" s="1008"/>
      <c r="T103" s="1257" t="str">
        <f>IFERROR(IF((VLOOKUP(U103,Überblick!$M$125:$N$133,2))="ja","ja","nein"),"")</f>
        <v/>
      </c>
      <c r="U103" s="1338"/>
      <c r="V103" s="72">
        <f t="shared" si="2"/>
        <v>0</v>
      </c>
      <c r="W103" s="74">
        <f>IF(H103="ja",X103,0)</f>
        <v>0</v>
      </c>
      <c r="X103" s="74">
        <v>0.02</v>
      </c>
      <c r="Z103" s="77">
        <v>0.02</v>
      </c>
      <c r="AB103" s="72">
        <f t="shared" si="3"/>
        <v>0</v>
      </c>
    </row>
    <row r="104" spans="1:28" ht="14.25" customHeight="1" x14ac:dyDescent="0.25">
      <c r="A104" s="1516"/>
      <c r="B104" s="1493"/>
      <c r="C104" s="1317"/>
      <c r="D104" s="1317"/>
      <c r="E104" s="1317"/>
      <c r="F104" s="1317"/>
      <c r="G104" s="1494"/>
      <c r="H104" s="986"/>
      <c r="I104" s="1017"/>
      <c r="J104" s="1060"/>
      <c r="K104" s="1061"/>
      <c r="L104" s="1739"/>
      <c r="M104" s="1740"/>
      <c r="N104" s="1740"/>
      <c r="O104" s="1740"/>
      <c r="P104" s="1740"/>
      <c r="Q104" s="1727"/>
      <c r="R104" s="1627"/>
      <c r="S104" s="1008"/>
      <c r="T104" s="1258"/>
      <c r="U104" s="1339"/>
      <c r="W104" s="74"/>
      <c r="X104" s="74"/>
      <c r="AB104" s="72">
        <f t="shared" si="3"/>
        <v>0</v>
      </c>
    </row>
    <row r="105" spans="1:28" ht="14.25" customHeight="1" x14ac:dyDescent="0.25">
      <c r="A105" s="1516"/>
      <c r="B105" s="1493"/>
      <c r="C105" s="1317"/>
      <c r="D105" s="1317"/>
      <c r="E105" s="1317"/>
      <c r="F105" s="1317"/>
      <c r="G105" s="1494"/>
      <c r="H105" s="986"/>
      <c r="I105" s="1017"/>
      <c r="J105" s="1060"/>
      <c r="K105" s="1061"/>
      <c r="L105" s="1741"/>
      <c r="M105" s="1742"/>
      <c r="N105" s="1742"/>
      <c r="O105" s="1742"/>
      <c r="P105" s="1742"/>
      <c r="Q105" s="1743"/>
      <c r="R105" s="1628"/>
      <c r="S105" s="1270"/>
      <c r="T105" s="1258"/>
      <c r="U105" s="1339"/>
      <c r="W105" s="74"/>
      <c r="X105" s="74"/>
      <c r="AB105" s="72">
        <f t="shared" si="3"/>
        <v>0</v>
      </c>
    </row>
    <row r="106" spans="1:28" ht="14.25" customHeight="1" x14ac:dyDescent="0.25">
      <c r="A106" s="1516"/>
      <c r="B106" s="1493"/>
      <c r="C106" s="1317"/>
      <c r="D106" s="1317"/>
      <c r="E106" s="1317"/>
      <c r="F106" s="1317"/>
      <c r="G106" s="1494"/>
      <c r="H106" s="986"/>
      <c r="I106" s="1017"/>
      <c r="J106" s="1060"/>
      <c r="K106" s="1061"/>
      <c r="L106" s="1757"/>
      <c r="M106" s="1758"/>
      <c r="N106" s="1758"/>
      <c r="O106" s="1758"/>
      <c r="P106" s="1758"/>
      <c r="Q106" s="1775" t="s">
        <v>100</v>
      </c>
      <c r="R106" s="1777"/>
      <c r="S106" s="1725"/>
      <c r="T106" s="1258"/>
      <c r="U106" s="1339"/>
      <c r="V106" s="72">
        <f t="shared" ref="V106" si="4">IF(AND(Q106="ja",R106=""),1,0)</f>
        <v>0</v>
      </c>
      <c r="W106" s="74"/>
      <c r="X106" s="74"/>
      <c r="AB106" s="72">
        <f t="shared" si="3"/>
        <v>0</v>
      </c>
    </row>
    <row r="107" spans="1:28" ht="14.25" customHeight="1" x14ac:dyDescent="0.25">
      <c r="A107" s="1516"/>
      <c r="B107" s="1493"/>
      <c r="C107" s="1317"/>
      <c r="D107" s="1317"/>
      <c r="E107" s="1317"/>
      <c r="F107" s="1317"/>
      <c r="G107" s="1494"/>
      <c r="H107" s="986"/>
      <c r="I107" s="1017"/>
      <c r="J107" s="1060"/>
      <c r="K107" s="1061"/>
      <c r="L107" s="1757"/>
      <c r="M107" s="1758"/>
      <c r="N107" s="1758"/>
      <c r="O107" s="1758"/>
      <c r="P107" s="1758"/>
      <c r="Q107" s="1775"/>
      <c r="R107" s="1777"/>
      <c r="S107" s="1725"/>
      <c r="T107" s="1258"/>
      <c r="U107" s="1339"/>
      <c r="W107" s="74"/>
      <c r="X107" s="74"/>
      <c r="AB107" s="72">
        <f t="shared" si="3"/>
        <v>0</v>
      </c>
    </row>
    <row r="108" spans="1:28" ht="14.25" customHeight="1" thickBot="1" x14ac:dyDescent="0.3">
      <c r="A108" s="1516"/>
      <c r="B108" s="1490"/>
      <c r="C108" s="1491"/>
      <c r="D108" s="1491"/>
      <c r="E108" s="1491"/>
      <c r="F108" s="1491"/>
      <c r="G108" s="1492"/>
      <c r="H108" s="986"/>
      <c r="I108" s="1018"/>
      <c r="J108" s="1792"/>
      <c r="K108" s="1793"/>
      <c r="L108" s="1757"/>
      <c r="M108" s="1758"/>
      <c r="N108" s="1758"/>
      <c r="O108" s="1758"/>
      <c r="P108" s="1758"/>
      <c r="Q108" s="1776"/>
      <c r="R108" s="1777"/>
      <c r="S108" s="1725"/>
      <c r="T108" s="1258"/>
      <c r="U108" s="1340"/>
      <c r="W108" s="76"/>
      <c r="X108" s="74"/>
      <c r="AB108" s="72">
        <f t="shared" si="3"/>
        <v>0</v>
      </c>
    </row>
    <row r="109" spans="1:28" ht="14.25" customHeight="1" thickBot="1" x14ac:dyDescent="0.3">
      <c r="A109" s="1516"/>
      <c r="B109" s="1502" t="s">
        <v>277</v>
      </c>
      <c r="C109" s="1503"/>
      <c r="D109" s="1503"/>
      <c r="E109" s="1503"/>
      <c r="F109" s="1503"/>
      <c r="G109" s="1503"/>
      <c r="H109" s="1503"/>
      <c r="I109" s="1500">
        <f>I37+I44+I60+I77+I89+I92+I96+I103</f>
        <v>0.69</v>
      </c>
      <c r="J109" s="1506">
        <f>J103+J96+J92+J89+J77+J60+J44+J37</f>
        <v>0</v>
      </c>
      <c r="K109" s="1161"/>
      <c r="L109" s="1323">
        <f>SUM(R103:S108)</f>
        <v>0</v>
      </c>
      <c r="M109" s="1323"/>
      <c r="N109" s="1323"/>
      <c r="O109" s="1323"/>
      <c r="P109" s="1355"/>
      <c r="Q109" s="1329"/>
      <c r="R109" s="1036">
        <f>SUM(R96:S108)+SUM(R89:S94)+SUM(R77:S87)+SUM(R60:S72)+SUM(R44:S55)+SUM(R37:S42)</f>
        <v>0</v>
      </c>
      <c r="S109" s="1037"/>
      <c r="T109" s="1371"/>
      <c r="U109" s="1773"/>
      <c r="W109" s="74"/>
      <c r="X109" s="78"/>
      <c r="Y109" s="78"/>
      <c r="Z109" s="78"/>
    </row>
    <row r="110" spans="1:28" ht="15" customHeight="1" thickBot="1" x14ac:dyDescent="0.3">
      <c r="A110" s="1516"/>
      <c r="B110" s="1504"/>
      <c r="C110" s="1505"/>
      <c r="D110" s="1505"/>
      <c r="E110" s="1505"/>
      <c r="F110" s="1505"/>
      <c r="G110" s="1505"/>
      <c r="H110" s="1505"/>
      <c r="I110" s="1501"/>
      <c r="J110" s="1507"/>
      <c r="K110" s="1163"/>
      <c r="L110" s="1325"/>
      <c r="M110" s="1325"/>
      <c r="N110" s="1325"/>
      <c r="O110" s="1325"/>
      <c r="P110" s="1359"/>
      <c r="Q110" s="1330"/>
      <c r="R110" s="1042"/>
      <c r="S110" s="1043"/>
      <c r="T110" s="1371"/>
      <c r="U110" s="1774"/>
      <c r="V110" s="206">
        <f>SUM(V33:V108)+R21</f>
        <v>5</v>
      </c>
      <c r="W110" s="207"/>
      <c r="X110" s="207"/>
      <c r="AB110" s="72">
        <f>SUM(AB37:AB108)</f>
        <v>6</v>
      </c>
    </row>
    <row r="111" spans="1:28" ht="15" customHeight="1" x14ac:dyDescent="0.25">
      <c r="B111" s="136"/>
      <c r="C111" s="136"/>
      <c r="D111" s="136"/>
      <c r="E111" s="136"/>
      <c r="F111" s="136"/>
      <c r="G111" s="136"/>
      <c r="H111" s="136"/>
      <c r="I111" s="137"/>
      <c r="J111" s="138"/>
      <c r="K111" s="138"/>
      <c r="L111" s="139"/>
      <c r="M111" s="137"/>
      <c r="N111" s="137"/>
      <c r="O111" s="137"/>
      <c r="P111" s="138"/>
      <c r="Q111" s="138"/>
      <c r="R111" s="140"/>
      <c r="S111" s="79"/>
      <c r="T111" s="80"/>
      <c r="U111" s="195"/>
    </row>
    <row r="112" spans="1:28" ht="15" customHeight="1" x14ac:dyDescent="0.25">
      <c r="B112" s="1317" t="s">
        <v>278</v>
      </c>
      <c r="C112" s="1318"/>
      <c r="D112" s="1318"/>
      <c r="E112" s="1318"/>
      <c r="F112" s="1318"/>
      <c r="G112" s="1318"/>
      <c r="H112" s="1318"/>
      <c r="I112" s="1318"/>
      <c r="J112" s="1318"/>
      <c r="K112" s="1318"/>
      <c r="L112" s="1318"/>
      <c r="M112" s="1318"/>
      <c r="N112" s="1318"/>
      <c r="O112" s="1318"/>
      <c r="P112" s="1318"/>
      <c r="Q112" s="1318"/>
      <c r="R112" s="1318"/>
      <c r="S112" s="79"/>
      <c r="T112" s="80"/>
      <c r="U112" s="195"/>
    </row>
    <row r="113" spans="1:27" ht="15" customHeight="1" x14ac:dyDescent="0.25">
      <c r="B113" s="1318"/>
      <c r="C113" s="1318"/>
      <c r="D113" s="1318"/>
      <c r="E113" s="1318"/>
      <c r="F113" s="1318"/>
      <c r="G113" s="1318"/>
      <c r="H113" s="1318"/>
      <c r="I113" s="1318"/>
      <c r="J113" s="1318"/>
      <c r="K113" s="1318"/>
      <c r="L113" s="1318"/>
      <c r="M113" s="1318"/>
      <c r="N113" s="1318"/>
      <c r="O113" s="1318"/>
      <c r="P113" s="1318"/>
      <c r="Q113" s="1318"/>
      <c r="R113" s="1318"/>
      <c r="S113" s="79"/>
      <c r="T113" s="80"/>
      <c r="U113" s="80"/>
    </row>
    <row r="114" spans="1:27" ht="15" customHeight="1" x14ac:dyDescent="0.25">
      <c r="B114" s="327"/>
      <c r="C114" s="327"/>
      <c r="D114" s="327"/>
      <c r="E114" s="327"/>
      <c r="F114" s="327"/>
      <c r="G114" s="327"/>
      <c r="H114" s="327"/>
      <c r="I114" s="327"/>
      <c r="J114" s="327"/>
      <c r="K114" s="327"/>
      <c r="L114" s="327"/>
      <c r="M114" s="327"/>
      <c r="N114" s="327"/>
      <c r="O114" s="327"/>
      <c r="P114" s="327"/>
      <c r="Q114" s="327"/>
      <c r="R114" s="327"/>
      <c r="S114" s="79"/>
      <c r="T114" s="80"/>
      <c r="U114" s="80"/>
    </row>
    <row r="116" spans="1:27" x14ac:dyDescent="0.25">
      <c r="A116" s="491" t="s">
        <v>279</v>
      </c>
      <c r="B116" s="40" t="str">
        <f>IF(B1=V2,"Honorarvereinbarung für die zunächst beauftragten und für die optionalen Leistungen ","Honorarangebot für die zunächst beauftragten und für die optionalen Leistungen")</f>
        <v>Honorarangebot für die zunächst beauftragten und für die optionalen Leistungen</v>
      </c>
      <c r="Q116" s="40"/>
      <c r="AA116" s="151"/>
    </row>
    <row r="117" spans="1:27" ht="14.55" thickBot="1" x14ac:dyDescent="0.3"/>
    <row r="118" spans="1:27" x14ac:dyDescent="0.25">
      <c r="B118" s="941" t="s">
        <v>55</v>
      </c>
      <c r="C118" s="942"/>
      <c r="D118" s="942"/>
      <c r="E118" s="942"/>
      <c r="F118" s="943"/>
      <c r="G118" s="99"/>
      <c r="H118" s="944">
        <f>J109</f>
        <v>0</v>
      </c>
      <c r="I118" s="944"/>
      <c r="J118" s="945"/>
    </row>
    <row r="119" spans="1:27" x14ac:dyDescent="0.25">
      <c r="B119" s="301"/>
      <c r="C119" s="41"/>
      <c r="D119" s="41"/>
      <c r="E119" s="41"/>
      <c r="F119" s="302"/>
      <c r="G119" s="101"/>
      <c r="H119" s="303"/>
      <c r="I119" s="303"/>
      <c r="J119" s="304"/>
    </row>
    <row r="120" spans="1:27" ht="15.95" customHeight="1" thickBot="1" x14ac:dyDescent="0.3">
      <c r="B120" s="1298" t="s">
        <v>280</v>
      </c>
      <c r="C120" s="1299"/>
      <c r="D120" s="1299"/>
      <c r="E120" s="1299"/>
      <c r="F120" s="1300"/>
      <c r="G120" s="102">
        <f>F21</f>
        <v>0</v>
      </c>
      <c r="H120" s="956">
        <f>H118*G120</f>
        <v>0</v>
      </c>
      <c r="I120" s="956"/>
      <c r="J120" s="957"/>
      <c r="K120" s="96">
        <f>H118+H120</f>
        <v>0</v>
      </c>
    </row>
    <row r="121" spans="1:27" x14ac:dyDescent="0.25">
      <c r="B121" s="90"/>
      <c r="C121" s="91"/>
      <c r="D121" s="91"/>
      <c r="E121" s="91"/>
      <c r="F121" s="92"/>
      <c r="G121" s="88"/>
      <c r="J121" s="89"/>
    </row>
    <row r="122" spans="1:27" x14ac:dyDescent="0.25">
      <c r="B122" s="926" t="s">
        <v>57</v>
      </c>
      <c r="C122" s="927"/>
      <c r="D122" s="927"/>
      <c r="E122" s="927"/>
      <c r="F122" s="928"/>
      <c r="G122" s="101"/>
      <c r="H122" s="954">
        <f>R109</f>
        <v>0</v>
      </c>
      <c r="I122" s="954"/>
      <c r="J122" s="955"/>
    </row>
    <row r="123" spans="1:27" ht="14.55" thickBot="1" x14ac:dyDescent="0.3">
      <c r="B123" s="296"/>
      <c r="C123" s="297"/>
      <c r="D123" s="297"/>
      <c r="E123" s="297"/>
      <c r="F123" s="298"/>
      <c r="G123" s="1333"/>
      <c r="H123" s="1334"/>
      <c r="I123" s="1334"/>
      <c r="J123" s="1335"/>
    </row>
    <row r="124" spans="1:27" ht="15.95" customHeight="1" thickBot="1" x14ac:dyDescent="0.3">
      <c r="B124" s="929" t="s">
        <v>59</v>
      </c>
      <c r="C124" s="930"/>
      <c r="D124" s="930"/>
      <c r="E124" s="930"/>
      <c r="F124" s="931"/>
      <c r="G124" s="107"/>
      <c r="H124" s="935">
        <f>SUM(H118:J122)</f>
        <v>0</v>
      </c>
      <c r="I124" s="935"/>
      <c r="J124" s="936"/>
    </row>
    <row r="125" spans="1:27" x14ac:dyDescent="0.25">
      <c r="B125" s="320"/>
      <c r="C125" s="321"/>
      <c r="D125" s="321"/>
      <c r="E125" s="321"/>
      <c r="F125" s="322"/>
      <c r="G125" s="45"/>
      <c r="H125" s="93"/>
      <c r="I125" s="93"/>
      <c r="J125" s="94"/>
    </row>
    <row r="126" spans="1:27" ht="15" customHeight="1" x14ac:dyDescent="0.25">
      <c r="B126" s="917" t="s">
        <v>60</v>
      </c>
      <c r="C126" s="918"/>
      <c r="D126" s="918"/>
      <c r="E126" s="918"/>
      <c r="F126" s="919"/>
      <c r="G126" s="100">
        <f>Überblick!$G$98</f>
        <v>0.19</v>
      </c>
      <c r="H126" s="954">
        <f>H124*G126</f>
        <v>0</v>
      </c>
      <c r="I126" s="954"/>
      <c r="J126" s="955"/>
    </row>
    <row r="127" spans="1:27" ht="14.55" thickBot="1" x14ac:dyDescent="0.3">
      <c r="B127" s="305"/>
      <c r="C127" s="306"/>
      <c r="D127" s="306"/>
      <c r="E127" s="306"/>
      <c r="F127" s="307"/>
      <c r="G127" s="102"/>
      <c r="H127" s="299"/>
      <c r="I127" s="299"/>
      <c r="J127" s="300"/>
    </row>
    <row r="128" spans="1:27" ht="15" customHeight="1" x14ac:dyDescent="0.25">
      <c r="B128" s="920" t="s">
        <v>281</v>
      </c>
      <c r="C128" s="921"/>
      <c r="D128" s="921"/>
      <c r="E128" s="921"/>
      <c r="F128" s="922"/>
      <c r="G128" s="97"/>
      <c r="H128" s="937">
        <f>H124+H126</f>
        <v>0</v>
      </c>
      <c r="I128" s="937"/>
      <c r="J128" s="938"/>
    </row>
    <row r="129" spans="1:26" ht="14.55" thickBot="1" x14ac:dyDescent="0.3">
      <c r="B129" s="923"/>
      <c r="C129" s="924"/>
      <c r="D129" s="924"/>
      <c r="E129" s="924"/>
      <c r="F129" s="925"/>
      <c r="G129" s="98"/>
      <c r="H129" s="939"/>
      <c r="I129" s="939"/>
      <c r="J129" s="940"/>
    </row>
    <row r="131" spans="1:26" x14ac:dyDescent="0.25">
      <c r="A131" s="491" t="s">
        <v>282</v>
      </c>
      <c r="B131" s="60" t="str">
        <f>IF(B1=V2,"Honorarvereinbarung für die zunächst beauftragenden Leistungen","Honorangebot für die zunächst beauftragenden Leistungen ")</f>
        <v xml:space="preserve">Honorangebot für die zunächst beauftragenden Leistungen </v>
      </c>
      <c r="C131" s="60"/>
      <c r="D131" s="60"/>
      <c r="E131" s="60"/>
      <c r="F131" s="65"/>
      <c r="G131" s="65"/>
      <c r="H131" s="65"/>
      <c r="I131" s="66"/>
      <c r="J131" s="66"/>
      <c r="K131" s="66"/>
      <c r="L131" s="66"/>
      <c r="M131" s="66"/>
      <c r="N131" s="66"/>
      <c r="O131" s="66"/>
      <c r="P131" s="67"/>
      <c r="Q131" s="60"/>
      <c r="R131" s="67"/>
      <c r="S131" s="67"/>
      <c r="T131" s="67"/>
      <c r="U131" s="67"/>
      <c r="Z131" s="461"/>
    </row>
    <row r="132" spans="1:26" ht="14.55" thickBot="1" x14ac:dyDescent="0.3">
      <c r="B132" s="60"/>
      <c r="C132" s="60"/>
      <c r="D132" s="60"/>
      <c r="E132" s="60"/>
      <c r="F132" s="65"/>
      <c r="G132" s="65"/>
      <c r="H132" s="65"/>
      <c r="I132" s="66"/>
      <c r="J132" s="66"/>
      <c r="K132" s="66"/>
      <c r="L132" s="66"/>
      <c r="M132" s="66"/>
      <c r="N132" s="66"/>
      <c r="O132" s="66"/>
      <c r="P132" s="67"/>
      <c r="Q132" s="67"/>
      <c r="R132" s="67"/>
      <c r="S132" s="67"/>
      <c r="T132" s="67"/>
      <c r="U132" s="67"/>
    </row>
    <row r="133" spans="1:26" x14ac:dyDescent="0.25">
      <c r="B133" s="941" t="s">
        <v>55</v>
      </c>
      <c r="C133" s="942"/>
      <c r="D133" s="942"/>
      <c r="E133" s="942"/>
      <c r="F133" s="943"/>
      <c r="G133" s="99"/>
      <c r="H133" s="944">
        <f>'Berechnung - Wärmeschutz'!H101</f>
        <v>0</v>
      </c>
      <c r="I133" s="944"/>
      <c r="J133" s="945"/>
      <c r="K133" s="66"/>
      <c r="L133" s="66"/>
      <c r="M133" s="66"/>
      <c r="N133" s="66"/>
      <c r="O133" s="66"/>
      <c r="P133" s="67"/>
      <c r="Q133" s="67"/>
      <c r="R133" s="67"/>
      <c r="S133" s="67"/>
      <c r="T133" s="67"/>
      <c r="U133" s="67"/>
    </row>
    <row r="134" spans="1:26" x14ac:dyDescent="0.25">
      <c r="B134" s="301"/>
      <c r="C134" s="41"/>
      <c r="D134" s="41"/>
      <c r="E134" s="41"/>
      <c r="F134" s="302"/>
      <c r="G134" s="101"/>
      <c r="H134" s="303"/>
      <c r="I134" s="303"/>
      <c r="J134" s="304"/>
      <c r="K134" s="66"/>
      <c r="L134" s="66"/>
      <c r="M134" s="66"/>
      <c r="N134" s="66"/>
      <c r="O134" s="66"/>
      <c r="P134" s="67"/>
      <c r="Q134" s="67"/>
      <c r="R134" s="67"/>
      <c r="S134" s="67"/>
      <c r="T134" s="67"/>
      <c r="U134" s="67"/>
    </row>
    <row r="135" spans="1:26" ht="15" customHeight="1" thickBot="1" x14ac:dyDescent="0.3">
      <c r="B135" s="1298" t="s">
        <v>280</v>
      </c>
      <c r="C135" s="1299"/>
      <c r="D135" s="1299"/>
      <c r="E135" s="1299"/>
      <c r="F135" s="1300"/>
      <c r="G135" s="102">
        <f>F21</f>
        <v>0</v>
      </c>
      <c r="H135" s="956">
        <f>H133*G135</f>
        <v>0</v>
      </c>
      <c r="I135" s="956"/>
      <c r="J135" s="957"/>
      <c r="K135" s="66"/>
      <c r="L135" s="66"/>
      <c r="M135" s="66"/>
      <c r="N135" s="66"/>
      <c r="O135" s="66"/>
      <c r="P135" s="67"/>
      <c r="Q135" s="67"/>
      <c r="R135" s="67"/>
      <c r="S135" s="67"/>
      <c r="T135" s="67"/>
      <c r="U135" s="67"/>
    </row>
    <row r="136" spans="1:26" x14ac:dyDescent="0.25">
      <c r="B136" s="90"/>
      <c r="C136" s="91"/>
      <c r="D136" s="91"/>
      <c r="E136" s="91"/>
      <c r="F136" s="92"/>
      <c r="G136" s="45"/>
      <c r="H136" s="46"/>
      <c r="I136" s="46"/>
      <c r="J136" s="105"/>
      <c r="K136" s="66"/>
      <c r="L136" s="66"/>
      <c r="M136" s="66"/>
      <c r="N136" s="66"/>
      <c r="O136" s="66"/>
      <c r="P136" s="67"/>
      <c r="Q136" s="67"/>
      <c r="R136" s="67"/>
      <c r="S136" s="67"/>
      <c r="T136" s="67"/>
      <c r="U136" s="67"/>
    </row>
    <row r="137" spans="1:26" x14ac:dyDescent="0.25">
      <c r="B137" s="926" t="s">
        <v>57</v>
      </c>
      <c r="C137" s="927"/>
      <c r="D137" s="927"/>
      <c r="E137" s="927"/>
      <c r="F137" s="928"/>
      <c r="G137" s="101"/>
      <c r="H137" s="954">
        <f>'Berechnung - Wärmeschutz'!J101</f>
        <v>0</v>
      </c>
      <c r="I137" s="954"/>
      <c r="J137" s="955"/>
      <c r="K137" s="66"/>
      <c r="L137" s="66"/>
      <c r="M137" s="66"/>
      <c r="N137" s="66"/>
      <c r="O137" s="66"/>
      <c r="P137" s="67"/>
      <c r="Q137" s="67"/>
      <c r="R137" s="67"/>
      <c r="S137" s="67"/>
      <c r="T137" s="67"/>
      <c r="U137" s="67"/>
    </row>
    <row r="138" spans="1:26" ht="14.55" thickBot="1" x14ac:dyDescent="0.3">
      <c r="B138" s="90"/>
      <c r="C138" s="91"/>
      <c r="D138" s="91"/>
      <c r="E138" s="91"/>
      <c r="F138" s="92"/>
      <c r="G138" s="1333"/>
      <c r="H138" s="1334"/>
      <c r="I138" s="1334"/>
      <c r="J138" s="1335"/>
      <c r="K138" s="66"/>
      <c r="L138" s="66"/>
      <c r="M138" s="66"/>
      <c r="N138" s="66"/>
      <c r="O138" s="66"/>
      <c r="P138" s="67"/>
      <c r="Q138" s="67"/>
      <c r="R138" s="67"/>
      <c r="S138" s="67"/>
      <c r="T138" s="67"/>
      <c r="U138" s="67"/>
    </row>
    <row r="139" spans="1:26" ht="15.95" customHeight="1" thickBot="1" x14ac:dyDescent="0.3">
      <c r="B139" s="929" t="s">
        <v>59</v>
      </c>
      <c r="C139" s="930"/>
      <c r="D139" s="930"/>
      <c r="E139" s="930"/>
      <c r="F139" s="931"/>
      <c r="G139" s="107"/>
      <c r="H139" s="935">
        <f>SUM(H133:J137)</f>
        <v>0</v>
      </c>
      <c r="I139" s="935"/>
      <c r="J139" s="936"/>
      <c r="K139" s="66"/>
      <c r="L139" s="66"/>
      <c r="M139" s="66"/>
      <c r="N139" s="66"/>
      <c r="O139" s="66"/>
      <c r="P139" s="67"/>
      <c r="Q139" s="67"/>
      <c r="R139" s="67"/>
      <c r="S139" s="67"/>
      <c r="T139" s="67"/>
      <c r="U139" s="67"/>
    </row>
    <row r="140" spans="1:26" x14ac:dyDescent="0.25">
      <c r="B140" s="320"/>
      <c r="C140" s="321"/>
      <c r="D140" s="321"/>
      <c r="E140" s="321"/>
      <c r="F140" s="322"/>
      <c r="G140" s="45"/>
      <c r="H140" s="93"/>
      <c r="I140" s="93"/>
      <c r="J140" s="94"/>
      <c r="K140" s="66"/>
      <c r="L140" s="66"/>
      <c r="M140" s="66"/>
      <c r="N140" s="66"/>
      <c r="O140" s="66"/>
      <c r="P140" s="67"/>
      <c r="Q140" s="67"/>
      <c r="R140" s="67"/>
      <c r="S140" s="67"/>
      <c r="T140" s="67"/>
      <c r="U140" s="67"/>
    </row>
    <row r="141" spans="1:26" ht="15" customHeight="1" x14ac:dyDescent="0.25">
      <c r="B141" s="917" t="s">
        <v>94</v>
      </c>
      <c r="C141" s="918"/>
      <c r="D141" s="918"/>
      <c r="E141" s="918"/>
      <c r="F141" s="919"/>
      <c r="G141" s="100">
        <f>Überblick!$G$98</f>
        <v>0.19</v>
      </c>
      <c r="H141" s="954">
        <f>H139*G141</f>
        <v>0</v>
      </c>
      <c r="I141" s="954"/>
      <c r="J141" s="955"/>
      <c r="K141" s="66"/>
      <c r="L141" s="66"/>
      <c r="M141" s="66"/>
      <c r="N141" s="66"/>
      <c r="O141" s="66"/>
      <c r="P141" s="67"/>
      <c r="Q141" s="67"/>
      <c r="R141" s="67"/>
      <c r="S141" s="67"/>
      <c r="T141" s="67"/>
      <c r="U141" s="67"/>
    </row>
    <row r="142" spans="1:26" ht="14.55" thickBot="1" x14ac:dyDescent="0.3">
      <c r="B142" s="305"/>
      <c r="C142" s="306"/>
      <c r="D142" s="306"/>
      <c r="E142" s="306"/>
      <c r="F142" s="307"/>
      <c r="G142" s="102"/>
      <c r="H142" s="299"/>
      <c r="I142" s="299"/>
      <c r="J142" s="300"/>
      <c r="K142" s="66"/>
      <c r="L142" s="66"/>
      <c r="M142" s="66"/>
      <c r="N142" s="66"/>
      <c r="O142" s="66"/>
      <c r="P142" s="67"/>
      <c r="Q142" s="67"/>
      <c r="R142" s="67"/>
      <c r="S142" s="67"/>
      <c r="T142" s="67"/>
      <c r="U142" s="67"/>
    </row>
    <row r="143" spans="1:26" ht="15" customHeight="1" x14ac:dyDescent="0.25">
      <c r="B143" s="920" t="s">
        <v>98</v>
      </c>
      <c r="C143" s="921"/>
      <c r="D143" s="921"/>
      <c r="E143" s="921"/>
      <c r="F143" s="922"/>
      <c r="G143" s="172"/>
      <c r="H143" s="937">
        <f>H139+H141</f>
        <v>0</v>
      </c>
      <c r="I143" s="937"/>
      <c r="J143" s="938"/>
      <c r="K143" s="66"/>
      <c r="L143" s="66"/>
      <c r="M143" s="66"/>
      <c r="N143" s="66"/>
      <c r="O143" s="66"/>
      <c r="P143" s="67"/>
      <c r="Q143" s="67"/>
      <c r="R143" s="67"/>
      <c r="S143" s="67"/>
      <c r="T143" s="67"/>
      <c r="U143" s="67"/>
    </row>
    <row r="144" spans="1:26" ht="14.55" thickBot="1" x14ac:dyDescent="0.3">
      <c r="B144" s="923"/>
      <c r="C144" s="924"/>
      <c r="D144" s="924"/>
      <c r="E144" s="924"/>
      <c r="F144" s="925"/>
      <c r="G144" s="98"/>
      <c r="H144" s="939"/>
      <c r="I144" s="939"/>
      <c r="J144" s="940"/>
      <c r="K144" s="66"/>
      <c r="L144" s="66"/>
      <c r="M144" s="66"/>
      <c r="N144" s="66"/>
      <c r="O144" s="66"/>
      <c r="P144" s="67"/>
      <c r="Q144" s="67"/>
      <c r="R144" s="67"/>
      <c r="S144" s="67"/>
      <c r="T144" s="67"/>
      <c r="U144" s="67"/>
    </row>
    <row r="145" spans="1:21" x14ac:dyDescent="0.25">
      <c r="B145" s="60"/>
      <c r="C145" s="60"/>
      <c r="D145" s="60"/>
      <c r="E145" s="60"/>
      <c r="F145" s="65"/>
      <c r="G145" s="65"/>
      <c r="H145" s="65"/>
      <c r="I145" s="66"/>
      <c r="J145" s="66"/>
      <c r="K145" s="66"/>
      <c r="L145" s="66"/>
      <c r="M145" s="66"/>
      <c r="N145" s="66"/>
      <c r="O145" s="66"/>
      <c r="P145" s="67"/>
      <c r="Q145" s="67"/>
      <c r="R145" s="67"/>
      <c r="S145" s="67"/>
      <c r="T145" s="67"/>
      <c r="U145" s="67"/>
    </row>
    <row r="146" spans="1:21" x14ac:dyDescent="0.25">
      <c r="A146" s="491" t="s">
        <v>284</v>
      </c>
      <c r="B146" s="40" t="str">
        <f>IF(B1=V2,"Gemäß der Honorarvereinbarung werden die Stufen wie folgt vergütet (netto): ","Gemäß des Honorarangebotes werden die Stufen wie folgt vergütet (netto): ")</f>
        <v xml:space="preserve">Gemäß des Honorarangebotes werden die Stufen wie folgt vergütet (netto): </v>
      </c>
      <c r="C146" s="40"/>
      <c r="D146" s="40"/>
      <c r="E146" s="40"/>
      <c r="F146" s="40"/>
      <c r="G146" s="40"/>
      <c r="H146" s="40"/>
      <c r="I146" s="40"/>
      <c r="J146" s="40"/>
      <c r="K146" s="40"/>
      <c r="L146" s="60"/>
      <c r="M146" s="66"/>
      <c r="N146" s="66"/>
      <c r="O146" s="40"/>
      <c r="P146" s="67"/>
      <c r="Q146" s="67"/>
      <c r="R146" s="67"/>
      <c r="S146" s="67"/>
      <c r="T146" s="67"/>
      <c r="U146" s="67"/>
    </row>
    <row r="147" spans="1:21" ht="14.55" thickBot="1" x14ac:dyDescent="0.3">
      <c r="B147" s="60"/>
      <c r="C147" s="60"/>
      <c r="D147" s="60"/>
      <c r="E147" s="60"/>
      <c r="F147" s="65"/>
      <c r="G147" s="65"/>
      <c r="H147" s="65"/>
      <c r="I147" s="66"/>
      <c r="J147" s="66"/>
      <c r="K147" s="66"/>
      <c r="L147" s="66"/>
      <c r="M147" s="66"/>
      <c r="N147" s="66"/>
      <c r="O147" s="40"/>
      <c r="P147" s="67"/>
      <c r="Q147" s="67"/>
      <c r="R147" s="67"/>
      <c r="S147" s="67"/>
      <c r="T147" s="67"/>
      <c r="U147" s="67"/>
    </row>
    <row r="148" spans="1:21" ht="15.2" thickTop="1" thickBot="1" x14ac:dyDescent="0.3">
      <c r="B148" s="357" t="s">
        <v>105</v>
      </c>
      <c r="C148" s="358" t="s">
        <v>285</v>
      </c>
      <c r="D148" s="359" t="s">
        <v>286</v>
      </c>
      <c r="E148" s="360" t="s">
        <v>287</v>
      </c>
      <c r="F148" s="360" t="s">
        <v>288</v>
      </c>
      <c r="G148" s="361" t="s">
        <v>289</v>
      </c>
      <c r="H148" s="361" t="s">
        <v>290</v>
      </c>
      <c r="I148" s="362" t="s">
        <v>295</v>
      </c>
      <c r="J148" s="364" t="s">
        <v>296</v>
      </c>
      <c r="K148" s="204"/>
      <c r="L148" s="204"/>
      <c r="M148" s="204"/>
      <c r="N148" s="204"/>
      <c r="O148" s="204"/>
      <c r="P148" s="205"/>
      <c r="Q148" s="67"/>
      <c r="R148" s="67"/>
      <c r="S148" s="67"/>
      <c r="T148" s="67"/>
      <c r="U148" s="67"/>
    </row>
    <row r="149" spans="1:21" x14ac:dyDescent="0.25">
      <c r="A149" s="492"/>
      <c r="B149" s="153" t="str">
        <f>IF(Überblick!$H$53&gt;=1,"1:",0)</f>
        <v>1:</v>
      </c>
      <c r="C149" s="481">
        <f>'Berechnung - Wärmeschutz'!C106</f>
        <v>0</v>
      </c>
      <c r="D149" s="481">
        <f>'Berechnung - Wärmeschutz'!D106</f>
        <v>0</v>
      </c>
      <c r="E149" s="481">
        <f>'Berechnung - Wärmeschutz'!E106</f>
        <v>0</v>
      </c>
      <c r="F149" s="481">
        <f>'Berechnung - Wärmeschutz'!F106</f>
        <v>0</v>
      </c>
      <c r="G149" s="481">
        <f>'Berechnung - Wärmeschutz'!G106</f>
        <v>0</v>
      </c>
      <c r="H149" s="481">
        <f>'Berechnung - Wärmeschutz'!H106</f>
        <v>0</v>
      </c>
      <c r="I149" s="481">
        <f>'Berechnung - Wärmeschutz'!M106</f>
        <v>0</v>
      </c>
      <c r="J149" s="481">
        <f>'Berechnung - Wärmeschutz'!N106</f>
        <v>0</v>
      </c>
      <c r="K149" s="354"/>
      <c r="L149" s="354"/>
      <c r="M149" s="354"/>
      <c r="N149" s="177"/>
      <c r="O149" s="177"/>
      <c r="P149" s="177"/>
      <c r="Q149" s="96">
        <f>SUM(C149:P149)</f>
        <v>0</v>
      </c>
      <c r="S149" s="63"/>
      <c r="T149" s="63"/>
      <c r="U149" s="63"/>
    </row>
    <row r="150" spans="1:21" ht="15.95" customHeight="1" x14ac:dyDescent="0.25">
      <c r="A150" s="492"/>
      <c r="B150" s="153" t="str">
        <f>IF(Überblick!$H$53&gt;=2,"2:",0)</f>
        <v>2:</v>
      </c>
      <c r="C150" s="481">
        <f>'Berechnung - Wärmeschutz'!C107</f>
        <v>0</v>
      </c>
      <c r="D150" s="481">
        <f>'Berechnung - Wärmeschutz'!D107</f>
        <v>0</v>
      </c>
      <c r="E150" s="481">
        <f>'Berechnung - Wärmeschutz'!E107</f>
        <v>0</v>
      </c>
      <c r="F150" s="481">
        <f>'Berechnung - Wärmeschutz'!F107</f>
        <v>0</v>
      </c>
      <c r="G150" s="481">
        <f>'Berechnung - Wärmeschutz'!G107</f>
        <v>0</v>
      </c>
      <c r="H150" s="481">
        <f>'Berechnung - Wärmeschutz'!H107</f>
        <v>0</v>
      </c>
      <c r="I150" s="481">
        <f>'Berechnung - Wärmeschutz'!M107</f>
        <v>0</v>
      </c>
      <c r="J150" s="481">
        <f>'Berechnung - Wärmeschutz'!N107</f>
        <v>0</v>
      </c>
      <c r="K150" s="354"/>
      <c r="L150" s="354"/>
      <c r="M150" s="354"/>
      <c r="N150" s="177"/>
      <c r="O150" s="177"/>
      <c r="P150" s="177"/>
      <c r="Q150" s="96">
        <f t="shared" ref="Q150:Q156" si="5">SUM(C150:P150)</f>
        <v>0</v>
      </c>
    </row>
    <row r="151" spans="1:21" x14ac:dyDescent="0.25">
      <c r="A151" s="59"/>
      <c r="B151" s="153" t="str">
        <f>IF(Überblick!$H$53&gt;=3,"3:",0)</f>
        <v>3:</v>
      </c>
      <c r="C151" s="481">
        <f>'Berechnung - Wärmeschutz'!C108</f>
        <v>0</v>
      </c>
      <c r="D151" s="481">
        <f>'Berechnung - Wärmeschutz'!D108</f>
        <v>0</v>
      </c>
      <c r="E151" s="481">
        <f>'Berechnung - Wärmeschutz'!E108</f>
        <v>0</v>
      </c>
      <c r="F151" s="481">
        <f>'Berechnung - Wärmeschutz'!F108</f>
        <v>0</v>
      </c>
      <c r="G151" s="481">
        <f>'Berechnung - Wärmeschutz'!G108</f>
        <v>0</v>
      </c>
      <c r="H151" s="481">
        <f>'Berechnung - Wärmeschutz'!H108</f>
        <v>0</v>
      </c>
      <c r="I151" s="481">
        <f>'Berechnung - Wärmeschutz'!M108</f>
        <v>0</v>
      </c>
      <c r="J151" s="481">
        <f>'Berechnung - Wärmeschutz'!N108</f>
        <v>0</v>
      </c>
      <c r="K151" s="354"/>
      <c r="L151" s="354"/>
      <c r="M151" s="354"/>
      <c r="N151" s="177"/>
      <c r="O151" s="177"/>
      <c r="P151" s="177"/>
      <c r="Q151" s="96">
        <f t="shared" si="5"/>
        <v>0</v>
      </c>
    </row>
    <row r="152" spans="1:21" x14ac:dyDescent="0.25">
      <c r="B152" s="153" t="str">
        <f>IF(Überblick!$H$53&gt;=4,"4:",0)</f>
        <v>4:</v>
      </c>
      <c r="C152" s="481">
        <f>'Berechnung - Wärmeschutz'!C109</f>
        <v>0</v>
      </c>
      <c r="D152" s="481">
        <f>'Berechnung - Wärmeschutz'!D109</f>
        <v>0</v>
      </c>
      <c r="E152" s="481">
        <f>'Berechnung - Wärmeschutz'!E109</f>
        <v>0</v>
      </c>
      <c r="F152" s="481">
        <f>'Berechnung - Wärmeschutz'!F109</f>
        <v>0</v>
      </c>
      <c r="G152" s="481">
        <f>'Berechnung - Wärmeschutz'!G109</f>
        <v>0</v>
      </c>
      <c r="H152" s="481">
        <f>'Berechnung - Wärmeschutz'!H109</f>
        <v>0</v>
      </c>
      <c r="I152" s="481">
        <f>'Berechnung - Wärmeschutz'!M109</f>
        <v>0</v>
      </c>
      <c r="J152" s="481">
        <f>'Berechnung - Wärmeschutz'!N109</f>
        <v>0</v>
      </c>
      <c r="K152" s="354"/>
      <c r="L152" s="354"/>
      <c r="M152" s="354"/>
      <c r="N152" s="177"/>
      <c r="O152" s="177"/>
      <c r="P152" s="177"/>
      <c r="Q152" s="96">
        <f t="shared" si="5"/>
        <v>0</v>
      </c>
    </row>
    <row r="153" spans="1:21" x14ac:dyDescent="0.25">
      <c r="B153" s="153" t="str">
        <f>IF(Überblick!$H$53&gt;=5,"5:",0)</f>
        <v>5:</v>
      </c>
      <c r="C153" s="481">
        <f>'Berechnung - Wärmeschutz'!C110</f>
        <v>0</v>
      </c>
      <c r="D153" s="481">
        <f>'Berechnung - Wärmeschutz'!D110</f>
        <v>0</v>
      </c>
      <c r="E153" s="481">
        <f>'Berechnung - Wärmeschutz'!E110</f>
        <v>0</v>
      </c>
      <c r="F153" s="481">
        <f>'Berechnung - Wärmeschutz'!F110</f>
        <v>0</v>
      </c>
      <c r="G153" s="481">
        <f>'Berechnung - Wärmeschutz'!G110</f>
        <v>0</v>
      </c>
      <c r="H153" s="481">
        <f>'Berechnung - Wärmeschutz'!H110</f>
        <v>0</v>
      </c>
      <c r="I153" s="481">
        <f>'Berechnung - Wärmeschutz'!M110</f>
        <v>0</v>
      </c>
      <c r="J153" s="481">
        <f>'Berechnung - Wärmeschutz'!N110</f>
        <v>0</v>
      </c>
      <c r="K153" s="354"/>
      <c r="L153" s="354"/>
      <c r="M153" s="354"/>
      <c r="N153" s="177"/>
      <c r="O153" s="177"/>
      <c r="P153" s="177"/>
      <c r="Q153" s="96">
        <f t="shared" si="5"/>
        <v>0</v>
      </c>
    </row>
    <row r="154" spans="1:21" ht="15.95" customHeight="1" x14ac:dyDescent="0.25">
      <c r="B154" s="153" t="str">
        <f>IF(Überblick!$H$53&gt;=6,"6:",0)</f>
        <v>6:</v>
      </c>
      <c r="C154" s="481">
        <f>'Berechnung - Wärmeschutz'!C111</f>
        <v>0</v>
      </c>
      <c r="D154" s="481">
        <f>'Berechnung - Wärmeschutz'!D111</f>
        <v>0</v>
      </c>
      <c r="E154" s="481">
        <f>'Berechnung - Wärmeschutz'!E111</f>
        <v>0</v>
      </c>
      <c r="F154" s="481">
        <f>'Berechnung - Wärmeschutz'!F111</f>
        <v>0</v>
      </c>
      <c r="G154" s="481">
        <f>'Berechnung - Wärmeschutz'!G111</f>
        <v>0</v>
      </c>
      <c r="H154" s="481">
        <f>'Berechnung - Wärmeschutz'!H111</f>
        <v>0</v>
      </c>
      <c r="I154" s="481">
        <f>'Berechnung - Wärmeschutz'!M111</f>
        <v>0</v>
      </c>
      <c r="J154" s="481">
        <f>'Berechnung - Wärmeschutz'!N111</f>
        <v>0</v>
      </c>
      <c r="K154" s="354"/>
      <c r="L154" s="354"/>
      <c r="M154" s="354"/>
      <c r="N154" s="177"/>
      <c r="O154" s="177"/>
      <c r="P154" s="177"/>
      <c r="Q154" s="96">
        <f t="shared" si="5"/>
        <v>0</v>
      </c>
    </row>
    <row r="155" spans="1:21" x14ac:dyDescent="0.25">
      <c r="B155" s="153">
        <f>IF(Überblick!$H$53&gt;=7,"7:",0)</f>
        <v>0</v>
      </c>
      <c r="C155" s="481">
        <f>'Berechnung - Wärmeschutz'!C112</f>
        <v>0</v>
      </c>
      <c r="D155" s="481">
        <f>'Berechnung - Wärmeschutz'!D112</f>
        <v>0</v>
      </c>
      <c r="E155" s="481">
        <f>'Berechnung - Wärmeschutz'!E112</f>
        <v>0</v>
      </c>
      <c r="F155" s="481">
        <f>'Berechnung - Wärmeschutz'!F112</f>
        <v>0</v>
      </c>
      <c r="G155" s="481">
        <f>'Berechnung - Wärmeschutz'!G112</f>
        <v>0</v>
      </c>
      <c r="H155" s="481">
        <f>'Berechnung - Wärmeschutz'!H112</f>
        <v>0</v>
      </c>
      <c r="I155" s="481">
        <f>'Berechnung - Wärmeschutz'!M112</f>
        <v>0</v>
      </c>
      <c r="J155" s="481">
        <f>'Berechnung - Wärmeschutz'!N112</f>
        <v>0</v>
      </c>
      <c r="K155" s="354"/>
      <c r="L155" s="354"/>
      <c r="M155" s="354"/>
      <c r="N155" s="177"/>
      <c r="O155" s="177"/>
      <c r="P155" s="177"/>
      <c r="Q155" s="96">
        <f t="shared" si="5"/>
        <v>0</v>
      </c>
    </row>
    <row r="156" spans="1:21" ht="15" customHeight="1" x14ac:dyDescent="0.25">
      <c r="B156" s="153">
        <f>IF(Überblick!$H$53&gt;=8,"8:",0)</f>
        <v>0</v>
      </c>
      <c r="C156" s="481">
        <f>'Berechnung - Wärmeschutz'!C113</f>
        <v>0</v>
      </c>
      <c r="D156" s="481">
        <f>'Berechnung - Wärmeschutz'!D113</f>
        <v>0</v>
      </c>
      <c r="E156" s="481">
        <f>'Berechnung - Wärmeschutz'!E113</f>
        <v>0</v>
      </c>
      <c r="F156" s="481">
        <f>'Berechnung - Wärmeschutz'!F113</f>
        <v>0</v>
      </c>
      <c r="G156" s="481">
        <f>'Berechnung - Wärmeschutz'!G113</f>
        <v>0</v>
      </c>
      <c r="H156" s="481">
        <f>'Berechnung - Wärmeschutz'!H113</f>
        <v>0</v>
      </c>
      <c r="I156" s="481">
        <f>'Berechnung - Wärmeschutz'!M113</f>
        <v>0</v>
      </c>
      <c r="J156" s="481">
        <f>'Berechnung - Wärmeschutz'!N113</f>
        <v>0</v>
      </c>
      <c r="K156" s="354"/>
      <c r="L156" s="354"/>
      <c r="M156" s="354"/>
      <c r="N156" s="177"/>
      <c r="O156" s="177"/>
      <c r="P156" s="177"/>
      <c r="Q156" s="96">
        <f t="shared" si="5"/>
        <v>0</v>
      </c>
    </row>
    <row r="157" spans="1:21" x14ac:dyDescent="0.25">
      <c r="B157" s="153">
        <f>IF(Überblick!$H$53&gt;=9,"9:",0)</f>
        <v>0</v>
      </c>
      <c r="C157" s="481">
        <f>'Berechnung - Wärmeschutz'!C114</f>
        <v>0</v>
      </c>
      <c r="D157" s="481">
        <f>'Berechnung - Wärmeschutz'!D114</f>
        <v>0</v>
      </c>
      <c r="E157" s="481">
        <f>'Berechnung - Wärmeschutz'!E114</f>
        <v>0</v>
      </c>
      <c r="F157" s="481">
        <f>'Berechnung - Wärmeschutz'!F114</f>
        <v>0</v>
      </c>
      <c r="G157" s="481">
        <f>'Berechnung - Wärmeschutz'!G114</f>
        <v>0</v>
      </c>
      <c r="H157" s="481">
        <f>'Berechnung - Wärmeschutz'!H114</f>
        <v>0</v>
      </c>
      <c r="I157" s="481">
        <f>'Berechnung - Wärmeschutz'!M114</f>
        <v>0</v>
      </c>
      <c r="J157" s="481">
        <f>'Berechnung - Wärmeschutz'!N114</f>
        <v>0</v>
      </c>
      <c r="Q157" s="96"/>
    </row>
    <row r="158" spans="1:21" ht="14.25" customHeight="1" x14ac:dyDescent="0.25">
      <c r="B158" s="140"/>
      <c r="C158" s="140"/>
      <c r="D158" s="140"/>
      <c r="E158" s="140"/>
      <c r="F158" s="140"/>
      <c r="G158" s="140"/>
      <c r="H158" s="140"/>
      <c r="I158" s="140"/>
      <c r="J158" s="140"/>
      <c r="Q158" s="96"/>
    </row>
    <row r="159" spans="1:21" x14ac:dyDescent="0.25">
      <c r="B159" s="140"/>
      <c r="C159" s="140"/>
      <c r="D159" s="140"/>
      <c r="E159" s="140"/>
      <c r="F159" s="140"/>
      <c r="G159" s="140"/>
      <c r="H159" s="140"/>
      <c r="I159" s="140"/>
      <c r="J159" s="140"/>
      <c r="Q159" s="96"/>
    </row>
    <row r="160" spans="1:21" x14ac:dyDescent="0.25">
      <c r="B160" s="140"/>
      <c r="C160" s="140"/>
      <c r="D160" s="140"/>
      <c r="E160" s="140"/>
      <c r="F160" s="140"/>
      <c r="G160" s="140"/>
      <c r="H160" s="140"/>
      <c r="I160" s="140"/>
      <c r="J160" s="140"/>
      <c r="Q160" s="96"/>
    </row>
    <row r="161" spans="2:17" x14ac:dyDescent="0.25">
      <c r="B161" s="140"/>
      <c r="C161" s="140"/>
      <c r="D161" s="140"/>
      <c r="E161" s="140"/>
      <c r="F161" s="140"/>
      <c r="G161" s="140"/>
      <c r="H161" s="140"/>
      <c r="I161" s="140"/>
      <c r="J161" s="140"/>
      <c r="Q161" s="96"/>
    </row>
    <row r="162" spans="2:17" x14ac:dyDescent="0.25">
      <c r="B162" s="140"/>
      <c r="C162" s="140"/>
      <c r="D162" s="140"/>
      <c r="E162" s="140"/>
      <c r="F162" s="140"/>
      <c r="G162" s="140"/>
      <c r="H162" s="140"/>
      <c r="I162" s="140"/>
      <c r="J162" s="140"/>
    </row>
    <row r="163" spans="2:17" x14ac:dyDescent="0.25">
      <c r="B163" s="140"/>
      <c r="C163" s="140"/>
      <c r="D163" s="140"/>
      <c r="E163" s="140"/>
      <c r="F163" s="140"/>
      <c r="G163" s="140"/>
      <c r="H163" s="140"/>
      <c r="I163" s="140"/>
      <c r="J163" s="140"/>
    </row>
  </sheetData>
  <sheetProtection algorithmName="SHA-512" hashValue="dQHJ9/zlFGpWh3ygBUMm9h3CDi7XfBrD2HbXFnTURjzrHvkSZtD9YpaNpV2i3HlQmHbCzW1OoA67G2xwAqw6Qw==" saltValue="78RiBLvPBBYKDhQPEl1wEQ==" spinCount="100000" sheet="1" objects="1" scenarios="1"/>
  <mergeCells count="269">
    <mergeCell ref="S2:U2"/>
    <mergeCell ref="S3:U3"/>
    <mergeCell ref="S4:U4"/>
    <mergeCell ref="T1:U1"/>
    <mergeCell ref="T92:T94"/>
    <mergeCell ref="T103:T108"/>
    <mergeCell ref="L56:P58"/>
    <mergeCell ref="Q56:Q58"/>
    <mergeCell ref="R56:S58"/>
    <mergeCell ref="L43:P43"/>
    <mergeCell ref="R43:S43"/>
    <mergeCell ref="L73:P75"/>
    <mergeCell ref="Q73:Q75"/>
    <mergeCell ref="R73:S75"/>
    <mergeCell ref="L88:P88"/>
    <mergeCell ref="L76:P76"/>
    <mergeCell ref="L59:P59"/>
    <mergeCell ref="R59:S59"/>
    <mergeCell ref="R76:S76"/>
    <mergeCell ref="R88:S88"/>
    <mergeCell ref="T89:T91"/>
    <mergeCell ref="T73:T75"/>
    <mergeCell ref="T56:T58"/>
    <mergeCell ref="U92:U94"/>
    <mergeCell ref="R63:S65"/>
    <mergeCell ref="L66:P68"/>
    <mergeCell ref="Q66:Q68"/>
    <mergeCell ref="R66:S68"/>
    <mergeCell ref="B143:F144"/>
    <mergeCell ref="H143:J144"/>
    <mergeCell ref="I96:I101"/>
    <mergeCell ref="B139:F139"/>
    <mergeCell ref="H139:J139"/>
    <mergeCell ref="B141:F141"/>
    <mergeCell ref="H141:J141"/>
    <mergeCell ref="I77:I87"/>
    <mergeCell ref="J77:K87"/>
    <mergeCell ref="I103:I108"/>
    <mergeCell ref="J96:K101"/>
    <mergeCell ref="J103:K108"/>
    <mergeCell ref="B122:F122"/>
    <mergeCell ref="H122:J122"/>
    <mergeCell ref="G123:J123"/>
    <mergeCell ref="B124:F124"/>
    <mergeCell ref="H137:J137"/>
    <mergeCell ref="G138:J138"/>
    <mergeCell ref="B128:F129"/>
    <mergeCell ref="H128:J129"/>
    <mergeCell ref="B60:G62"/>
    <mergeCell ref="B63:G66"/>
    <mergeCell ref="B67:G69"/>
    <mergeCell ref="H60:H62"/>
    <mergeCell ref="H67:H69"/>
    <mergeCell ref="H63:H66"/>
    <mergeCell ref="H103:H108"/>
    <mergeCell ref="B109:H110"/>
    <mergeCell ref="I109:I110"/>
    <mergeCell ref="B76:G76"/>
    <mergeCell ref="I76:K76"/>
    <mergeCell ref="B77:G80"/>
    <mergeCell ref="B81:G84"/>
    <mergeCell ref="B85:G87"/>
    <mergeCell ref="H77:H80"/>
    <mergeCell ref="H81:H84"/>
    <mergeCell ref="H85:H87"/>
    <mergeCell ref="I73:K75"/>
    <mergeCell ref="J92:K94"/>
    <mergeCell ref="I92:I94"/>
    <mergeCell ref="B133:F133"/>
    <mergeCell ref="H133:J133"/>
    <mergeCell ref="B135:F135"/>
    <mergeCell ref="H135:J135"/>
    <mergeCell ref="B112:R113"/>
    <mergeCell ref="B118:F118"/>
    <mergeCell ref="H118:J118"/>
    <mergeCell ref="B120:F120"/>
    <mergeCell ref="H120:J120"/>
    <mergeCell ref="H124:J124"/>
    <mergeCell ref="B126:F126"/>
    <mergeCell ref="H126:J126"/>
    <mergeCell ref="B137:F137"/>
    <mergeCell ref="A89:A91"/>
    <mergeCell ref="B89:G91"/>
    <mergeCell ref="H89:H91"/>
    <mergeCell ref="I89:I91"/>
    <mergeCell ref="J89:K91"/>
    <mergeCell ref="Q92:Q94"/>
    <mergeCell ref="R92:S94"/>
    <mergeCell ref="L103:P105"/>
    <mergeCell ref="Q103:Q105"/>
    <mergeCell ref="R103:S105"/>
    <mergeCell ref="B102:G102"/>
    <mergeCell ref="I102:K102"/>
    <mergeCell ref="L96:P98"/>
    <mergeCell ref="Q96:Q98"/>
    <mergeCell ref="Q99:Q101"/>
    <mergeCell ref="R99:S101"/>
    <mergeCell ref="L95:P95"/>
    <mergeCell ref="L102:P102"/>
    <mergeCell ref="R95:S95"/>
    <mergeCell ref="R102:S102"/>
    <mergeCell ref="A92:A94"/>
    <mergeCell ref="B92:G94"/>
    <mergeCell ref="H92:H94"/>
    <mergeCell ref="L92:P94"/>
    <mergeCell ref="R96:S98"/>
    <mergeCell ref="L99:P101"/>
    <mergeCell ref="U96:U101"/>
    <mergeCell ref="A95:A110"/>
    <mergeCell ref="B95:G95"/>
    <mergeCell ref="I95:K95"/>
    <mergeCell ref="B96:G101"/>
    <mergeCell ref="H96:H101"/>
    <mergeCell ref="U109:U110"/>
    <mergeCell ref="U103:U108"/>
    <mergeCell ref="T96:T101"/>
    <mergeCell ref="B103:G108"/>
    <mergeCell ref="L106:P108"/>
    <mergeCell ref="Q106:Q108"/>
    <mergeCell ref="R106:S108"/>
    <mergeCell ref="T109:T110"/>
    <mergeCell ref="J109:K110"/>
    <mergeCell ref="L109:P110"/>
    <mergeCell ref="Q109:Q110"/>
    <mergeCell ref="R109:S110"/>
    <mergeCell ref="R89:S91"/>
    <mergeCell ref="R83:S85"/>
    <mergeCell ref="R86:S87"/>
    <mergeCell ref="Q86:Q87"/>
    <mergeCell ref="L86:P87"/>
    <mergeCell ref="U77:U87"/>
    <mergeCell ref="L83:P85"/>
    <mergeCell ref="Q83:Q85"/>
    <mergeCell ref="U73:U75"/>
    <mergeCell ref="T77:T87"/>
    <mergeCell ref="L77:P79"/>
    <mergeCell ref="Q77:Q79"/>
    <mergeCell ref="R77:S79"/>
    <mergeCell ref="L80:P82"/>
    <mergeCell ref="Q80:Q82"/>
    <mergeCell ref="R80:S82"/>
    <mergeCell ref="U89:U91"/>
    <mergeCell ref="L89:P91"/>
    <mergeCell ref="Q89:Q91"/>
    <mergeCell ref="U56:U58"/>
    <mergeCell ref="B59:G59"/>
    <mergeCell ref="I59:K59"/>
    <mergeCell ref="I60:I72"/>
    <mergeCell ref="J60:K72"/>
    <mergeCell ref="B54:G55"/>
    <mergeCell ref="H54:H55"/>
    <mergeCell ref="I56:K58"/>
    <mergeCell ref="B70:G72"/>
    <mergeCell ref="H70:H72"/>
    <mergeCell ref="L72:P72"/>
    <mergeCell ref="R72:S72"/>
    <mergeCell ref="L69:P71"/>
    <mergeCell ref="T60:T72"/>
    <mergeCell ref="U60:U72"/>
    <mergeCell ref="Q69:Q71"/>
    <mergeCell ref="R69:S71"/>
    <mergeCell ref="L60:P62"/>
    <mergeCell ref="Q60:Q62"/>
    <mergeCell ref="R60:S62"/>
    <mergeCell ref="L53:P55"/>
    <mergeCell ref="T44:T55"/>
    <mergeCell ref="U44:U55"/>
    <mergeCell ref="B45:G47"/>
    <mergeCell ref="H45:H47"/>
    <mergeCell ref="B48:G49"/>
    <mergeCell ref="H48:H49"/>
    <mergeCell ref="B44:G44"/>
    <mergeCell ref="I44:I55"/>
    <mergeCell ref="J44:K55"/>
    <mergeCell ref="L44:P46"/>
    <mergeCell ref="Q44:Q46"/>
    <mergeCell ref="R44:S46"/>
    <mergeCell ref="R47:S49"/>
    <mergeCell ref="L50:P52"/>
    <mergeCell ref="Q50:Q52"/>
    <mergeCell ref="R50:S52"/>
    <mergeCell ref="Q53:Q55"/>
    <mergeCell ref="R53:S55"/>
    <mergeCell ref="T37:T42"/>
    <mergeCell ref="U37:U42"/>
    <mergeCell ref="U33:U35"/>
    <mergeCell ref="B36:G36"/>
    <mergeCell ref="I36:K36"/>
    <mergeCell ref="B37:G39"/>
    <mergeCell ref="H37:H39"/>
    <mergeCell ref="I37:I42"/>
    <mergeCell ref="J37:K42"/>
    <mergeCell ref="I33:K35"/>
    <mergeCell ref="L33:P35"/>
    <mergeCell ref="Q33:Q35"/>
    <mergeCell ref="R33:S35"/>
    <mergeCell ref="T33:T35"/>
    <mergeCell ref="L36:P36"/>
    <mergeCell ref="B40:G42"/>
    <mergeCell ref="H40:H42"/>
    <mergeCell ref="B33:G35"/>
    <mergeCell ref="R36:S36"/>
    <mergeCell ref="L37:P38"/>
    <mergeCell ref="L39:P39"/>
    <mergeCell ref="L40:P41"/>
    <mergeCell ref="L42:P42"/>
    <mergeCell ref="Q37:Q38"/>
    <mergeCell ref="F17:I17"/>
    <mergeCell ref="J17:M17"/>
    <mergeCell ref="N17:Q17"/>
    <mergeCell ref="B21:E21"/>
    <mergeCell ref="F21:Q21"/>
    <mergeCell ref="A30:A88"/>
    <mergeCell ref="B30:G32"/>
    <mergeCell ref="H30:H32"/>
    <mergeCell ref="I30:I32"/>
    <mergeCell ref="J30:K32"/>
    <mergeCell ref="B50:G51"/>
    <mergeCell ref="H50:H51"/>
    <mergeCell ref="B52:G53"/>
    <mergeCell ref="H52:H53"/>
    <mergeCell ref="L47:P49"/>
    <mergeCell ref="Q47:Q49"/>
    <mergeCell ref="B88:G88"/>
    <mergeCell ref="I88:K88"/>
    <mergeCell ref="B43:G43"/>
    <mergeCell ref="I43:K43"/>
    <mergeCell ref="L63:P65"/>
    <mergeCell ref="Q63:Q65"/>
    <mergeCell ref="H33:H35"/>
    <mergeCell ref="B56:G58"/>
    <mergeCell ref="P7:Q7"/>
    <mergeCell ref="B8:E8"/>
    <mergeCell ref="F8:G8"/>
    <mergeCell ref="H8:I8"/>
    <mergeCell ref="J8:K8"/>
    <mergeCell ref="L8:M8"/>
    <mergeCell ref="N8:O8"/>
    <mergeCell ref="P8:Q8"/>
    <mergeCell ref="B7:E7"/>
    <mergeCell ref="F7:G7"/>
    <mergeCell ref="H7:I7"/>
    <mergeCell ref="J7:K7"/>
    <mergeCell ref="L7:M7"/>
    <mergeCell ref="N7:O7"/>
    <mergeCell ref="Q40:Q41"/>
    <mergeCell ref="R40:S41"/>
    <mergeCell ref="R37:S38"/>
    <mergeCell ref="R39:S39"/>
    <mergeCell ref="R42:S42"/>
    <mergeCell ref="H56:H58"/>
    <mergeCell ref="B73:G75"/>
    <mergeCell ref="H73:H75"/>
    <mergeCell ref="F5:I5"/>
    <mergeCell ref="J5:M5"/>
    <mergeCell ref="N5:Q5"/>
    <mergeCell ref="F6:G6"/>
    <mergeCell ref="H6:I6"/>
    <mergeCell ref="J6:K6"/>
    <mergeCell ref="L6:M6"/>
    <mergeCell ref="N6:O6"/>
    <mergeCell ref="P6:Q6"/>
    <mergeCell ref="B13:E13"/>
    <mergeCell ref="F13:Q13"/>
    <mergeCell ref="B14:E14"/>
    <mergeCell ref="F14:Q14"/>
    <mergeCell ref="F15:I16"/>
    <mergeCell ref="J15:M16"/>
    <mergeCell ref="N15:Q16"/>
  </mergeCells>
  <conditionalFormatting sqref="Z44">
    <cfRule type="containsText" dxfId="859" priority="76" operator="containsText" text="Ja">
      <formula>NOT(ISERROR(SEARCH("Ja",Z44)))</formula>
    </cfRule>
  </conditionalFormatting>
  <conditionalFormatting sqref="T44:T55">
    <cfRule type="expression" dxfId="858" priority="75">
      <formula>$T$44="ja"</formula>
    </cfRule>
  </conditionalFormatting>
  <conditionalFormatting sqref="T60 T77">
    <cfRule type="cellIs" dxfId="857" priority="74" operator="equal">
      <formula>"ja"</formula>
    </cfRule>
  </conditionalFormatting>
  <conditionalFormatting sqref="T96 T89:T91">
    <cfRule type="cellIs" dxfId="856" priority="73" operator="equal">
      <formula>$V$28</formula>
    </cfRule>
  </conditionalFormatting>
  <conditionalFormatting sqref="T37">
    <cfRule type="expression" dxfId="855" priority="77">
      <formula>$T$37="JA"</formula>
    </cfRule>
  </conditionalFormatting>
  <conditionalFormatting sqref="B149:B156">
    <cfRule type="cellIs" dxfId="854" priority="71" operator="greaterThan">
      <formula>0</formula>
    </cfRule>
  </conditionalFormatting>
  <conditionalFormatting sqref="C150:J157">
    <cfRule type="expression" dxfId="853" priority="69">
      <formula>$B150&gt;=1</formula>
    </cfRule>
  </conditionalFormatting>
  <conditionalFormatting sqref="C149:J157">
    <cfRule type="cellIs" dxfId="852" priority="68" operator="greaterThan">
      <formula>0</formula>
    </cfRule>
    <cfRule type="expression" dxfId="851" priority="70">
      <formula>$B149&gt;=1</formula>
    </cfRule>
  </conditionalFormatting>
  <conditionalFormatting sqref="F21:Q21">
    <cfRule type="expression" dxfId="850" priority="64">
      <formula>$R$8&gt;0</formula>
    </cfRule>
  </conditionalFormatting>
  <conditionalFormatting sqref="R72">
    <cfRule type="expression" dxfId="849" priority="50">
      <formula>Q72="ja"</formula>
    </cfRule>
  </conditionalFormatting>
  <conditionalFormatting sqref="R37">
    <cfRule type="expression" dxfId="848" priority="28">
      <formula>Q37="ja"</formula>
    </cfRule>
  </conditionalFormatting>
  <conditionalFormatting sqref="R40">
    <cfRule type="expression" dxfId="847" priority="27">
      <formula>Q40="ja"</formula>
    </cfRule>
  </conditionalFormatting>
  <conditionalFormatting sqref="R44">
    <cfRule type="expression" dxfId="846" priority="26">
      <formula>Q44="ja"</formula>
    </cfRule>
  </conditionalFormatting>
  <conditionalFormatting sqref="R47">
    <cfRule type="expression" dxfId="845" priority="25">
      <formula>Q47="ja"</formula>
    </cfRule>
  </conditionalFormatting>
  <conditionalFormatting sqref="R50">
    <cfRule type="expression" dxfId="844" priority="24">
      <formula>Q50="ja"</formula>
    </cfRule>
  </conditionalFormatting>
  <conditionalFormatting sqref="R53">
    <cfRule type="expression" dxfId="843" priority="23">
      <formula>Q53="ja"</formula>
    </cfRule>
  </conditionalFormatting>
  <conditionalFormatting sqref="R60">
    <cfRule type="expression" dxfId="842" priority="22">
      <formula>Q60="ja"</formula>
    </cfRule>
  </conditionalFormatting>
  <conditionalFormatting sqref="R63">
    <cfRule type="expression" dxfId="841" priority="21">
      <formula>Q63="ja"</formula>
    </cfRule>
  </conditionalFormatting>
  <conditionalFormatting sqref="R66">
    <cfRule type="expression" dxfId="840" priority="20">
      <formula>Q66="ja"</formula>
    </cfRule>
  </conditionalFormatting>
  <conditionalFormatting sqref="R69">
    <cfRule type="expression" dxfId="839" priority="19">
      <formula>Q69="ja"</formula>
    </cfRule>
  </conditionalFormatting>
  <conditionalFormatting sqref="R77">
    <cfRule type="expression" dxfId="838" priority="18">
      <formula>Q77="ja"</formula>
    </cfRule>
  </conditionalFormatting>
  <conditionalFormatting sqref="R80">
    <cfRule type="expression" dxfId="837" priority="17">
      <formula>Q80="ja"</formula>
    </cfRule>
  </conditionalFormatting>
  <conditionalFormatting sqref="R83">
    <cfRule type="expression" dxfId="836" priority="16">
      <formula>Q83="ja"</formula>
    </cfRule>
  </conditionalFormatting>
  <conditionalFormatting sqref="R86">
    <cfRule type="expression" dxfId="835" priority="15">
      <formula>Q86="ja"</formula>
    </cfRule>
  </conditionalFormatting>
  <conditionalFormatting sqref="R89">
    <cfRule type="expression" dxfId="834" priority="14">
      <formula>Q89="ja"</formula>
    </cfRule>
  </conditionalFormatting>
  <conditionalFormatting sqref="R92:R93">
    <cfRule type="expression" dxfId="833" priority="13">
      <formula>Q92="ja"</formula>
    </cfRule>
  </conditionalFormatting>
  <conditionalFormatting sqref="R96">
    <cfRule type="expression" dxfId="832" priority="12">
      <formula>Q96="ja"</formula>
    </cfRule>
  </conditionalFormatting>
  <conditionalFormatting sqref="R99:R100">
    <cfRule type="expression" dxfId="831" priority="11">
      <formula>Q99="ja"</formula>
    </cfRule>
  </conditionalFormatting>
  <conditionalFormatting sqref="R103">
    <cfRule type="expression" dxfId="830" priority="10">
      <formula>Q103="ja"</formula>
    </cfRule>
  </conditionalFormatting>
  <conditionalFormatting sqref="R106:R107">
    <cfRule type="expression" dxfId="829" priority="9">
      <formula>Q106="ja"</formula>
    </cfRule>
  </conditionalFormatting>
  <conditionalFormatting sqref="T92:T94">
    <cfRule type="cellIs" dxfId="828" priority="8" operator="equal">
      <formula>$V$28</formula>
    </cfRule>
  </conditionalFormatting>
  <conditionalFormatting sqref="T103">
    <cfRule type="cellIs" dxfId="827" priority="7" operator="equal">
      <formula>$V$28</formula>
    </cfRule>
  </conditionalFormatting>
  <conditionalFormatting sqref="B157">
    <cfRule type="cellIs" dxfId="826" priority="4" operator="greaterThan">
      <formula>0</formula>
    </cfRule>
  </conditionalFormatting>
  <conditionalFormatting sqref="R42">
    <cfRule type="expression" dxfId="825" priority="3">
      <formula>Q42="ja"</formula>
    </cfRule>
  </conditionalFormatting>
  <conditionalFormatting sqref="R39">
    <cfRule type="expression" dxfId="824" priority="2">
      <formula>Q39="ja"</formula>
    </cfRule>
  </conditionalFormatting>
  <dataValidations count="2">
    <dataValidation type="list" allowBlank="1" showInputMessage="1" showErrorMessage="1" sqref="H52 Q42 H54 H37 Q39:Q40 H70 Q106:Q107 H85 H77 H81 H103:H108 H48:H50 Q37 H89:H94 H96:H101 Q47 Q44 Q96 Q72 Q66 Q69 Q86 Q92:Q93 Q50 H44:H45 Q53 H40 Q63 Q60 Q83 Q80 Q77 Q89 Q99:Q100 Q103 H60 H67 H63" xr:uid="{C5CC63C9-35B5-4A25-8A1F-0CB00B1F2809}">
      <formula1>$V$27:$V$29</formula1>
    </dataValidation>
    <dataValidation type="list" allowBlank="1" showInputMessage="1" showErrorMessage="1" sqref="F13:Q13" xr:uid="{88444021-DB61-4365-BC03-677280AB877C}">
      <formula1>$V$13:$V$17</formula1>
    </dataValidation>
  </dataValidations>
  <pageMargins left="0.23622047244094491" right="0.23622047244094491" top="0.74803149606299213" bottom="0.74803149606299213" header="0.31496062992125984" footer="0.31496062992125984"/>
  <pageSetup paperSize="9" scale="50" fitToHeight="0" orientation="portrait" r:id="rId1"/>
  <headerFooter>
    <oddFooter>&amp;LVersions-Nr.: 29.08.2016&amp;CDruckdatum: &amp;D&amp;RSeite &amp;P von &amp;N</oddFooter>
  </headerFooter>
  <rowBreaks count="1" manualBreakCount="1">
    <brk id="94"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5637E6F0-49DB-4834-BA01-A004DAA00526}">
          <x14:formula1>
            <xm:f>'Berechnung - Hochbau'!$B$109:$B$112</xm:f>
          </x14:formula1>
          <xm:sqref>R5:S6 W5:X6</xm:sqref>
        </x14:dataValidation>
        <x14:dataValidation type="list" allowBlank="1" showInputMessage="1" showErrorMessage="1" xr:uid="{58BFCD4E-AF87-4C1A-A696-7423683E6926}">
          <x14:formula1>
            <xm:f>'Berechnung - Hochbau'!$H$52:$H$56</xm:f>
          </x14:formula1>
          <xm:sqref>F14</xm:sqref>
        </x14:dataValidation>
        <x14:dataValidation type="list" allowBlank="1" showInputMessage="1" showErrorMessage="1" xr:uid="{6E9A29BB-8076-42B9-82CA-6B336A0A3C92}">
          <x14:formula1>
            <xm:f>'Berechnung - Hochbau'!$B$131:$B$140</xm:f>
          </x14:formula1>
          <xm:sqref>U37:U42 U44:U55 U60:U72 U77:U87 U89:U94 U96:U101 U103:U108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F1A79-72C6-4297-866B-6CFC4FD84B00}">
  <sheetPr>
    <tabColor rgb="FFFFC000"/>
  </sheetPr>
  <dimension ref="A2:V581"/>
  <sheetViews>
    <sheetView workbookViewId="0"/>
  </sheetViews>
  <sheetFormatPr baseColWidth="10" defaultColWidth="11.44140625" defaultRowHeight="13.9" x14ac:dyDescent="0.25"/>
  <cols>
    <col min="1" max="1" width="3.21875" style="641" customWidth="1"/>
    <col min="2" max="2" width="30.44140625" style="641" customWidth="1"/>
    <col min="3" max="3" width="10.5546875" style="641" bestFit="1" customWidth="1"/>
    <col min="4" max="5" width="15.77734375" style="641" customWidth="1"/>
    <col min="6" max="6" width="10.5546875" style="641" bestFit="1" customWidth="1"/>
    <col min="7" max="7" width="17" style="641" customWidth="1"/>
    <col min="8" max="8" width="17.21875" style="641" customWidth="1"/>
    <col min="9" max="9" width="11.44140625" style="641" customWidth="1"/>
    <col min="10" max="11" width="15.77734375" style="641" customWidth="1"/>
    <col min="12" max="12" width="10.5546875" style="641" bestFit="1" customWidth="1"/>
    <col min="13" max="14" width="15.77734375" style="641" customWidth="1"/>
    <col min="15" max="15" width="10.5546875" style="641" bestFit="1" customWidth="1"/>
    <col min="16" max="17" width="15.77734375" style="641" customWidth="1"/>
    <col min="18" max="19" width="11.44140625" style="641"/>
    <col min="20" max="20" width="49" style="641" bestFit="1" customWidth="1"/>
    <col min="21" max="21" width="27.44140625" style="641" bestFit="1" customWidth="1"/>
    <col min="22" max="22" width="98.77734375" style="641" customWidth="1"/>
    <col min="23" max="16384" width="11.44140625" style="641"/>
  </cols>
  <sheetData>
    <row r="2" spans="1:17" x14ac:dyDescent="0.25">
      <c r="B2" s="630" t="s">
        <v>537</v>
      </c>
    </row>
    <row r="3" spans="1:17" ht="14.55" thickBot="1" x14ac:dyDescent="0.3"/>
    <row r="4" spans="1:17" ht="14.55" x14ac:dyDescent="0.25">
      <c r="A4" s="651"/>
      <c r="B4" s="1443" t="s">
        <v>300</v>
      </c>
      <c r="C4" s="593"/>
      <c r="D4" s="1448" t="s">
        <v>301</v>
      </c>
      <c r="E4" s="1449"/>
      <c r="F4" s="593"/>
      <c r="G4" s="1448" t="s">
        <v>302</v>
      </c>
      <c r="H4" s="1449"/>
      <c r="I4" s="593"/>
      <c r="J4" s="1448" t="s">
        <v>303</v>
      </c>
      <c r="K4" s="1449"/>
      <c r="L4" s="593"/>
      <c r="M4" s="1448" t="s">
        <v>304</v>
      </c>
      <c r="N4" s="1449"/>
      <c r="O4" s="593"/>
      <c r="P4" s="1448" t="s">
        <v>305</v>
      </c>
      <c r="Q4" s="1449"/>
    </row>
    <row r="5" spans="1:17" ht="14.55" x14ac:dyDescent="0.25">
      <c r="A5" s="651"/>
      <c r="B5" s="1444"/>
      <c r="C5" s="593"/>
      <c r="D5" s="1450" t="s">
        <v>306</v>
      </c>
      <c r="E5" s="1451"/>
      <c r="F5" s="593"/>
      <c r="G5" s="1450" t="s">
        <v>307</v>
      </c>
      <c r="H5" s="1451"/>
      <c r="I5" s="593"/>
      <c r="J5" s="1450" t="s">
        <v>308</v>
      </c>
      <c r="K5" s="1451"/>
      <c r="L5" s="593"/>
      <c r="M5" s="1450" t="s">
        <v>309</v>
      </c>
      <c r="N5" s="1451"/>
      <c r="O5" s="593"/>
      <c r="P5" s="1450" t="s">
        <v>310</v>
      </c>
      <c r="Q5" s="1451"/>
    </row>
    <row r="6" spans="1:17" ht="14.55" x14ac:dyDescent="0.25">
      <c r="A6" s="651"/>
      <c r="B6" s="1444"/>
      <c r="C6" s="593"/>
      <c r="D6" s="831" t="s">
        <v>311</v>
      </c>
      <c r="E6" s="832" t="s">
        <v>312</v>
      </c>
      <c r="F6" s="593"/>
      <c r="G6" s="831" t="s">
        <v>311</v>
      </c>
      <c r="H6" s="832" t="s">
        <v>312</v>
      </c>
      <c r="I6" s="593"/>
      <c r="J6" s="831" t="s">
        <v>311</v>
      </c>
      <c r="K6" s="832" t="s">
        <v>312</v>
      </c>
      <c r="L6" s="593"/>
      <c r="M6" s="831" t="s">
        <v>311</v>
      </c>
      <c r="N6" s="832" t="s">
        <v>312</v>
      </c>
      <c r="O6" s="593"/>
      <c r="P6" s="831" t="s">
        <v>311</v>
      </c>
      <c r="Q6" s="832" t="s">
        <v>312</v>
      </c>
    </row>
    <row r="7" spans="1:17" ht="15.2" thickBot="1" x14ac:dyDescent="0.3">
      <c r="A7" s="651"/>
      <c r="B7" s="1445"/>
      <c r="C7" s="593"/>
      <c r="D7" s="1446" t="s">
        <v>3</v>
      </c>
      <c r="E7" s="1447"/>
      <c r="F7" s="593"/>
      <c r="G7" s="1446" t="s">
        <v>3</v>
      </c>
      <c r="H7" s="1447"/>
      <c r="I7" s="593"/>
      <c r="J7" s="1446" t="s">
        <v>3</v>
      </c>
      <c r="K7" s="1447"/>
      <c r="L7" s="593"/>
      <c r="M7" s="1446" t="s">
        <v>3</v>
      </c>
      <c r="N7" s="1447"/>
      <c r="O7" s="593"/>
      <c r="P7" s="1446" t="s">
        <v>3</v>
      </c>
      <c r="Q7" s="1447"/>
    </row>
    <row r="8" spans="1:17" ht="14.55" x14ac:dyDescent="0.25">
      <c r="A8" s="651"/>
      <c r="B8" s="567">
        <v>250000</v>
      </c>
      <c r="C8" s="564"/>
      <c r="D8" s="565">
        <v>1757</v>
      </c>
      <c r="E8" s="565">
        <v>2023</v>
      </c>
      <c r="F8" s="564"/>
      <c r="G8" s="565">
        <f>E8</f>
        <v>2023</v>
      </c>
      <c r="H8" s="565">
        <v>2395</v>
      </c>
      <c r="I8" s="564"/>
      <c r="J8" s="565">
        <f>H8</f>
        <v>2395</v>
      </c>
      <c r="K8" s="565">
        <v>2928</v>
      </c>
      <c r="L8" s="564"/>
      <c r="M8" s="565">
        <f>K8</f>
        <v>2928</v>
      </c>
      <c r="N8" s="565">
        <v>3300</v>
      </c>
      <c r="O8" s="564"/>
      <c r="P8" s="565">
        <f>N8</f>
        <v>3300</v>
      </c>
      <c r="Q8" s="565">
        <v>3566</v>
      </c>
    </row>
    <row r="9" spans="1:17" ht="14.55" x14ac:dyDescent="0.25">
      <c r="A9" s="651"/>
      <c r="B9" s="713">
        <v>275000</v>
      </c>
      <c r="C9" s="564"/>
      <c r="D9" s="569">
        <v>1789</v>
      </c>
      <c r="E9" s="569">
        <v>2061</v>
      </c>
      <c r="F9" s="564"/>
      <c r="G9" s="569">
        <f t="shared" ref="G9:G26" si="0">E9</f>
        <v>2061</v>
      </c>
      <c r="H9" s="569">
        <v>2440</v>
      </c>
      <c r="I9" s="564"/>
      <c r="J9" s="569">
        <f t="shared" ref="J9:J27" si="1">H9</f>
        <v>2440</v>
      </c>
      <c r="K9" s="569">
        <v>2982</v>
      </c>
      <c r="L9" s="564"/>
      <c r="M9" s="569">
        <f t="shared" ref="M9:M27" si="2">K9</f>
        <v>2982</v>
      </c>
      <c r="N9" s="569">
        <v>3362</v>
      </c>
      <c r="O9" s="564"/>
      <c r="P9" s="569">
        <f t="shared" ref="P9:P27" si="3">N9</f>
        <v>3362</v>
      </c>
      <c r="Q9" s="569">
        <v>3633</v>
      </c>
    </row>
    <row r="10" spans="1:17" ht="14.55" x14ac:dyDescent="0.25">
      <c r="A10" s="651"/>
      <c r="B10" s="713">
        <v>300000</v>
      </c>
      <c r="C10" s="564"/>
      <c r="D10" s="569">
        <v>1821</v>
      </c>
      <c r="E10" s="569">
        <v>2097</v>
      </c>
      <c r="F10" s="564"/>
      <c r="G10" s="569">
        <f t="shared" si="0"/>
        <v>2097</v>
      </c>
      <c r="H10" s="569">
        <v>2484</v>
      </c>
      <c r="I10" s="564"/>
      <c r="J10" s="569">
        <f t="shared" si="1"/>
        <v>2484</v>
      </c>
      <c r="K10" s="569">
        <v>3036</v>
      </c>
      <c r="L10" s="564"/>
      <c r="M10" s="569">
        <f t="shared" si="2"/>
        <v>3036</v>
      </c>
      <c r="N10" s="569">
        <v>3422</v>
      </c>
      <c r="O10" s="564"/>
      <c r="P10" s="569">
        <f t="shared" si="3"/>
        <v>3422</v>
      </c>
      <c r="Q10" s="569">
        <v>3698</v>
      </c>
    </row>
    <row r="11" spans="1:17" ht="14.55" x14ac:dyDescent="0.25">
      <c r="A11" s="651"/>
      <c r="B11" s="571">
        <v>350000</v>
      </c>
      <c r="C11" s="564"/>
      <c r="D11" s="569">
        <v>1883</v>
      </c>
      <c r="E11" s="569">
        <v>2168</v>
      </c>
      <c r="F11" s="564"/>
      <c r="G11" s="569">
        <f t="shared" si="0"/>
        <v>2168</v>
      </c>
      <c r="H11" s="569">
        <v>2567</v>
      </c>
      <c r="I11" s="564"/>
      <c r="J11" s="569">
        <f t="shared" si="1"/>
        <v>2567</v>
      </c>
      <c r="K11" s="569">
        <v>3138</v>
      </c>
      <c r="L11" s="564"/>
      <c r="M11" s="569">
        <f t="shared" si="2"/>
        <v>3138</v>
      </c>
      <c r="N11" s="569">
        <v>3537</v>
      </c>
      <c r="O11" s="564"/>
      <c r="P11" s="569">
        <f t="shared" si="3"/>
        <v>3537</v>
      </c>
      <c r="Q11" s="569">
        <v>3822</v>
      </c>
    </row>
    <row r="12" spans="1:17" ht="15.2" thickBot="1" x14ac:dyDescent="0.3">
      <c r="A12" s="651"/>
      <c r="B12" s="714">
        <v>400000</v>
      </c>
      <c r="C12" s="564"/>
      <c r="D12" s="574">
        <v>1941</v>
      </c>
      <c r="E12" s="574">
        <v>2235</v>
      </c>
      <c r="F12" s="564"/>
      <c r="G12" s="574">
        <f t="shared" si="0"/>
        <v>2235</v>
      </c>
      <c r="H12" s="574">
        <v>2647</v>
      </c>
      <c r="I12" s="564"/>
      <c r="J12" s="574">
        <f t="shared" si="1"/>
        <v>2647</v>
      </c>
      <c r="K12" s="574">
        <v>3235</v>
      </c>
      <c r="L12" s="564"/>
      <c r="M12" s="574">
        <f t="shared" si="2"/>
        <v>3235</v>
      </c>
      <c r="N12" s="574">
        <v>3646</v>
      </c>
      <c r="O12" s="564"/>
      <c r="P12" s="574">
        <f t="shared" si="3"/>
        <v>3646</v>
      </c>
      <c r="Q12" s="574">
        <v>3941</v>
      </c>
    </row>
    <row r="13" spans="1:17" ht="14.55" x14ac:dyDescent="0.25">
      <c r="A13" s="651"/>
      <c r="B13" s="567">
        <v>500000</v>
      </c>
      <c r="C13" s="564"/>
      <c r="D13" s="463">
        <v>2049</v>
      </c>
      <c r="E13" s="463">
        <v>2359</v>
      </c>
      <c r="F13" s="564"/>
      <c r="G13" s="463">
        <f t="shared" si="0"/>
        <v>2359</v>
      </c>
      <c r="H13" s="463">
        <v>2793</v>
      </c>
      <c r="I13" s="564"/>
      <c r="J13" s="463">
        <f t="shared" si="1"/>
        <v>2793</v>
      </c>
      <c r="K13" s="463">
        <v>3414</v>
      </c>
      <c r="L13" s="564"/>
      <c r="M13" s="463">
        <f t="shared" si="2"/>
        <v>3414</v>
      </c>
      <c r="N13" s="463">
        <v>3849</v>
      </c>
      <c r="O13" s="564"/>
      <c r="P13" s="463">
        <f t="shared" si="3"/>
        <v>3849</v>
      </c>
      <c r="Q13" s="463">
        <v>4159</v>
      </c>
    </row>
    <row r="14" spans="1:17" ht="14.55" x14ac:dyDescent="0.25">
      <c r="A14" s="651"/>
      <c r="B14" s="571">
        <v>600000</v>
      </c>
      <c r="C14" s="564"/>
      <c r="D14" s="569">
        <v>2146</v>
      </c>
      <c r="E14" s="569">
        <v>2471</v>
      </c>
      <c r="F14" s="564"/>
      <c r="G14" s="569">
        <f t="shared" si="0"/>
        <v>2471</v>
      </c>
      <c r="H14" s="569">
        <v>2926</v>
      </c>
      <c r="I14" s="564"/>
      <c r="J14" s="569">
        <f t="shared" si="1"/>
        <v>2926</v>
      </c>
      <c r="K14" s="569">
        <v>3576</v>
      </c>
      <c r="L14" s="564"/>
      <c r="M14" s="569">
        <f t="shared" si="2"/>
        <v>3576</v>
      </c>
      <c r="N14" s="569">
        <v>4031</v>
      </c>
      <c r="O14" s="564"/>
      <c r="P14" s="569">
        <f t="shared" si="3"/>
        <v>4031</v>
      </c>
      <c r="Q14" s="569">
        <v>4356</v>
      </c>
    </row>
    <row r="15" spans="1:17" ht="14.55" x14ac:dyDescent="0.25">
      <c r="A15" s="651"/>
      <c r="B15" s="571">
        <v>750000</v>
      </c>
      <c r="C15" s="564"/>
      <c r="D15" s="569">
        <v>2273</v>
      </c>
      <c r="E15" s="569">
        <v>2617</v>
      </c>
      <c r="F15" s="564"/>
      <c r="G15" s="569">
        <f t="shared" si="0"/>
        <v>2617</v>
      </c>
      <c r="H15" s="569">
        <v>3099</v>
      </c>
      <c r="I15" s="564"/>
      <c r="J15" s="569">
        <f t="shared" si="1"/>
        <v>3099</v>
      </c>
      <c r="K15" s="569">
        <v>3788</v>
      </c>
      <c r="L15" s="564"/>
      <c r="M15" s="569">
        <f t="shared" si="2"/>
        <v>3788</v>
      </c>
      <c r="N15" s="569">
        <v>4270</v>
      </c>
      <c r="O15" s="564"/>
      <c r="P15" s="569">
        <f t="shared" si="3"/>
        <v>4270</v>
      </c>
      <c r="Q15" s="569">
        <v>4614</v>
      </c>
    </row>
    <row r="16" spans="1:17" ht="14.55" x14ac:dyDescent="0.25">
      <c r="A16" s="651"/>
      <c r="B16" s="571">
        <v>1000000</v>
      </c>
      <c r="C16" s="564"/>
      <c r="D16" s="569">
        <v>2440</v>
      </c>
      <c r="E16" s="569">
        <v>2809</v>
      </c>
      <c r="F16" s="564"/>
      <c r="G16" s="569">
        <f t="shared" si="0"/>
        <v>2809</v>
      </c>
      <c r="H16" s="569">
        <v>3327</v>
      </c>
      <c r="I16" s="564"/>
      <c r="J16" s="569">
        <f t="shared" si="1"/>
        <v>3327</v>
      </c>
      <c r="K16" s="569">
        <v>4066</v>
      </c>
      <c r="L16" s="564"/>
      <c r="M16" s="569">
        <f t="shared" si="2"/>
        <v>4066</v>
      </c>
      <c r="N16" s="569">
        <v>4583</v>
      </c>
      <c r="O16" s="564"/>
      <c r="P16" s="569">
        <f t="shared" si="3"/>
        <v>4583</v>
      </c>
      <c r="Q16" s="569">
        <v>4953</v>
      </c>
    </row>
    <row r="17" spans="1:17" ht="15.2" thickBot="1" x14ac:dyDescent="0.3">
      <c r="A17" s="651"/>
      <c r="B17" s="714">
        <v>1250000</v>
      </c>
      <c r="C17" s="564"/>
      <c r="D17" s="574">
        <v>2748</v>
      </c>
      <c r="E17" s="574">
        <v>3164</v>
      </c>
      <c r="F17" s="564"/>
      <c r="G17" s="574">
        <f t="shared" si="0"/>
        <v>3164</v>
      </c>
      <c r="H17" s="574">
        <v>3747</v>
      </c>
      <c r="I17" s="564"/>
      <c r="J17" s="574">
        <f t="shared" si="1"/>
        <v>3747</v>
      </c>
      <c r="K17" s="574">
        <v>4579</v>
      </c>
      <c r="L17" s="564"/>
      <c r="M17" s="574">
        <f t="shared" si="2"/>
        <v>4579</v>
      </c>
      <c r="N17" s="574">
        <v>5162</v>
      </c>
      <c r="O17" s="564"/>
      <c r="P17" s="574">
        <f t="shared" si="3"/>
        <v>5162</v>
      </c>
      <c r="Q17" s="574">
        <v>5579</v>
      </c>
    </row>
    <row r="18" spans="1:17" ht="14.55" x14ac:dyDescent="0.25">
      <c r="A18" s="651"/>
      <c r="B18" s="567">
        <v>1500000</v>
      </c>
      <c r="C18" s="564"/>
      <c r="D18" s="463">
        <v>3050</v>
      </c>
      <c r="E18" s="463">
        <v>3512</v>
      </c>
      <c r="F18" s="564"/>
      <c r="G18" s="463">
        <f t="shared" si="0"/>
        <v>3512</v>
      </c>
      <c r="H18" s="463">
        <v>4159</v>
      </c>
      <c r="I18" s="564"/>
      <c r="J18" s="463">
        <f t="shared" si="1"/>
        <v>4159</v>
      </c>
      <c r="K18" s="463">
        <v>5083</v>
      </c>
      <c r="L18" s="564"/>
      <c r="M18" s="463">
        <f t="shared" si="2"/>
        <v>5083</v>
      </c>
      <c r="N18" s="463">
        <v>5730</v>
      </c>
      <c r="O18" s="564"/>
      <c r="P18" s="463">
        <f t="shared" si="3"/>
        <v>5730</v>
      </c>
      <c r="Q18" s="463">
        <v>6192</v>
      </c>
    </row>
    <row r="19" spans="1:17" ht="14.55" x14ac:dyDescent="0.25">
      <c r="A19" s="651"/>
      <c r="B19" s="571">
        <v>2000000</v>
      </c>
      <c r="C19" s="564"/>
      <c r="D19" s="569">
        <v>3639</v>
      </c>
      <c r="E19" s="569">
        <v>4190</v>
      </c>
      <c r="F19" s="564"/>
      <c r="G19" s="569">
        <f t="shared" si="0"/>
        <v>4190</v>
      </c>
      <c r="H19" s="569">
        <v>4962</v>
      </c>
      <c r="I19" s="564"/>
      <c r="J19" s="569">
        <f t="shared" si="1"/>
        <v>4962</v>
      </c>
      <c r="K19" s="569">
        <v>6065</v>
      </c>
      <c r="L19" s="564"/>
      <c r="M19" s="569">
        <f t="shared" si="2"/>
        <v>6065</v>
      </c>
      <c r="N19" s="569">
        <v>6837</v>
      </c>
      <c r="O19" s="564"/>
      <c r="P19" s="569">
        <f t="shared" si="3"/>
        <v>6837</v>
      </c>
      <c r="Q19" s="569">
        <v>7388</v>
      </c>
    </row>
    <row r="20" spans="1:17" ht="14.55" x14ac:dyDescent="0.25">
      <c r="A20" s="651"/>
      <c r="B20" s="571">
        <v>2500000</v>
      </c>
      <c r="C20" s="564"/>
      <c r="D20" s="569">
        <v>4213</v>
      </c>
      <c r="E20" s="569">
        <v>4851</v>
      </c>
      <c r="F20" s="564"/>
      <c r="G20" s="569">
        <f t="shared" si="0"/>
        <v>4851</v>
      </c>
      <c r="H20" s="569">
        <v>5745</v>
      </c>
      <c r="I20" s="564"/>
      <c r="J20" s="569">
        <f t="shared" si="1"/>
        <v>5745</v>
      </c>
      <c r="K20" s="569">
        <v>7022</v>
      </c>
      <c r="L20" s="564"/>
      <c r="M20" s="569">
        <f t="shared" si="2"/>
        <v>7022</v>
      </c>
      <c r="N20" s="569">
        <v>7916</v>
      </c>
      <c r="O20" s="564"/>
      <c r="P20" s="569">
        <f t="shared" si="3"/>
        <v>7916</v>
      </c>
      <c r="Q20" s="569">
        <v>8554</v>
      </c>
    </row>
    <row r="21" spans="1:17" ht="14.55" x14ac:dyDescent="0.25">
      <c r="A21" s="651"/>
      <c r="B21" s="571">
        <v>3500000</v>
      </c>
      <c r="C21" s="564"/>
      <c r="D21" s="569">
        <v>5329</v>
      </c>
      <c r="E21" s="569">
        <v>6136</v>
      </c>
      <c r="F21" s="564"/>
      <c r="G21" s="569">
        <f t="shared" si="0"/>
        <v>6136</v>
      </c>
      <c r="H21" s="569">
        <v>7266</v>
      </c>
      <c r="I21" s="564"/>
      <c r="J21" s="569">
        <f t="shared" si="1"/>
        <v>7266</v>
      </c>
      <c r="K21" s="569">
        <v>8881</v>
      </c>
      <c r="L21" s="564"/>
      <c r="M21" s="569">
        <f t="shared" si="2"/>
        <v>8881</v>
      </c>
      <c r="N21" s="569">
        <v>10012</v>
      </c>
      <c r="O21" s="564"/>
      <c r="P21" s="569">
        <f t="shared" si="3"/>
        <v>10012</v>
      </c>
      <c r="Q21" s="569">
        <v>10819</v>
      </c>
    </row>
    <row r="22" spans="1:17" ht="15.2" thickBot="1" x14ac:dyDescent="0.3">
      <c r="A22" s="651"/>
      <c r="B22" s="714">
        <v>5000000</v>
      </c>
      <c r="C22" s="564"/>
      <c r="D22" s="574">
        <v>6944</v>
      </c>
      <c r="E22" s="574">
        <v>7996</v>
      </c>
      <c r="F22" s="564"/>
      <c r="G22" s="574">
        <f t="shared" si="0"/>
        <v>7996</v>
      </c>
      <c r="H22" s="574">
        <v>9469</v>
      </c>
      <c r="I22" s="564"/>
      <c r="J22" s="574">
        <f t="shared" si="1"/>
        <v>9469</v>
      </c>
      <c r="K22" s="574">
        <v>11573</v>
      </c>
      <c r="L22" s="564"/>
      <c r="M22" s="574">
        <f t="shared" si="2"/>
        <v>11573</v>
      </c>
      <c r="N22" s="574">
        <v>13046</v>
      </c>
      <c r="O22" s="564"/>
      <c r="P22" s="574">
        <f t="shared" si="3"/>
        <v>13046</v>
      </c>
      <c r="Q22" s="574">
        <v>14098</v>
      </c>
    </row>
    <row r="23" spans="1:17" ht="14.55" x14ac:dyDescent="0.25">
      <c r="A23" s="651"/>
      <c r="B23" s="567">
        <v>7500000</v>
      </c>
      <c r="C23" s="564"/>
      <c r="D23" s="463">
        <v>9532</v>
      </c>
      <c r="E23" s="463">
        <v>10977</v>
      </c>
      <c r="F23" s="564"/>
      <c r="G23" s="463">
        <f t="shared" si="0"/>
        <v>10977</v>
      </c>
      <c r="H23" s="463">
        <v>12999</v>
      </c>
      <c r="I23" s="564"/>
      <c r="J23" s="463">
        <f t="shared" si="1"/>
        <v>12999</v>
      </c>
      <c r="K23" s="463">
        <v>15887</v>
      </c>
      <c r="L23" s="564"/>
      <c r="M23" s="463">
        <f t="shared" si="2"/>
        <v>15887</v>
      </c>
      <c r="N23" s="463">
        <v>17909</v>
      </c>
      <c r="O23" s="564"/>
      <c r="P23" s="463">
        <f t="shared" si="3"/>
        <v>17909</v>
      </c>
      <c r="Q23" s="463">
        <v>19354</v>
      </c>
    </row>
    <row r="24" spans="1:17" ht="14.55" x14ac:dyDescent="0.25">
      <c r="A24" s="651"/>
      <c r="B24" s="571">
        <v>10000000</v>
      </c>
      <c r="C24" s="564"/>
      <c r="D24" s="569">
        <v>12033</v>
      </c>
      <c r="E24" s="569">
        <v>13856</v>
      </c>
      <c r="F24" s="564"/>
      <c r="G24" s="569">
        <f t="shared" si="0"/>
        <v>13856</v>
      </c>
      <c r="H24" s="569">
        <v>16408</v>
      </c>
      <c r="I24" s="564"/>
      <c r="J24" s="569">
        <f t="shared" si="1"/>
        <v>16408</v>
      </c>
      <c r="K24" s="569">
        <v>20055</v>
      </c>
      <c r="L24" s="564"/>
      <c r="M24" s="569">
        <f t="shared" si="2"/>
        <v>20055</v>
      </c>
      <c r="N24" s="569">
        <v>22607</v>
      </c>
      <c r="O24" s="564"/>
      <c r="P24" s="569">
        <f t="shared" si="3"/>
        <v>22607</v>
      </c>
      <c r="Q24" s="569">
        <v>24430</v>
      </c>
    </row>
    <row r="25" spans="1:17" ht="14.55" x14ac:dyDescent="0.25">
      <c r="A25" s="651"/>
      <c r="B25" s="571">
        <v>15000000</v>
      </c>
      <c r="C25" s="564"/>
      <c r="D25" s="569">
        <v>16856</v>
      </c>
      <c r="E25" s="569">
        <v>19410</v>
      </c>
      <c r="F25" s="564"/>
      <c r="G25" s="569">
        <f t="shared" si="0"/>
        <v>19410</v>
      </c>
      <c r="H25" s="569">
        <v>22986</v>
      </c>
      <c r="I25" s="564"/>
      <c r="J25" s="569">
        <f t="shared" si="1"/>
        <v>22986</v>
      </c>
      <c r="K25" s="569">
        <v>28094</v>
      </c>
      <c r="L25" s="564"/>
      <c r="M25" s="569">
        <f t="shared" si="2"/>
        <v>28094</v>
      </c>
      <c r="N25" s="569">
        <v>31670</v>
      </c>
      <c r="O25" s="564"/>
      <c r="P25" s="569">
        <f t="shared" si="3"/>
        <v>31670</v>
      </c>
      <c r="Q25" s="569">
        <v>34224</v>
      </c>
    </row>
    <row r="26" spans="1:17" ht="14.55" x14ac:dyDescent="0.25">
      <c r="A26" s="651"/>
      <c r="B26" s="571">
        <v>20000000</v>
      </c>
      <c r="C26" s="564"/>
      <c r="D26" s="569">
        <v>21516</v>
      </c>
      <c r="E26" s="569">
        <v>24776</v>
      </c>
      <c r="F26" s="564"/>
      <c r="G26" s="569">
        <f t="shared" si="0"/>
        <v>24776</v>
      </c>
      <c r="H26" s="569">
        <v>29339</v>
      </c>
      <c r="I26" s="564"/>
      <c r="J26" s="569">
        <f t="shared" si="1"/>
        <v>29339</v>
      </c>
      <c r="K26" s="569">
        <v>35859</v>
      </c>
      <c r="L26" s="564"/>
      <c r="M26" s="569">
        <f t="shared" si="2"/>
        <v>35859</v>
      </c>
      <c r="N26" s="569">
        <v>40423</v>
      </c>
      <c r="O26" s="564"/>
      <c r="P26" s="569">
        <f t="shared" si="3"/>
        <v>40423</v>
      </c>
      <c r="Q26" s="569">
        <v>43683</v>
      </c>
    </row>
    <row r="27" spans="1:17" ht="15.2" thickBot="1" x14ac:dyDescent="0.3">
      <c r="A27" s="651"/>
      <c r="B27" s="578">
        <v>25000000</v>
      </c>
      <c r="C27" s="564"/>
      <c r="D27" s="582">
        <v>26056</v>
      </c>
      <c r="E27" s="582">
        <v>30004</v>
      </c>
      <c r="F27" s="564"/>
      <c r="G27" s="582">
        <f>E27</f>
        <v>30004</v>
      </c>
      <c r="H27" s="582">
        <v>35531</v>
      </c>
      <c r="I27" s="564"/>
      <c r="J27" s="582">
        <f t="shared" si="1"/>
        <v>35531</v>
      </c>
      <c r="K27" s="582">
        <v>43427</v>
      </c>
      <c r="L27" s="564"/>
      <c r="M27" s="582">
        <f t="shared" si="2"/>
        <v>43427</v>
      </c>
      <c r="N27" s="582">
        <v>48954</v>
      </c>
      <c r="O27" s="564"/>
      <c r="P27" s="582">
        <f t="shared" si="3"/>
        <v>48954</v>
      </c>
      <c r="Q27" s="582">
        <v>52902</v>
      </c>
    </row>
    <row r="28" spans="1:17" ht="14.55" x14ac:dyDescent="0.25">
      <c r="A28" s="603"/>
      <c r="B28" s="603"/>
      <c r="C28" s="603"/>
      <c r="D28" s="603"/>
      <c r="E28" s="603"/>
      <c r="F28" s="603"/>
      <c r="G28" s="603"/>
      <c r="H28" s="603"/>
      <c r="I28" s="603"/>
      <c r="J28" s="603"/>
      <c r="K28" s="603"/>
      <c r="L28" s="603"/>
      <c r="M28" s="603"/>
      <c r="N28" s="603"/>
      <c r="O28" s="603"/>
      <c r="P28" s="603"/>
      <c r="Q28" s="603"/>
    </row>
    <row r="29" spans="1:17" ht="14.55" x14ac:dyDescent="0.25">
      <c r="A29" s="603"/>
      <c r="B29" s="633" t="s">
        <v>538</v>
      </c>
      <c r="C29" s="603"/>
      <c r="D29" s="603"/>
      <c r="E29" s="631"/>
      <c r="F29" s="603"/>
      <c r="G29" s="603"/>
      <c r="H29" s="631"/>
      <c r="I29" s="603"/>
      <c r="J29" s="603"/>
      <c r="K29" s="603"/>
      <c r="L29" s="603"/>
      <c r="M29" s="603"/>
      <c r="N29" s="603"/>
      <c r="O29" s="603"/>
      <c r="P29" s="603"/>
      <c r="Q29" s="603"/>
    </row>
    <row r="30" spans="1:17" ht="14.55" x14ac:dyDescent="0.25">
      <c r="A30" s="603"/>
      <c r="B30" s="603"/>
      <c r="C30" s="603"/>
      <c r="D30" s="603"/>
      <c r="E30" s="631"/>
      <c r="F30" s="603"/>
      <c r="G30" s="603"/>
      <c r="H30" s="631"/>
      <c r="I30" s="603"/>
      <c r="J30" s="603"/>
      <c r="K30" s="603"/>
      <c r="L30" s="603"/>
      <c r="M30" s="603"/>
      <c r="N30" s="603"/>
      <c r="O30" s="603"/>
      <c r="P30" s="603"/>
      <c r="Q30" s="603"/>
    </row>
    <row r="31" spans="1:17" ht="14.55" x14ac:dyDescent="0.25">
      <c r="A31" s="603"/>
      <c r="B31" s="603"/>
      <c r="C31" s="603"/>
      <c r="D31" s="1452"/>
      <c r="E31" s="1452"/>
      <c r="F31" s="1452"/>
      <c r="G31" s="1452"/>
      <c r="H31" s="1452"/>
      <c r="I31" s="717"/>
      <c r="J31" s="635"/>
      <c r="K31" s="635"/>
      <c r="L31" s="635"/>
      <c r="M31" s="635"/>
      <c r="N31" s="635"/>
      <c r="O31" s="603"/>
      <c r="P31" s="603"/>
      <c r="Q31" s="603"/>
    </row>
    <row r="32" spans="1:17" ht="14.55" x14ac:dyDescent="0.25">
      <c r="A32" s="603"/>
      <c r="B32" s="603"/>
      <c r="C32" s="603"/>
      <c r="D32" s="603"/>
      <c r="E32" s="631"/>
      <c r="F32" s="603"/>
      <c r="G32" s="603"/>
      <c r="H32" s="631"/>
      <c r="I32" s="603"/>
      <c r="J32" s="603"/>
      <c r="K32" s="603"/>
      <c r="L32" s="603"/>
      <c r="M32" s="603"/>
      <c r="N32" s="603"/>
      <c r="O32" s="603"/>
      <c r="P32" s="603"/>
      <c r="Q32" s="603"/>
    </row>
    <row r="33" spans="1:17" ht="14.55" x14ac:dyDescent="0.25">
      <c r="A33" s="603"/>
      <c r="B33" s="603"/>
      <c r="C33" s="555"/>
      <c r="D33" s="1417" t="s">
        <v>316</v>
      </c>
      <c r="E33" s="597">
        <v>1</v>
      </c>
      <c r="F33" s="555"/>
      <c r="G33" s="1417" t="s">
        <v>317</v>
      </c>
      <c r="H33" s="597" t="s">
        <v>135</v>
      </c>
      <c r="I33" s="555"/>
      <c r="J33" s="603"/>
      <c r="K33" s="638"/>
      <c r="L33" s="555"/>
      <c r="M33" s="603"/>
      <c r="N33" s="638"/>
      <c r="O33" s="586"/>
      <c r="P33" s="651"/>
      <c r="Q33" s="651"/>
    </row>
    <row r="34" spans="1:17" ht="14.55" x14ac:dyDescent="0.25">
      <c r="A34" s="603"/>
      <c r="B34" s="603"/>
      <c r="C34" s="555"/>
      <c r="D34" s="1417"/>
      <c r="E34" s="597">
        <v>2</v>
      </c>
      <c r="F34" s="555"/>
      <c r="G34" s="1417"/>
      <c r="H34" s="597" t="s">
        <v>318</v>
      </c>
      <c r="I34" s="555"/>
      <c r="J34" s="603"/>
      <c r="K34" s="638"/>
      <c r="L34" s="555"/>
      <c r="M34" s="603"/>
      <c r="N34" s="638"/>
      <c r="O34" s="586"/>
      <c r="P34" s="651"/>
      <c r="Q34" s="651"/>
    </row>
    <row r="35" spans="1:17" ht="14.55" x14ac:dyDescent="0.25">
      <c r="A35" s="603"/>
      <c r="B35" s="603"/>
      <c r="C35" s="603"/>
      <c r="D35" s="1417"/>
      <c r="E35" s="597">
        <v>3</v>
      </c>
      <c r="F35" s="603"/>
      <c r="G35" s="1417"/>
      <c r="H35" s="597" t="s">
        <v>319</v>
      </c>
      <c r="I35" s="603"/>
      <c r="J35" s="603"/>
      <c r="K35" s="638"/>
      <c r="L35" s="603"/>
      <c r="M35" s="603"/>
      <c r="N35" s="638"/>
      <c r="O35" s="603"/>
      <c r="P35" s="603"/>
      <c r="Q35" s="603"/>
    </row>
    <row r="36" spans="1:17" ht="14.55" x14ac:dyDescent="0.25">
      <c r="A36" s="603"/>
      <c r="B36" s="603"/>
      <c r="C36" s="603"/>
      <c r="D36" s="1417"/>
      <c r="E36" s="597">
        <v>4</v>
      </c>
      <c r="F36" s="603"/>
      <c r="G36" s="1417"/>
      <c r="H36" s="597" t="s">
        <v>320</v>
      </c>
      <c r="I36" s="603"/>
      <c r="J36" s="603"/>
      <c r="K36" s="638"/>
      <c r="L36" s="603"/>
      <c r="M36" s="603"/>
      <c r="N36" s="638"/>
      <c r="O36" s="603"/>
      <c r="P36" s="603"/>
      <c r="Q36" s="603"/>
    </row>
    <row r="37" spans="1:17" ht="14.55" x14ac:dyDescent="0.25">
      <c r="A37" s="603"/>
      <c r="B37" s="603"/>
      <c r="C37" s="603"/>
      <c r="D37" s="1417"/>
      <c r="E37" s="597">
        <v>5</v>
      </c>
      <c r="F37" s="603"/>
      <c r="G37" s="1417"/>
      <c r="H37" s="597" t="s">
        <v>321</v>
      </c>
      <c r="I37" s="603"/>
      <c r="J37" s="603"/>
      <c r="K37" s="638"/>
      <c r="L37" s="603"/>
      <c r="M37" s="603"/>
      <c r="N37" s="638"/>
      <c r="O37" s="603"/>
      <c r="P37" s="603"/>
      <c r="Q37" s="603"/>
    </row>
    <row r="38" spans="1:17" ht="15.2" thickBot="1" x14ac:dyDescent="0.35">
      <c r="B38" s="594"/>
      <c r="C38" s="594"/>
      <c r="D38" s="594"/>
      <c r="E38" s="594"/>
      <c r="F38" s="594"/>
      <c r="G38" s="1418" t="s">
        <v>322</v>
      </c>
      <c r="H38" s="1418"/>
      <c r="I38" s="1414" t="s">
        <v>323</v>
      </c>
      <c r="J38" s="1414"/>
      <c r="K38" s="1414" t="s">
        <v>324</v>
      </c>
      <c r="L38" s="1414"/>
      <c r="M38" s="594"/>
    </row>
    <row r="39" spans="1:17" ht="15.2" thickBot="1" x14ac:dyDescent="0.3">
      <c r="B39" s="1405" t="s">
        <v>325</v>
      </c>
      <c r="C39" s="1406"/>
      <c r="D39" s="1406"/>
      <c r="E39" s="1407"/>
      <c r="F39" s="603"/>
      <c r="G39" s="1400">
        <f>'Bauphysik - Wärmeschutz'!H8</f>
        <v>0</v>
      </c>
      <c r="H39" s="1401"/>
      <c r="I39" s="1400">
        <f>'Bauphysik - Wärmeschutz'!L8</f>
        <v>0</v>
      </c>
      <c r="J39" s="1401"/>
      <c r="K39" s="1400">
        <f>'Bauphysik - Wärmeschutz'!P8</f>
        <v>0</v>
      </c>
      <c r="L39" s="1401"/>
      <c r="M39" s="718"/>
      <c r="N39" s="718"/>
    </row>
    <row r="40" spans="1:17" ht="14.55" x14ac:dyDescent="0.3">
      <c r="B40" s="603"/>
      <c r="C40" s="603"/>
      <c r="D40" s="603"/>
      <c r="E40" s="603"/>
      <c r="F40" s="603"/>
      <c r="G40" s="603"/>
      <c r="H40" s="603"/>
      <c r="I40" s="594"/>
      <c r="J40" s="594"/>
      <c r="K40" s="594"/>
      <c r="L40" s="594"/>
      <c r="M40" s="603"/>
      <c r="N40" s="603"/>
    </row>
    <row r="41" spans="1:17" ht="14.55" x14ac:dyDescent="0.3">
      <c r="B41" s="633"/>
      <c r="C41" s="603"/>
      <c r="D41" s="603"/>
      <c r="E41" s="603"/>
      <c r="F41" s="603"/>
      <c r="G41" s="603"/>
      <c r="H41" s="603"/>
      <c r="I41" s="594"/>
      <c r="J41" s="594"/>
      <c r="K41" s="594"/>
      <c r="L41" s="594"/>
      <c r="M41" s="603"/>
      <c r="N41" s="603"/>
    </row>
    <row r="42" spans="1:17" ht="14.55" x14ac:dyDescent="0.3">
      <c r="B42" s="603"/>
      <c r="C42" s="603"/>
      <c r="D42" s="603"/>
      <c r="E42" s="603"/>
      <c r="F42" s="603"/>
      <c r="G42" s="603"/>
      <c r="H42" s="603"/>
      <c r="I42" s="594"/>
      <c r="J42" s="594"/>
      <c r="K42" s="594"/>
      <c r="L42" s="594"/>
      <c r="M42" s="603"/>
      <c r="N42" s="603"/>
    </row>
    <row r="43" spans="1:17" ht="14.55" x14ac:dyDescent="0.3">
      <c r="B43" s="1422" t="s">
        <v>316</v>
      </c>
      <c r="C43" s="1423"/>
      <c r="D43" s="1423"/>
      <c r="E43" s="1424"/>
      <c r="F43" s="644"/>
      <c r="G43" s="1462">
        <f>'Bauphysik - Wärmeschutz'!F13</f>
        <v>1</v>
      </c>
      <c r="H43" s="1463"/>
      <c r="I43" s="594"/>
      <c r="J43" s="594"/>
      <c r="K43" s="719"/>
      <c r="L43" s="594"/>
      <c r="M43" s="645"/>
      <c r="N43" s="645"/>
    </row>
    <row r="44" spans="1:17" ht="14.55" x14ac:dyDescent="0.3">
      <c r="B44" s="1422" t="s">
        <v>317</v>
      </c>
      <c r="C44" s="1423"/>
      <c r="D44" s="1423"/>
      <c r="E44" s="1424"/>
      <c r="F44" s="644"/>
      <c r="G44" s="1462" t="str">
        <f>'Bauphysik - Wärmeschutz'!F14</f>
        <v>Basishonorarsatz</v>
      </c>
      <c r="H44" s="1463"/>
      <c r="I44" s="594"/>
      <c r="J44" s="594"/>
      <c r="K44" s="594"/>
      <c r="L44" s="594"/>
      <c r="M44" s="645"/>
      <c r="N44" s="645"/>
    </row>
    <row r="45" spans="1:17" ht="14.55" x14ac:dyDescent="0.3">
      <c r="B45" s="603"/>
      <c r="C45" s="603"/>
      <c r="D45" s="603"/>
      <c r="E45" s="603"/>
      <c r="F45" s="603"/>
      <c r="G45" s="603"/>
      <c r="H45" s="603"/>
      <c r="I45" s="594"/>
      <c r="J45" s="594"/>
      <c r="K45" s="594"/>
      <c r="L45" s="594"/>
      <c r="M45" s="594"/>
    </row>
    <row r="46" spans="1:17" ht="14.55" x14ac:dyDescent="0.3">
      <c r="B46" s="603"/>
      <c r="C46" s="603"/>
      <c r="D46" s="603"/>
      <c r="E46" s="603"/>
      <c r="F46" s="603"/>
      <c r="G46" s="603"/>
      <c r="H46" s="603"/>
      <c r="I46" s="594"/>
      <c r="J46" s="594"/>
      <c r="K46" s="594"/>
      <c r="L46" s="594"/>
      <c r="M46" s="594"/>
    </row>
    <row r="47" spans="1:17" ht="14.55" x14ac:dyDescent="0.3">
      <c r="B47" s="633" t="s">
        <v>326</v>
      </c>
      <c r="C47" s="603"/>
      <c r="D47" s="603"/>
      <c r="E47" s="603"/>
      <c r="F47" s="603"/>
      <c r="G47" s="603"/>
      <c r="H47" s="603"/>
      <c r="I47" s="594"/>
      <c r="J47" s="594"/>
      <c r="K47" s="594"/>
      <c r="L47" s="594"/>
      <c r="M47" s="594"/>
    </row>
    <row r="48" spans="1:17" ht="14.55" x14ac:dyDescent="0.3">
      <c r="B48" s="603"/>
      <c r="C48" s="603"/>
      <c r="D48" s="603"/>
      <c r="E48" s="603"/>
      <c r="F48" s="603"/>
      <c r="G48" s="1418" t="s">
        <v>322</v>
      </c>
      <c r="H48" s="1418"/>
      <c r="I48" s="1414" t="s">
        <v>323</v>
      </c>
      <c r="J48" s="1414"/>
      <c r="K48" s="1466" t="s">
        <v>324</v>
      </c>
      <c r="L48" s="1466"/>
      <c r="M48" s="1466"/>
    </row>
    <row r="49" spans="2:14" ht="14.55" x14ac:dyDescent="0.25">
      <c r="C49" s="709"/>
      <c r="D49" s="1397" t="s">
        <v>327</v>
      </c>
      <c r="E49" s="1425" t="s">
        <v>316</v>
      </c>
      <c r="F49" s="646"/>
      <c r="G49" s="720" t="s">
        <v>328</v>
      </c>
      <c r="H49" s="721">
        <f>IF($G$39&lt;$B$8,0,IF($G$39&gt;$B$27,0,VLOOKUP($G$39,$B$8:$B$27,1)))</f>
        <v>0</v>
      </c>
      <c r="I49" s="720" t="s">
        <v>328</v>
      </c>
      <c r="J49" s="721">
        <f>IF($I$39&lt;$B$8,0,IF($I$39&gt;$B$27,0,VLOOKUP($I$39,$B$8:$B$27,1)))</f>
        <v>0</v>
      </c>
      <c r="K49" s="720" t="s">
        <v>328</v>
      </c>
      <c r="L49" s="1458">
        <f>IF($K$39&lt;$B$8,0,IF($K$39&gt;$B$27,0,VLOOKUP(K39,B8:B27,1)))</f>
        <v>0</v>
      </c>
      <c r="M49" s="1459"/>
      <c r="N49" s="646"/>
    </row>
    <row r="50" spans="2:14" ht="14.55" x14ac:dyDescent="0.25">
      <c r="B50" s="709"/>
      <c r="C50" s="709"/>
      <c r="D50" s="1398"/>
      <c r="E50" s="1426"/>
      <c r="F50" s="603"/>
      <c r="G50" s="649" t="s">
        <v>135</v>
      </c>
      <c r="H50" s="650" t="s">
        <v>321</v>
      </c>
      <c r="I50" s="649" t="s">
        <v>135</v>
      </c>
      <c r="J50" s="650" t="s">
        <v>321</v>
      </c>
      <c r="K50" s="649" t="s">
        <v>135</v>
      </c>
      <c r="L50" s="1460" t="s">
        <v>321</v>
      </c>
      <c r="M50" s="1461"/>
      <c r="N50" s="651"/>
    </row>
    <row r="51" spans="2:14" ht="14.55" x14ac:dyDescent="0.25">
      <c r="B51" s="709"/>
      <c r="C51" s="709"/>
      <c r="D51" s="1398"/>
      <c r="E51" s="759">
        <v>1</v>
      </c>
      <c r="F51" s="603"/>
      <c r="G51" s="648">
        <f>IF($G$39&lt;$B$8,0,IF($G$39&gt;$B$27,0,VLOOKUP($H$49,$B$8:$Q$27,3)))</f>
        <v>0</v>
      </c>
      <c r="H51" s="648">
        <f>IF($G$39&lt;$B$8,0,IF($G$39&gt;$B$27,0,VLOOKUP(G51,$D$8:$E$27,2)))</f>
        <v>0</v>
      </c>
      <c r="I51" s="648">
        <f>IF($I$39&lt;$B$8,0,IF($I$39&gt;$B$27,0,VLOOKUP($J$49,$B$8:$Q$27,6)))</f>
        <v>0</v>
      </c>
      <c r="J51" s="648">
        <f>IF($I$39&lt;$B$8,0,IF($I$39&gt;$B$27,0,VLOOKUP(I51,$D$8:$E$27,2)))</f>
        <v>0</v>
      </c>
      <c r="K51" s="648">
        <f>IF($K$39&lt;$B$8,0,IF($K$39&gt;$B$27,0,VLOOKUP($L$49,$B$8:$Q$27,3)))</f>
        <v>0</v>
      </c>
      <c r="L51" s="1472">
        <f>IF($K$39&lt;$B$8,0,IF($K$39&gt;$B$27,0,VLOOKUP(K51,$D$8:$E$27,2)))</f>
        <v>0</v>
      </c>
      <c r="M51" s="1473"/>
      <c r="N51" s="646"/>
    </row>
    <row r="52" spans="2:14" ht="14.55" x14ac:dyDescent="0.25">
      <c r="B52" s="709"/>
      <c r="C52" s="709"/>
      <c r="D52" s="1398"/>
      <c r="E52" s="759">
        <v>2</v>
      </c>
      <c r="F52" s="603"/>
      <c r="G52" s="648">
        <f>IF($G$39&lt;$B$8,0,IF($G$39&gt;$B$27,0,VLOOKUP($H$49,$B$8:$Q$27,6)))</f>
        <v>0</v>
      </c>
      <c r="H52" s="648">
        <f>IF($G$39&lt;$B$8,0,IF($G$39&gt;$B$27,0,VLOOKUP(G52,$G$8:$H$27,2)))</f>
        <v>0</v>
      </c>
      <c r="I52" s="648">
        <f>IF($I$39&lt;$B$8,0,IF($I$39&gt;$B$27,0,VLOOKUP($J$49,$B$8:$Q$27,6)))</f>
        <v>0</v>
      </c>
      <c r="J52" s="648">
        <f>IF($I$39&lt;$B$8,0,IF($I$39&gt;$B$27,0,VLOOKUP(I52,$G$8:$H$27,2)))</f>
        <v>0</v>
      </c>
      <c r="K52" s="648">
        <f>IF($K$39&lt;$B$8,0,IF($K$39&gt;$B$27,0,VLOOKUP($L$49,$B$8:$Q$27,6)))</f>
        <v>0</v>
      </c>
      <c r="L52" s="1472">
        <f>IF($K$39&lt;$B$8,0,IF($K$39&gt;$B$27,0,VLOOKUP(K52,$G$8:$H$27,2)))</f>
        <v>0</v>
      </c>
      <c r="M52" s="1473"/>
      <c r="N52" s="646"/>
    </row>
    <row r="53" spans="2:14" ht="14.55" x14ac:dyDescent="0.25">
      <c r="B53" s="709"/>
      <c r="C53" s="709"/>
      <c r="D53" s="1398"/>
      <c r="E53" s="759">
        <v>3</v>
      </c>
      <c r="F53" s="603"/>
      <c r="G53" s="648">
        <f>IF($G$39&lt;$B$8,0,IF($G$39&gt;$B$27,0,VLOOKUP($H$49,$B$8:$Q$27,9)))</f>
        <v>0</v>
      </c>
      <c r="H53" s="648">
        <f>IF($G$39&lt;$B$8,0,IF($G$39&gt;$B$27,0,VLOOKUP(G53,$J$8:$K$27,2)))</f>
        <v>0</v>
      </c>
      <c r="I53" s="648">
        <f>IF($I$39&lt;$B$8,0,IF($I$39&gt;$B$27,0,VLOOKUP($J$49,$B$8:$Q$27,9)))</f>
        <v>0</v>
      </c>
      <c r="J53" s="648">
        <f>IF($I$39&lt;$B$8,0,IF($I$39&gt;$B$27,0,VLOOKUP(I53,$J$8:$K$27,2)))</f>
        <v>0</v>
      </c>
      <c r="K53" s="648">
        <f>IF($K$39&lt;$B$8,0,IF($K$39&gt;$B$27,0,VLOOKUP($L$49,$B$8:$Q$27,9)))</f>
        <v>0</v>
      </c>
      <c r="L53" s="1472">
        <f>IF($K$39&lt;$B$8,0,IF($K$39&gt;$B$27,0,VLOOKUP(K53,$J$8:$K$27,2)))</f>
        <v>0</v>
      </c>
      <c r="M53" s="1473"/>
      <c r="N53" s="646"/>
    </row>
    <row r="54" spans="2:14" ht="14.55" x14ac:dyDescent="0.25">
      <c r="B54" s="709"/>
      <c r="C54" s="709"/>
      <c r="D54" s="1398"/>
      <c r="E54" s="759">
        <v>4</v>
      </c>
      <c r="F54" s="603"/>
      <c r="G54" s="648">
        <f>IF($G$39&lt;$B$8,0,IF($G$39&gt;$B$27,0,VLOOKUP($H$49,$B$8:$Q$27,12)))</f>
        <v>0</v>
      </c>
      <c r="H54" s="648">
        <f>IF($G$39&lt;$B$8,0,IF($G$39&gt;$B$27,0,VLOOKUP(G54,$M$8:$N$27,2)))</f>
        <v>0</v>
      </c>
      <c r="I54" s="648">
        <f>IF($I$39&lt;$B$8,0,IF($I$39&gt;$B$27,0,VLOOKUP($J$49,$B$8:$Q$27,12)))</f>
        <v>0</v>
      </c>
      <c r="J54" s="648">
        <f>IF($I$39&lt;$B$8,0,IF($I$39&gt;$B$27,0,VLOOKUP(I54,$M$8:$N$27,2)))</f>
        <v>0</v>
      </c>
      <c r="K54" s="648">
        <f>IF($K$39&lt;$B$8,0,IF($K$39&gt;$B$27,0,VLOOKUP($L$49,$B$8:$Q$27,12)))</f>
        <v>0</v>
      </c>
      <c r="L54" s="1472">
        <f>IF($K$39&lt;$B$8,0,IF($K$39&gt;$B$27,0,VLOOKUP(K54,$M$8:$N$27,2)))</f>
        <v>0</v>
      </c>
      <c r="M54" s="1473"/>
      <c r="N54" s="646"/>
    </row>
    <row r="55" spans="2:14" ht="14.55" x14ac:dyDescent="0.25">
      <c r="B55" s="709"/>
      <c r="C55" s="709"/>
      <c r="D55" s="1399"/>
      <c r="E55" s="759">
        <v>5</v>
      </c>
      <c r="F55" s="603"/>
      <c r="G55" s="648">
        <f>IF($G$39&lt;$B$8,0,IF($G$39&gt;$B$27,0,VLOOKUP($H$49,$B$8:$Q$27,15)))</f>
        <v>0</v>
      </c>
      <c r="H55" s="648">
        <f>IF($G$39&lt;$B$8,0,IF($G$39&gt;$B$27,0,VLOOKUP(G55,$P$8:$Q$27,2)))</f>
        <v>0</v>
      </c>
      <c r="I55" s="648">
        <f>IF($I$39&lt;$B$8,0,IF($I$39&gt;$B$27,0,VLOOKUP($J$49,$B$8:$Q$27,15)))</f>
        <v>0</v>
      </c>
      <c r="J55" s="648">
        <f>IF($I$39&lt;$B$8,0,IF($I$39&gt;$B$27,0,VLOOKUP(I55,$P$8:$Q$27,2)))</f>
        <v>0</v>
      </c>
      <c r="K55" s="648">
        <f>IF($K$39&lt;$B$8,0,IF($K$39&gt;$B$27,0,VLOOKUP($L$49,$B$8:$Q$27,15)))</f>
        <v>0</v>
      </c>
      <c r="L55" s="1472">
        <f>IF($K$39&lt;$B$8,0,IF($K$39&gt;$B$27,0,VLOOKUP(K55,$P$8:$Q$27,2)))</f>
        <v>0</v>
      </c>
      <c r="M55" s="1473"/>
      <c r="N55" s="646"/>
    </row>
    <row r="56" spans="2:14" ht="14.55" x14ac:dyDescent="0.25">
      <c r="B56" s="652"/>
      <c r="C56" s="652"/>
      <c r="D56" s="652"/>
      <c r="E56" s="603"/>
      <c r="F56" s="603"/>
      <c r="G56" s="722"/>
      <c r="H56" s="651"/>
    </row>
    <row r="57" spans="2:14" ht="14.55" x14ac:dyDescent="0.25">
      <c r="C57" s="709"/>
      <c r="D57" s="1397" t="s">
        <v>329</v>
      </c>
      <c r="E57" s="1425" t="s">
        <v>316</v>
      </c>
      <c r="F57" s="603"/>
      <c r="G57" s="647" t="s">
        <v>328</v>
      </c>
      <c r="H57" s="648" cm="1">
        <f t="array" ref="H57">IF($G$39&lt;$B$8,0,IF(G39&gt;B27,0,INDEX(B8:B27,MATCH(G39,B8:B27,1)+1,1)))</f>
        <v>0</v>
      </c>
      <c r="I57" s="647" t="s">
        <v>328</v>
      </c>
      <c r="J57" s="648">
        <f>IF(I39&lt;25000,0,IF(I39&gt;25000000,0,INDEX(B8:B27,MATCH(I39,B8:B27,1)+1,1)))</f>
        <v>0</v>
      </c>
      <c r="K57" s="647" t="s">
        <v>328</v>
      </c>
      <c r="L57" s="1458" cm="1">
        <f t="array" ref="L57">IF($K$39&lt;$B$8,0,IF($K$39&gt;$B$27,0,INDEX(B8:B27,MATCH(K39,B8:B27,1)+1,1)))</f>
        <v>0</v>
      </c>
      <c r="M57" s="1459"/>
      <c r="N57" s="646"/>
    </row>
    <row r="58" spans="2:14" ht="14.55" x14ac:dyDescent="0.25">
      <c r="B58" s="709"/>
      <c r="C58" s="709"/>
      <c r="D58" s="1398"/>
      <c r="E58" s="1426"/>
      <c r="F58" s="603"/>
      <c r="G58" s="649" t="s">
        <v>135</v>
      </c>
      <c r="H58" s="650" t="s">
        <v>321</v>
      </c>
      <c r="I58" s="649" t="s">
        <v>135</v>
      </c>
      <c r="J58" s="650" t="s">
        <v>321</v>
      </c>
      <c r="K58" s="649" t="s">
        <v>135</v>
      </c>
      <c r="L58" s="1460" t="s">
        <v>321</v>
      </c>
      <c r="M58" s="1461"/>
      <c r="N58" s="651"/>
    </row>
    <row r="59" spans="2:14" ht="14.55" x14ac:dyDescent="0.25">
      <c r="B59" s="709"/>
      <c r="C59" s="709"/>
      <c r="D59" s="1398"/>
      <c r="E59" s="759">
        <v>1</v>
      </c>
      <c r="F59" s="603"/>
      <c r="G59" s="648">
        <f>IF($G$39&lt;$B$8,0,IF($G$39&gt;$B$27,0,VLOOKUP($H$57,$B$8:$Q$27,3)))</f>
        <v>0</v>
      </c>
      <c r="H59" s="648">
        <f>IF($G$39&lt;$B$8,0,IF($G$39&gt;$B$27,0,VLOOKUP(G59,$D$8:$E$27,2)))</f>
        <v>0</v>
      </c>
      <c r="I59" s="648">
        <f>IF($I$39&lt;$B$8,0,IF($I$39&gt;$B$27,0,VLOOKUP($J$57,$B$8:$Q$27,3)))</f>
        <v>0</v>
      </c>
      <c r="J59" s="648">
        <f>IF($I$39&lt;$B$8,0,IF($I$39&gt;$B$27,0,VLOOKUP(I59,$D$8:$E$27,2)))</f>
        <v>0</v>
      </c>
      <c r="K59" s="648">
        <f>IF($K$39&lt;$B$8,0,IF($K$39&gt;$B$27,0,VLOOKUP($L$57,$B$8:$Q$27,3)))</f>
        <v>0</v>
      </c>
      <c r="L59" s="1472">
        <f>IF($K$39&lt;$B$8,0,IF($K$39&gt;$B$27,0,VLOOKUP(K59,$D$8:$E$27,2)))</f>
        <v>0</v>
      </c>
      <c r="M59" s="1473"/>
      <c r="N59" s="646"/>
    </row>
    <row r="60" spans="2:14" ht="14.55" x14ac:dyDescent="0.25">
      <c r="B60" s="709"/>
      <c r="C60" s="709"/>
      <c r="D60" s="1398"/>
      <c r="E60" s="759">
        <v>2</v>
      </c>
      <c r="F60" s="603"/>
      <c r="G60" s="648">
        <f>IF($G$39&lt;$B$8,0,IF($G$39&gt;$B$27,0,VLOOKUP($H$57,$B$8:$Q$27,6)))</f>
        <v>0</v>
      </c>
      <c r="H60" s="648">
        <f>IF($G$39&lt;$B$8,0,IF($G$39&gt;$B$27,0,VLOOKUP(G60,$G$8:$H$27,2)))</f>
        <v>0</v>
      </c>
      <c r="I60" s="648">
        <f>IF($I$39&lt;$B$8,0,IF($I$39&gt;$B$27,0,VLOOKUP($J$57,$B$8:$Q$27,6)))</f>
        <v>0</v>
      </c>
      <c r="J60" s="648">
        <f>IF($I$39&lt;$B$8,0,IF($I$39&gt;$B$27,0,VLOOKUP(I60,$G$8:$H$27,2)))</f>
        <v>0</v>
      </c>
      <c r="K60" s="648">
        <f>IF($K$39&lt;$B$8,0,IF($K$39&gt;$B$27,0,VLOOKUP($L$57,$B$8:$Q$27,6)))</f>
        <v>0</v>
      </c>
      <c r="L60" s="1472">
        <f>IF($K$39&lt;$B$8,0,IF($K$39&gt;$B$27,0,VLOOKUP(K60,$G$8:$H$27,2)))</f>
        <v>0</v>
      </c>
      <c r="M60" s="1473"/>
      <c r="N60" s="646"/>
    </row>
    <row r="61" spans="2:14" ht="14.55" x14ac:dyDescent="0.25">
      <c r="B61" s="709"/>
      <c r="C61" s="709"/>
      <c r="D61" s="1398"/>
      <c r="E61" s="759">
        <v>3</v>
      </c>
      <c r="F61" s="603"/>
      <c r="G61" s="648">
        <f>IF($G$39&lt;$B$8,0,IF($G$39&gt;$B$27,0,VLOOKUP($H$57,$B$8:$Q$27,9)))</f>
        <v>0</v>
      </c>
      <c r="H61" s="648">
        <f>IF($G$39&lt;$B$8,0,IF($G$39&gt;$B$27,0,VLOOKUP(G61,$J$8:$K$27,2)))</f>
        <v>0</v>
      </c>
      <c r="I61" s="648">
        <f>IF($I$39&lt;$B$8,0,IF($I$39&gt;$B$27,0,VLOOKUP($J$57,$B$8:$Q$27,9)))</f>
        <v>0</v>
      </c>
      <c r="J61" s="648">
        <f>IF($I$39&lt;$B$8,0,IF($I$39&gt;$B$27,0,VLOOKUP(I61,$J$8:$K$27,2)))</f>
        <v>0</v>
      </c>
      <c r="K61" s="648">
        <f>IF($K$39&lt;$B$8,0,IF($K$39&gt;$B$27,0,VLOOKUP($L$57,$B$8:$Q$27,9)))</f>
        <v>0</v>
      </c>
      <c r="L61" s="1472">
        <f>IF($K$39&lt;$B$8,0,IF($K$39&gt;$B$27,0,VLOOKUP(K61,$J$8:$K$27,2)))</f>
        <v>0</v>
      </c>
      <c r="M61" s="1473"/>
      <c r="N61" s="646"/>
    </row>
    <row r="62" spans="2:14" ht="14.55" x14ac:dyDescent="0.25">
      <c r="B62" s="709"/>
      <c r="C62" s="709"/>
      <c r="D62" s="1398"/>
      <c r="E62" s="759">
        <v>4</v>
      </c>
      <c r="F62" s="603"/>
      <c r="G62" s="648">
        <f>IF($G$39&lt;$B$8,0,IF($G$39&gt;$B$27,0,VLOOKUP($H$57,$B$8:$Q$27,12)))</f>
        <v>0</v>
      </c>
      <c r="H62" s="648">
        <f>IF($G$39&lt;$B$8,0,IF($G$39&gt;$B$27,0,VLOOKUP(G62,$M$8:$N$27,2)))</f>
        <v>0</v>
      </c>
      <c r="I62" s="648">
        <f>IF($I$39&lt;$B$8,0,IF($I$39&gt;$B$27,0,VLOOKUP($J$57,$B$8:$Q$27,12)))</f>
        <v>0</v>
      </c>
      <c r="J62" s="648">
        <f>IF($I$39&lt;$B$8,0,IF($I$39&gt;$B$27,0,VLOOKUP(I62,$M$8:$N$27,2)))</f>
        <v>0</v>
      </c>
      <c r="K62" s="648">
        <f>IF($K$39&lt;$B$8,0,IF($K$39&gt;$B$27,0,VLOOKUP($L$57,$B$8:$Q$27,12)))</f>
        <v>0</v>
      </c>
      <c r="L62" s="1472">
        <f>IF($K$39&lt;$B$8,0,IF($K$39&gt;$B$27,0,VLOOKUP(K62,$M$8:$N$27,2)))</f>
        <v>0</v>
      </c>
      <c r="M62" s="1473"/>
      <c r="N62" s="646"/>
    </row>
    <row r="63" spans="2:14" ht="14.55" x14ac:dyDescent="0.25">
      <c r="B63" s="709"/>
      <c r="C63" s="709"/>
      <c r="D63" s="1399"/>
      <c r="E63" s="759">
        <v>5</v>
      </c>
      <c r="F63" s="603"/>
      <c r="G63" s="648">
        <f>IF($G$39&lt;$B$8,0,IF($G$39&gt;$B$27,0,VLOOKUP($H$57,$B$8:$Q$27,15)))</f>
        <v>0</v>
      </c>
      <c r="H63" s="648">
        <f>IF($G$39&lt;$B$8,0,IF($G$39&gt;$B$27,0,VLOOKUP(G63,$P$8:$Q$27,2)))</f>
        <v>0</v>
      </c>
      <c r="I63" s="648">
        <f>IF($I$39&lt;$B$8,0,IF($I$39&gt;$B$27,0,VLOOKUP($J$57,$B$8:$Q$27,15)))</f>
        <v>0</v>
      </c>
      <c r="J63" s="648">
        <f>IF($I$39&lt;$B$8,0,IF($I$39&gt;$B$27,0,VLOOKUP(I63,$P$8:$Q$27,2)))</f>
        <v>0</v>
      </c>
      <c r="K63" s="648">
        <f>IF($K$39&lt;$B$8,0,IF($K$39&gt;$B$27,0,VLOOKUP($L$57,$B$8:$Q$27,15)))</f>
        <v>0</v>
      </c>
      <c r="L63" s="1472">
        <f>IF($K$39&lt;$B$8,0,IF($K$39&gt;$B$27,0,VLOOKUP(K63,$P$8:$Q$27,2)))</f>
        <v>0</v>
      </c>
      <c r="M63" s="1473"/>
      <c r="N63" s="646"/>
    </row>
    <row r="65" spans="2:14" x14ac:dyDescent="0.25">
      <c r="B65" s="630" t="s">
        <v>330</v>
      </c>
    </row>
    <row r="67" spans="2:14" ht="14.55" x14ac:dyDescent="0.25">
      <c r="B67" s="652"/>
      <c r="C67" s="652"/>
      <c r="D67" s="652"/>
      <c r="E67" s="603"/>
      <c r="F67" s="603"/>
      <c r="G67" s="649" t="s">
        <v>135</v>
      </c>
      <c r="H67" s="650" t="s">
        <v>321</v>
      </c>
      <c r="I67" s="649" t="s">
        <v>135</v>
      </c>
      <c r="J67" s="650" t="s">
        <v>321</v>
      </c>
      <c r="K67" s="649" t="s">
        <v>135</v>
      </c>
      <c r="L67" s="1417" t="s">
        <v>321</v>
      </c>
      <c r="M67" s="1417"/>
      <c r="N67" s="651"/>
    </row>
    <row r="68" spans="2:14" ht="14.55" x14ac:dyDescent="0.25">
      <c r="B68" s="1416" t="s">
        <v>327</v>
      </c>
      <c r="C68" s="1416"/>
      <c r="D68" s="1416"/>
      <c r="E68" s="1416"/>
      <c r="F68" s="603"/>
      <c r="G68" s="655">
        <f>VLOOKUP($G$43,$E$51:$H$55,3)</f>
        <v>0</v>
      </c>
      <c r="H68" s="655">
        <f>VLOOKUP(G43,$E$51:$H$55,4)</f>
        <v>0</v>
      </c>
      <c r="I68" s="655">
        <f>VLOOKUP($G$43,$E$51:$J$55,5)</f>
        <v>0</v>
      </c>
      <c r="J68" s="655">
        <f>VLOOKUP(G43,$E$51:$J$55,6)</f>
        <v>0</v>
      </c>
      <c r="K68" s="655">
        <f>VLOOKUP($G$43,$E$51:$K$55,7)</f>
        <v>0</v>
      </c>
      <c r="L68" s="1469">
        <f>VLOOKUP(G43,$E$51:$M$55,8)</f>
        <v>0</v>
      </c>
      <c r="M68" s="1469"/>
      <c r="N68" s="656"/>
    </row>
    <row r="69" spans="2:14" ht="14.55" x14ac:dyDescent="0.25">
      <c r="B69" s="1416" t="s">
        <v>329</v>
      </c>
      <c r="C69" s="1416"/>
      <c r="D69" s="1416"/>
      <c r="E69" s="1416"/>
      <c r="F69" s="603"/>
      <c r="G69" s="655">
        <f>VLOOKUP($G$43,$E$59:$H$63,3)</f>
        <v>0</v>
      </c>
      <c r="H69" s="655">
        <f>VLOOKUP(G43,$E$59:$H$63,4)</f>
        <v>0</v>
      </c>
      <c r="I69" s="655">
        <f>VLOOKUP($G$43,$E$59:$J$63,5)</f>
        <v>0</v>
      </c>
      <c r="J69" s="655">
        <f>VLOOKUP(G43,$E$59:$K$63,6)</f>
        <v>0</v>
      </c>
      <c r="K69" s="655">
        <f>VLOOKUP($G$43,$E$59:$K$63,7)</f>
        <v>0</v>
      </c>
      <c r="L69" s="1469">
        <f>VLOOKUP(G43,$E$59:$M$63,8)</f>
        <v>0</v>
      </c>
      <c r="M69" s="1469"/>
      <c r="N69" s="656"/>
    </row>
    <row r="70" spans="2:14" ht="14.55" x14ac:dyDescent="0.25">
      <c r="B70" s="1659" t="s">
        <v>331</v>
      </c>
      <c r="C70" s="1660"/>
      <c r="D70" s="1660"/>
      <c r="E70" s="1661"/>
      <c r="F70" s="603"/>
      <c r="G70" s="723">
        <f t="shared" ref="G70:L70" si="4">G69-G68</f>
        <v>0</v>
      </c>
      <c r="H70" s="723">
        <f t="shared" si="4"/>
        <v>0</v>
      </c>
      <c r="I70" s="723">
        <f t="shared" si="4"/>
        <v>0</v>
      </c>
      <c r="J70" s="723">
        <f t="shared" si="4"/>
        <v>0</v>
      </c>
      <c r="K70" s="723">
        <f t="shared" si="4"/>
        <v>0</v>
      </c>
      <c r="L70" s="1470">
        <f t="shared" si="4"/>
        <v>0</v>
      </c>
      <c r="M70" s="1470"/>
      <c r="N70" s="724"/>
    </row>
    <row r="71" spans="2:14" ht="14.55" x14ac:dyDescent="0.25">
      <c r="B71" s="1416" t="s">
        <v>332</v>
      </c>
      <c r="C71" s="1416"/>
      <c r="D71" s="1416"/>
      <c r="E71" s="1416"/>
      <c r="F71" s="603"/>
      <c r="G71" s="723">
        <f>G39-H49</f>
        <v>0</v>
      </c>
      <c r="H71" s="659">
        <f>G43</f>
        <v>1</v>
      </c>
      <c r="I71" s="723">
        <f>I39-J49</f>
        <v>0</v>
      </c>
      <c r="J71" s="659">
        <f>G43</f>
        <v>1</v>
      </c>
      <c r="K71" s="723">
        <f>K39-L49</f>
        <v>0</v>
      </c>
      <c r="L71" s="1471">
        <f>G43</f>
        <v>1</v>
      </c>
      <c r="M71" s="1471"/>
      <c r="N71" s="725"/>
    </row>
    <row r="74" spans="2:14" x14ac:dyDescent="0.25">
      <c r="B74" s="630" t="s">
        <v>333</v>
      </c>
    </row>
    <row r="76" spans="2:14" ht="14.55" x14ac:dyDescent="0.25">
      <c r="B76" s="603"/>
      <c r="C76" s="603"/>
      <c r="D76" s="651"/>
      <c r="E76" s="603"/>
      <c r="F76" s="651"/>
      <c r="G76" s="649" t="s">
        <v>135</v>
      </c>
      <c r="H76" s="650" t="s">
        <v>321</v>
      </c>
      <c r="I76" s="649" t="s">
        <v>135</v>
      </c>
      <c r="J76" s="650" t="s">
        <v>321</v>
      </c>
      <c r="K76" s="649" t="s">
        <v>135</v>
      </c>
      <c r="L76" s="1417" t="s">
        <v>321</v>
      </c>
      <c r="M76" s="1417"/>
      <c r="N76" s="651"/>
    </row>
    <row r="77" spans="2:14" ht="14.55" x14ac:dyDescent="0.25">
      <c r="B77" s="1416" t="s">
        <v>334</v>
      </c>
      <c r="C77" s="1416"/>
      <c r="D77" s="1416"/>
      <c r="E77" s="1416"/>
      <c r="F77" s="660"/>
      <c r="G77" s="655">
        <f t="shared" ref="G77:L77" si="5">G68</f>
        <v>0</v>
      </c>
      <c r="H77" s="655">
        <f t="shared" si="5"/>
        <v>0</v>
      </c>
      <c r="I77" s="655">
        <f t="shared" si="5"/>
        <v>0</v>
      </c>
      <c r="J77" s="655">
        <f t="shared" si="5"/>
        <v>0</v>
      </c>
      <c r="K77" s="655">
        <f t="shared" si="5"/>
        <v>0</v>
      </c>
      <c r="L77" s="1469">
        <f t="shared" si="5"/>
        <v>0</v>
      </c>
      <c r="M77" s="1469"/>
      <c r="N77" s="656"/>
    </row>
    <row r="78" spans="2:14" ht="14.55" x14ac:dyDescent="0.25">
      <c r="B78" s="1416" t="s">
        <v>335</v>
      </c>
      <c r="C78" s="1416"/>
      <c r="D78" s="1416"/>
      <c r="E78" s="1416"/>
      <c r="F78" s="660"/>
      <c r="G78" s="655">
        <f>G71</f>
        <v>0</v>
      </c>
      <c r="H78" s="655">
        <f>G71</f>
        <v>0</v>
      </c>
      <c r="I78" s="655">
        <f>I71</f>
        <v>0</v>
      </c>
      <c r="J78" s="655">
        <f>I71</f>
        <v>0</v>
      </c>
      <c r="K78" s="655">
        <f>K71</f>
        <v>0</v>
      </c>
      <c r="L78" s="1469">
        <f>K71</f>
        <v>0</v>
      </c>
      <c r="M78" s="1469"/>
      <c r="N78" s="656"/>
    </row>
    <row r="79" spans="2:14" ht="14.55" x14ac:dyDescent="0.25">
      <c r="B79" s="1416" t="s">
        <v>336</v>
      </c>
      <c r="C79" s="1416"/>
      <c r="D79" s="1416"/>
      <c r="E79" s="1416"/>
      <c r="F79" s="660"/>
      <c r="G79" s="655">
        <f t="shared" ref="G79:L79" si="6">G70</f>
        <v>0</v>
      </c>
      <c r="H79" s="655">
        <f t="shared" si="6"/>
        <v>0</v>
      </c>
      <c r="I79" s="655">
        <f t="shared" si="6"/>
        <v>0</v>
      </c>
      <c r="J79" s="655">
        <f t="shared" si="6"/>
        <v>0</v>
      </c>
      <c r="K79" s="655">
        <f t="shared" si="6"/>
        <v>0</v>
      </c>
      <c r="L79" s="1469">
        <f t="shared" si="6"/>
        <v>0</v>
      </c>
      <c r="M79" s="1469"/>
      <c r="N79" s="656"/>
    </row>
    <row r="80" spans="2:14" ht="14.55" x14ac:dyDescent="0.25">
      <c r="B80" s="1416" t="s">
        <v>337</v>
      </c>
      <c r="C80" s="1416"/>
      <c r="D80" s="1416"/>
      <c r="E80" s="1416"/>
      <c r="F80" s="660"/>
      <c r="G80" s="655">
        <f>H57-H49</f>
        <v>0</v>
      </c>
      <c r="H80" s="655">
        <f>H57-H49</f>
        <v>0</v>
      </c>
      <c r="I80" s="655">
        <f>J57-J49</f>
        <v>0</v>
      </c>
      <c r="J80" s="655">
        <f>J57-J49</f>
        <v>0</v>
      </c>
      <c r="K80" s="655">
        <f>L57-L49</f>
        <v>0</v>
      </c>
      <c r="L80" s="1469">
        <f>L57-L49</f>
        <v>0</v>
      </c>
      <c r="M80" s="1469"/>
      <c r="N80" s="656"/>
    </row>
    <row r="81" spans="2:22" ht="15.2" thickBot="1" x14ac:dyDescent="0.3">
      <c r="B81" s="603"/>
      <c r="C81" s="603"/>
      <c r="D81" s="603"/>
      <c r="E81" s="646"/>
      <c r="F81" s="646"/>
      <c r="G81" s="661"/>
      <c r="H81" s="603"/>
    </row>
    <row r="82" spans="2:22" ht="14.55" x14ac:dyDescent="0.25">
      <c r="B82" s="662"/>
      <c r="C82" s="1417"/>
      <c r="D82" s="597" t="s">
        <v>135</v>
      </c>
      <c r="E82" s="664"/>
      <c r="F82" s="656"/>
      <c r="G82" s="603"/>
      <c r="H82" s="665">
        <f>IF(G80=0,0,G77+((G78*G79)/G80))</f>
        <v>0</v>
      </c>
      <c r="J82" s="665">
        <f>IF(I80=0,0,I77+((I78*I79)/I80))</f>
        <v>0</v>
      </c>
      <c r="L82" s="1476">
        <f>IF(K80=0,0,K77+((K78*K79)/K80))</f>
        <v>0</v>
      </c>
      <c r="M82" s="1477"/>
      <c r="N82" s="656"/>
    </row>
    <row r="83" spans="2:22" ht="14.55" x14ac:dyDescent="0.25">
      <c r="B83" s="666" t="s">
        <v>338</v>
      </c>
      <c r="C83" s="1417"/>
      <c r="D83" s="597" t="s">
        <v>318</v>
      </c>
      <c r="E83" s="664"/>
      <c r="F83" s="656"/>
      <c r="G83" s="603"/>
      <c r="H83" s="667">
        <f>((H86-H82)*0.25)+H82</f>
        <v>0</v>
      </c>
      <c r="J83" s="667">
        <f>((J86-J82)*0.25)+J82</f>
        <v>0</v>
      </c>
      <c r="L83" s="1478">
        <f>((L86-L82)*0.25)+L82</f>
        <v>0</v>
      </c>
      <c r="M83" s="1479"/>
      <c r="N83" s="656"/>
    </row>
    <row r="84" spans="2:22" ht="14.55" x14ac:dyDescent="0.25">
      <c r="B84" s="666"/>
      <c r="C84" s="1417"/>
      <c r="D84" s="597" t="s">
        <v>319</v>
      </c>
      <c r="E84" s="664"/>
      <c r="F84" s="656"/>
      <c r="G84" s="603"/>
      <c r="H84" s="667">
        <f>(H86+H82)/2</f>
        <v>0</v>
      </c>
      <c r="J84" s="667">
        <f>(J86+J82)/2</f>
        <v>0</v>
      </c>
      <c r="L84" s="1478">
        <f>(L86+L82)/2</f>
        <v>0</v>
      </c>
      <c r="M84" s="1479"/>
      <c r="N84" s="656"/>
    </row>
    <row r="85" spans="2:22" ht="14.55" x14ac:dyDescent="0.25">
      <c r="B85" s="666" t="s">
        <v>339</v>
      </c>
      <c r="C85" s="1417"/>
      <c r="D85" s="597" t="s">
        <v>320</v>
      </c>
      <c r="E85" s="664"/>
      <c r="F85" s="656"/>
      <c r="G85" s="603"/>
      <c r="H85" s="667">
        <f>((H86-H82)*0.75)+H82</f>
        <v>0</v>
      </c>
      <c r="J85" s="667">
        <f>((J86-J82)*0.75)+J82</f>
        <v>0</v>
      </c>
      <c r="L85" s="1478">
        <f>((L86-L82)*0.75)+L82</f>
        <v>0</v>
      </c>
      <c r="M85" s="1479"/>
      <c r="N85" s="656"/>
    </row>
    <row r="86" spans="2:22" ht="15.2" thickBot="1" x14ac:dyDescent="0.3">
      <c r="B86" s="668"/>
      <c r="C86" s="1417"/>
      <c r="D86" s="597" t="s">
        <v>321</v>
      </c>
      <c r="E86" s="664"/>
      <c r="F86" s="656"/>
      <c r="G86" s="603"/>
      <c r="H86" s="669">
        <f>IF(H80=0,0,H77+((H78*H79)/H80))</f>
        <v>0</v>
      </c>
      <c r="J86" s="669">
        <f>IF(J80=0,0,J77+((J78*J79)/J80))</f>
        <v>0</v>
      </c>
      <c r="L86" s="1480">
        <f>IF(L80=0,0,L77+((L78*L79)/L80))</f>
        <v>0</v>
      </c>
      <c r="M86" s="1481"/>
      <c r="N86" s="656"/>
    </row>
    <row r="88" spans="2:22" ht="15.2" thickBot="1" x14ac:dyDescent="0.35">
      <c r="B88" s="603"/>
      <c r="C88" s="603"/>
      <c r="D88" s="603"/>
      <c r="E88" s="603"/>
      <c r="F88" s="603"/>
      <c r="G88" s="1418" t="s">
        <v>322</v>
      </c>
      <c r="H88" s="1418"/>
      <c r="I88" s="1414" t="s">
        <v>323</v>
      </c>
      <c r="J88" s="1414"/>
      <c r="K88" s="1466" t="s">
        <v>324</v>
      </c>
      <c r="L88" s="1466"/>
      <c r="M88" s="1466"/>
      <c r="N88" s="633"/>
    </row>
    <row r="89" spans="2:22" ht="15.2" thickBot="1" x14ac:dyDescent="0.3">
      <c r="B89" s="1402" t="s">
        <v>340</v>
      </c>
      <c r="C89" s="1403"/>
      <c r="D89" s="1403"/>
      <c r="E89" s="1404"/>
      <c r="F89" s="603"/>
      <c r="G89" s="670">
        <f>G43</f>
        <v>1</v>
      </c>
      <c r="H89" s="671">
        <f>IF($G$44="Basishonorarsatz",H82,IF($G$44="Viertelsatz",H83,IF($G$44="Mittelsatz",H84,IF($G$44="Dreiviertelsatz",H85,H86))))</f>
        <v>0</v>
      </c>
      <c r="I89" s="726"/>
      <c r="J89" s="727">
        <f>IF($G$44="Basishonorarsatz",J82,IF($G$44="Viertelsatz",J83,IF($G$44="Mittelsatz",J84,IF($G$44="Dreiviertelsatz",J85,J86))))</f>
        <v>0</v>
      </c>
      <c r="K89" s="726"/>
      <c r="L89" s="1412">
        <f>IF($G$44="Basishonorarsatz",L82,IF($G$44="Viertelsatz",L83,IF($G$44="Mittelsatz",L84,IF($G$44="Dreiviertelsatz",L85,L86))))</f>
        <v>0</v>
      </c>
      <c r="M89" s="1413"/>
      <c r="N89" s="728"/>
    </row>
    <row r="90" spans="2:22" ht="14.55" thickBot="1" x14ac:dyDescent="0.3">
      <c r="B90" s="641" t="s">
        <v>341</v>
      </c>
    </row>
    <row r="91" spans="2:22" ht="15" customHeight="1" thickBot="1" x14ac:dyDescent="0.3">
      <c r="B91" s="641" t="s">
        <v>342</v>
      </c>
      <c r="G91" s="678"/>
      <c r="H91" s="1633" t="s">
        <v>343</v>
      </c>
      <c r="I91" s="1634"/>
      <c r="J91" s="1634"/>
      <c r="K91" s="1635"/>
      <c r="L91" s="790"/>
      <c r="M91" s="791"/>
    </row>
    <row r="92" spans="2:22" ht="14.55" thickBot="1" x14ac:dyDescent="0.3">
      <c r="B92" s="641" t="s">
        <v>344</v>
      </c>
      <c r="G92" s="679"/>
      <c r="H92" s="1636" t="s">
        <v>539</v>
      </c>
      <c r="I92" s="1637"/>
      <c r="J92" s="1467" t="s">
        <v>346</v>
      </c>
      <c r="K92" s="1468"/>
      <c r="L92" s="741"/>
      <c r="M92" s="741"/>
      <c r="T92" s="630"/>
      <c r="U92" s="630"/>
      <c r="V92" s="630"/>
    </row>
    <row r="93" spans="2:22" ht="14.55" x14ac:dyDescent="0.3">
      <c r="B93" s="641" t="s">
        <v>349</v>
      </c>
      <c r="G93" s="680">
        <v>1</v>
      </c>
      <c r="H93" s="1638">
        <f>IF('Bauphysik - Wärmeschutz'!T37="ja",'Bauphysik - Wärmeschutz'!J37,0)</f>
        <v>0</v>
      </c>
      <c r="I93" s="1639"/>
      <c r="J93" s="1801">
        <f>IF('Bauphysik - Wärmeschutz'!T37="ja",'Bauphysik - Wärmeschutz'!L43,0)</f>
        <v>0</v>
      </c>
      <c r="K93" s="1802"/>
      <c r="L93" s="741">
        <f>H93+J93</f>
        <v>0</v>
      </c>
      <c r="M93" s="741"/>
      <c r="T93" s="594"/>
      <c r="U93" s="594"/>
      <c r="V93" s="594"/>
    </row>
    <row r="94" spans="2:22" ht="14.55" x14ac:dyDescent="0.3">
      <c r="G94" s="682">
        <v>2</v>
      </c>
      <c r="H94" s="1408">
        <f>IF('Bauphysik - Wärmeschutz'!T44="ja",'Bauphysik - Wärmeschutz'!J44,0)</f>
        <v>0</v>
      </c>
      <c r="I94" s="1409"/>
      <c r="J94" s="1437">
        <f>IF('Bauphysik - Wärmeschutz'!T44="ja",'Bauphysik - Wärmeschutz'!L56,0)</f>
        <v>0</v>
      </c>
      <c r="K94" s="1438"/>
      <c r="L94" s="741">
        <f t="shared" ref="L94:L99" si="7">H94+J94</f>
        <v>0</v>
      </c>
      <c r="M94" s="741"/>
      <c r="T94" s="733"/>
      <c r="U94" s="734"/>
      <c r="V94" s="733"/>
    </row>
    <row r="95" spans="2:22" ht="14.55" x14ac:dyDescent="0.3">
      <c r="B95" s="641" t="s">
        <v>341</v>
      </c>
      <c r="G95" s="682">
        <v>3</v>
      </c>
      <c r="H95" s="1408">
        <f>IF('Bauphysik - Wärmeschutz'!T60="ja",'Bauphysik - Wärmeschutz'!J60,0)</f>
        <v>0</v>
      </c>
      <c r="I95" s="1409"/>
      <c r="J95" s="1437">
        <f>IF('Bauphysik - Wärmeschutz'!T60="ja",'Bauphysik - Wärmeschutz'!L73,0)</f>
        <v>0</v>
      </c>
      <c r="K95" s="1438"/>
      <c r="L95" s="741">
        <f t="shared" si="7"/>
        <v>0</v>
      </c>
      <c r="M95" s="741"/>
      <c r="T95" s="735"/>
      <c r="U95" s="734"/>
      <c r="V95" s="736"/>
    </row>
    <row r="96" spans="2:22" ht="14.55" x14ac:dyDescent="0.3">
      <c r="B96" s="641" t="s">
        <v>350</v>
      </c>
      <c r="G96" s="682">
        <v>4</v>
      </c>
      <c r="H96" s="1408">
        <f>IF('Bauphysik - Wärmeschutz'!T77="ja",'Bauphysik - Wärmeschutz'!J77,0)</f>
        <v>0</v>
      </c>
      <c r="I96" s="1409"/>
      <c r="J96" s="1437">
        <f>IF('Bauphysik - Wärmeschutz'!T77="ja",'Bauphysik - Wärmeschutz'!L88,0)</f>
        <v>0</v>
      </c>
      <c r="K96" s="1438"/>
      <c r="L96" s="741">
        <f t="shared" si="7"/>
        <v>0</v>
      </c>
      <c r="M96" s="741"/>
      <c r="T96" s="735"/>
      <c r="U96" s="734"/>
      <c r="V96" s="736"/>
    </row>
    <row r="97" spans="2:22" ht="14.55" x14ac:dyDescent="0.3">
      <c r="G97" s="682" t="s">
        <v>351</v>
      </c>
      <c r="H97" s="1408">
        <f>IF('Bauphysik - Wärmeschutz'!T89="ja",'Bauphysik - Wärmeschutz'!J89,0)</f>
        <v>0</v>
      </c>
      <c r="I97" s="1409"/>
      <c r="J97" s="1437">
        <f>IF('Bauphysik - Wärmeschutz'!T89="ja",'Bauphysik - Wärmeschutz'!R89,0)</f>
        <v>0</v>
      </c>
      <c r="K97" s="1438"/>
      <c r="L97" s="741">
        <f t="shared" si="7"/>
        <v>0</v>
      </c>
      <c r="M97" s="741"/>
      <c r="T97" s="735"/>
      <c r="U97" s="734"/>
      <c r="V97" s="736"/>
    </row>
    <row r="98" spans="2:22" ht="14.55" x14ac:dyDescent="0.3">
      <c r="G98" s="682" t="s">
        <v>352</v>
      </c>
      <c r="H98" s="1408">
        <f>IF('Bauphysik - Wärmeschutz'!T92="ja",'Bauphysik - Wärmeschutz'!J92,0)</f>
        <v>0</v>
      </c>
      <c r="I98" s="1409"/>
      <c r="J98" s="1437">
        <f>IF('Bauphysik - Wärmeschutz'!T92="ja",'Bauphysik - Wärmeschutz'!R92,0)</f>
        <v>0</v>
      </c>
      <c r="K98" s="1438"/>
      <c r="L98" s="741">
        <f t="shared" si="7"/>
        <v>0</v>
      </c>
      <c r="M98" s="741"/>
      <c r="T98" s="735"/>
      <c r="U98" s="734"/>
      <c r="V98" s="736"/>
    </row>
    <row r="99" spans="2:22" ht="14.55" x14ac:dyDescent="0.3">
      <c r="G99" s="683">
        <v>6</v>
      </c>
      <c r="H99" s="1408">
        <f>IF('Bauphysik - Wärmeschutz'!T96="ja",'Bauphysik - Wärmeschutz'!J96,0)</f>
        <v>0</v>
      </c>
      <c r="I99" s="1409"/>
      <c r="J99" s="1437">
        <f>IF('Bauphysik - Wärmeschutz'!T96="ja",'Bauphysik - Wärmeschutz'!L102,0)</f>
        <v>0</v>
      </c>
      <c r="K99" s="1438"/>
      <c r="L99" s="741">
        <f t="shared" si="7"/>
        <v>0</v>
      </c>
      <c r="M99" s="741"/>
      <c r="T99" s="735"/>
      <c r="U99" s="734"/>
      <c r="V99" s="736"/>
    </row>
    <row r="100" spans="2:22" ht="15.2" thickBot="1" x14ac:dyDescent="0.35">
      <c r="G100" s="792">
        <v>7</v>
      </c>
      <c r="H100" s="1408">
        <f>IF('Bauphysik - Wärmeschutz'!T103="ja",'Bauphysik - Wärmeschutz'!J103,0)</f>
        <v>0</v>
      </c>
      <c r="I100" s="1409"/>
      <c r="J100" s="1437">
        <f>IF('Bauphysik - Wärmeschutz'!T103="ja",'Bauphysik - Wärmeschutz'!L109,0)</f>
        <v>0</v>
      </c>
      <c r="K100" s="1438"/>
      <c r="L100" s="741"/>
      <c r="M100" s="741"/>
      <c r="T100" s="735"/>
      <c r="U100" s="734"/>
      <c r="V100" s="736"/>
    </row>
    <row r="101" spans="2:22" ht="15.2" thickBot="1" x14ac:dyDescent="0.35">
      <c r="G101" s="685" t="s">
        <v>357</v>
      </c>
      <c r="H101" s="1433">
        <f>SUM(H93:I100)</f>
        <v>0</v>
      </c>
      <c r="I101" s="1434"/>
      <c r="J101" s="1439">
        <f>SUM(J93:K100)</f>
        <v>0</v>
      </c>
      <c r="K101" s="1440"/>
      <c r="L101" s="762"/>
      <c r="M101" s="762"/>
      <c r="T101" s="735"/>
      <c r="U101" s="734"/>
      <c r="V101" s="736"/>
    </row>
    <row r="102" spans="2:22" ht="14.25" customHeight="1" thickBot="1" x14ac:dyDescent="0.35">
      <c r="G102" s="685" t="s">
        <v>540</v>
      </c>
      <c r="H102" s="1431">
        <f>H101*'Bauphysik - Wärmeschutz'!F21+H101</f>
        <v>0</v>
      </c>
      <c r="I102" s="1432"/>
      <c r="J102" s="740"/>
      <c r="T102" s="735"/>
      <c r="U102" s="734"/>
      <c r="V102" s="736"/>
    </row>
    <row r="103" spans="2:22" ht="14.55" x14ac:dyDescent="0.3">
      <c r="K103" s="741"/>
      <c r="T103" s="735"/>
      <c r="U103" s="734"/>
      <c r="V103" s="736"/>
    </row>
    <row r="104" spans="2:22" ht="15.2" thickBot="1" x14ac:dyDescent="0.35">
      <c r="T104" s="735"/>
      <c r="U104" s="734"/>
      <c r="V104" s="736"/>
    </row>
    <row r="105" spans="2:22" ht="15.2" thickBot="1" x14ac:dyDescent="0.35">
      <c r="B105" s="688" t="s">
        <v>105</v>
      </c>
      <c r="C105" s="689" t="s">
        <v>285</v>
      </c>
      <c r="D105" s="690" t="s">
        <v>286</v>
      </c>
      <c r="E105" s="690" t="s">
        <v>287</v>
      </c>
      <c r="F105" s="690" t="s">
        <v>288</v>
      </c>
      <c r="G105" s="690" t="s">
        <v>289</v>
      </c>
      <c r="H105" s="690" t="s">
        <v>290</v>
      </c>
      <c r="I105" s="690"/>
      <c r="J105" s="690"/>
      <c r="K105" s="690"/>
      <c r="L105" s="690"/>
      <c r="M105" s="690" t="s">
        <v>295</v>
      </c>
      <c r="N105" s="690" t="s">
        <v>296</v>
      </c>
      <c r="O105" s="690"/>
      <c r="P105" s="690"/>
      <c r="Q105" s="793" t="s">
        <v>360</v>
      </c>
      <c r="T105" s="735"/>
      <c r="U105" s="734"/>
      <c r="V105" s="736"/>
    </row>
    <row r="106" spans="2:22" ht="14.55" x14ac:dyDescent="0.3">
      <c r="B106" s="692">
        <f>IF(Überblick!$H$53&gt;=1,1,"")</f>
        <v>1</v>
      </c>
      <c r="C106" s="794">
        <f>IF($B106='Bauphysik - Wärmeschutz'!$U$37,'Bauphysik - Wärmeschutz'!$J$37*'Bauphysik - Wärmeschutz'!$F$21+'Bauphysik - Wärmeschutz'!$J$37+'Bauphysik - Wärmeschutz'!$R$37+'Bauphysik - Wärmeschutz'!$R$40+'Bauphysik - Wärmeschutz'!$R$39+'Bauphysik - Wärmeschutz'!$R$42,0)</f>
        <v>0</v>
      </c>
      <c r="D106" s="745">
        <f>IF($B106='Bauphysik - Wärmeschutz'!$U$44,'Bauphysik - Wärmeschutz'!$J$44*'Bauphysik - Wärmeschutz'!$F$21+'Bauphysik - Wärmeschutz'!$J$44+'Bauphysik - Wärmeschutz'!$L$56,0)</f>
        <v>0</v>
      </c>
      <c r="E106" s="745">
        <f>IF($B106='Bauphysik - Wärmeschutz'!$U$60,'Bauphysik - Wärmeschutz'!$J$60*'Bauphysik - Wärmeschutz'!$F$21+'Bauphysik - Wärmeschutz'!$J$60+'Bauphysik - Wärmeschutz'!$L$73,0)</f>
        <v>0</v>
      </c>
      <c r="F106" s="745">
        <f>IF($B106='Bauphysik - Wärmeschutz'!$U$77,'Bauphysik - Wärmeschutz'!$J$77*'Bauphysik - Wärmeschutz'!$F$21+'Bauphysik - Wärmeschutz'!$J$77+'Bauphysik - Wärmeschutz'!$L$88,0)</f>
        <v>0</v>
      </c>
      <c r="G106" s="745">
        <f>IF($B106='Bauphysik - Wärmeschutz'!$U$89,'Bauphysik - Wärmeschutz'!$J$89*'Bauphysik - Wärmeschutz'!$F$21+'Bauphysik - Wärmeschutz'!$J$89+'Bauphysik - Wärmeschutz'!$R$89+'Bauphysik - Wärmeschutz'!$R$90+'Bauphysik - Wärmeschutz'!$R$91,0)</f>
        <v>0</v>
      </c>
      <c r="H106" s="745">
        <f>IF($B106='Bauphysik - Wärmeschutz'!$U$92,'Bauphysik - Wärmeschutz'!$J$92*'Bauphysik - Wärmeschutz'!$F$21+'Bauphysik - Wärmeschutz'!$J$92+'Bauphysik - Wärmeschutz'!$R$92,0)</f>
        <v>0</v>
      </c>
      <c r="I106" s="745"/>
      <c r="J106" s="745"/>
      <c r="K106" s="745"/>
      <c r="L106" s="745"/>
      <c r="M106" s="745">
        <f>IF($B106='Bauphysik - Wärmeschutz'!$U$96,'Bauphysik - Wärmeschutz'!$J$96*'Bauphysik - Wärmeschutz'!$F$21+'Bauphysik - Wärmeschutz'!$J$96+'Bauphysik - Wärmeschutz'!$L$102,0)</f>
        <v>0</v>
      </c>
      <c r="N106" s="745">
        <f>IF($B106='Bauphysik - Wärmeschutz'!$U$103,'Bauphysik - Wärmeschutz'!$J$103*'Bauphysik - Wärmeschutz'!$F$21+'Bauphysik - Wärmeschutz'!$J$103+'Bauphysik - Wärmeschutz'!$L$109,0)</f>
        <v>0</v>
      </c>
      <c r="O106" s="745"/>
      <c r="P106" s="745"/>
      <c r="Q106" s="795">
        <f>SUM(C106:P106)</f>
        <v>0</v>
      </c>
      <c r="T106" s="735"/>
      <c r="U106" s="734"/>
      <c r="V106" s="736"/>
    </row>
    <row r="107" spans="2:22" ht="14.55" x14ac:dyDescent="0.3">
      <c r="B107" s="696">
        <f>IF(Überblick!$H$53&gt;=2,2,"")</f>
        <v>2</v>
      </c>
      <c r="C107" s="796">
        <f>IF($B107='Bauphysik - Wärmeschutz'!$U$37,'Bauphysik - Wärmeschutz'!$J$37*'Bauphysik - Wärmeschutz'!$F$21+'Bauphysik - Wärmeschutz'!$J$37+'Bauphysik - Wärmeschutz'!$R$37+'Bauphysik - Wärmeschutz'!$R$40,0)</f>
        <v>0</v>
      </c>
      <c r="D107" s="749">
        <f>IF($B107='Bauphysik - Wärmeschutz'!$U$44,'Bauphysik - Wärmeschutz'!$J$44*'Bauphysik - Wärmeschutz'!$F$21+'Bauphysik - Wärmeschutz'!$J$44+'Bauphysik - Wärmeschutz'!$L$56,0)</f>
        <v>0</v>
      </c>
      <c r="E107" s="749">
        <f>IF($B107='Bauphysik - Wärmeschutz'!$U$60,'Bauphysik - Wärmeschutz'!$J$60*'Bauphysik - Wärmeschutz'!$F$21+'Bauphysik - Wärmeschutz'!$J$60+'Bauphysik - Wärmeschutz'!$L$73,0)</f>
        <v>0</v>
      </c>
      <c r="F107" s="749">
        <f>IF($B107='Bauphysik - Wärmeschutz'!$U$77,'Bauphysik - Wärmeschutz'!$J$77*'Bauphysik - Wärmeschutz'!$F$21+'Bauphysik - Wärmeschutz'!$J$77+'Bauphysik - Wärmeschutz'!$L$88,0)</f>
        <v>0</v>
      </c>
      <c r="G107" s="749">
        <f>IF($B107='Bauphysik - Wärmeschutz'!$U$89,'Bauphysik - Wärmeschutz'!$J$89*'Bauphysik - Wärmeschutz'!$F$21+'Bauphysik - Wärmeschutz'!$J$89+'Bauphysik - Wärmeschutz'!$R$89+'Bauphysik - Wärmeschutz'!$R$90+'Bauphysik - Wärmeschutz'!$R$91,0)</f>
        <v>0</v>
      </c>
      <c r="H107" s="749">
        <f>IF($B107='Bauphysik - Wärmeschutz'!$U$92,'Bauphysik - Wärmeschutz'!$J$92*'Bauphysik - Wärmeschutz'!$F$21+'Bauphysik - Wärmeschutz'!$J$92+'Bauphysik - Wärmeschutz'!$R$92,0)</f>
        <v>0</v>
      </c>
      <c r="I107" s="749"/>
      <c r="J107" s="749"/>
      <c r="K107" s="749"/>
      <c r="L107" s="749"/>
      <c r="M107" s="749">
        <f>IF($B107='Bauphysik - Wärmeschutz'!$U$96,'Bauphysik - Wärmeschutz'!$J$96*'Bauphysik - Wärmeschutz'!$F$21+'Bauphysik - Wärmeschutz'!$J$96+'Bauphysik - Wärmeschutz'!$L$102,0)</f>
        <v>0</v>
      </c>
      <c r="N107" s="749">
        <f>IF($B107='Bauphysik - Wärmeschutz'!$U$103,'Bauphysik - Wärmeschutz'!$J$103*'Bauphysik - Wärmeschutz'!$F$21+'Bauphysik - Wärmeschutz'!$J$103+'Bauphysik - Wärmeschutz'!$L$109,0)</f>
        <v>0</v>
      </c>
      <c r="O107" s="749"/>
      <c r="P107" s="749"/>
      <c r="Q107" s="797">
        <f t="shared" ref="Q107:Q113" si="8">SUM(C107:P107)</f>
        <v>0</v>
      </c>
      <c r="T107" s="735"/>
      <c r="U107" s="734"/>
      <c r="V107" s="736"/>
    </row>
    <row r="108" spans="2:22" ht="14.55" x14ac:dyDescent="0.3">
      <c r="B108" s="696">
        <f>IF(Überblick!$H$53&gt;=3,3,"")</f>
        <v>3</v>
      </c>
      <c r="C108" s="796">
        <f>IF($B108='Bauphysik - Wärmeschutz'!$U$37,'Bauphysik - Wärmeschutz'!$J$37*'Bauphysik - Wärmeschutz'!$F$21+'Bauphysik - Wärmeschutz'!$J$37+'Bauphysik - Wärmeschutz'!$R$37+'Bauphysik - Wärmeschutz'!$R$40,0)</f>
        <v>0</v>
      </c>
      <c r="D108" s="749">
        <f>IF($B108='Bauphysik - Wärmeschutz'!$U$44,'Bauphysik - Wärmeschutz'!$J$44*'Bauphysik - Wärmeschutz'!$F$21+'Bauphysik - Wärmeschutz'!$J$44+'Bauphysik - Wärmeschutz'!$L$56,0)</f>
        <v>0</v>
      </c>
      <c r="E108" s="749">
        <f>IF($B108='Bauphysik - Wärmeschutz'!$U$60,'Bauphysik - Wärmeschutz'!$J$60*'Bauphysik - Wärmeschutz'!$F$21+'Bauphysik - Wärmeschutz'!$J$60+'Bauphysik - Wärmeschutz'!$L$73,0)</f>
        <v>0</v>
      </c>
      <c r="F108" s="749">
        <f>IF($B108='Bauphysik - Wärmeschutz'!$U$77,'Bauphysik - Wärmeschutz'!$J$77*'Bauphysik - Wärmeschutz'!$F$21+'Bauphysik - Wärmeschutz'!$J$77+'Bauphysik - Wärmeschutz'!$L$88,0)</f>
        <v>0</v>
      </c>
      <c r="G108" s="749">
        <f>IF($B108='Bauphysik - Wärmeschutz'!$U$89,'Bauphysik - Wärmeschutz'!$J$89*'Bauphysik - Wärmeschutz'!$F$21+'Bauphysik - Wärmeschutz'!$J$89+'Bauphysik - Wärmeschutz'!$R$89+'Bauphysik - Wärmeschutz'!$R$90+'Bauphysik - Wärmeschutz'!$R$91,0)</f>
        <v>0</v>
      </c>
      <c r="H108" s="749">
        <f>IF($B108='Bauphysik - Wärmeschutz'!$U$92,'Bauphysik - Wärmeschutz'!$J$92*'Bauphysik - Wärmeschutz'!$F$21+'Bauphysik - Wärmeschutz'!$J$92+'Bauphysik - Wärmeschutz'!$R$92,0)</f>
        <v>0</v>
      </c>
      <c r="I108" s="749"/>
      <c r="J108" s="749"/>
      <c r="K108" s="749"/>
      <c r="L108" s="749"/>
      <c r="M108" s="749">
        <f>IF($B108='Bauphysik - Wärmeschutz'!$U$96,'Bauphysik - Wärmeschutz'!$J$96*'Bauphysik - Wärmeschutz'!$F$21+'Bauphysik - Wärmeschutz'!$J$96+'Bauphysik - Wärmeschutz'!$L$102,0)</f>
        <v>0</v>
      </c>
      <c r="N108" s="749">
        <f>IF($B108='Bauphysik - Wärmeschutz'!$U$103,'Bauphysik - Wärmeschutz'!$J$103*'Bauphysik - Wärmeschutz'!$F$21+'Bauphysik - Wärmeschutz'!$J$103+'Bauphysik - Wärmeschutz'!$L$109,0)</f>
        <v>0</v>
      </c>
      <c r="O108" s="749"/>
      <c r="P108" s="749"/>
      <c r="Q108" s="797">
        <f t="shared" si="8"/>
        <v>0</v>
      </c>
      <c r="T108" s="735"/>
      <c r="U108" s="734"/>
      <c r="V108" s="736"/>
    </row>
    <row r="109" spans="2:22" ht="14.55" x14ac:dyDescent="0.3">
      <c r="B109" s="696">
        <f>IF(Überblick!$H$53&gt;=4,4,"")</f>
        <v>4</v>
      </c>
      <c r="C109" s="796">
        <f>IF($B109='Bauphysik - Wärmeschutz'!$U$37,'Bauphysik - Wärmeschutz'!$J$37*'Bauphysik - Wärmeschutz'!$F$21+'Bauphysik - Wärmeschutz'!$J$37+'Bauphysik - Wärmeschutz'!$R$37+'Bauphysik - Wärmeschutz'!$R$40,0)</f>
        <v>0</v>
      </c>
      <c r="D109" s="749">
        <f>IF($B109='Bauphysik - Wärmeschutz'!$U$44,'Bauphysik - Wärmeschutz'!$J$44*'Bauphysik - Wärmeschutz'!$F$21+'Bauphysik - Wärmeschutz'!$J$44+'Bauphysik - Wärmeschutz'!$L$56,0)</f>
        <v>0</v>
      </c>
      <c r="E109" s="749">
        <f>IF($B109='Bauphysik - Wärmeschutz'!$U$60,'Bauphysik - Wärmeschutz'!$J$60*'Bauphysik - Wärmeschutz'!$F$21+'Bauphysik - Wärmeschutz'!$J$60+'Bauphysik - Wärmeschutz'!$L$73,0)</f>
        <v>0</v>
      </c>
      <c r="F109" s="749">
        <f>IF($B109='Bauphysik - Wärmeschutz'!$U$77,'Bauphysik - Wärmeschutz'!$J$77*'Bauphysik - Wärmeschutz'!$F$21+'Bauphysik - Wärmeschutz'!$J$77+'Bauphysik - Wärmeschutz'!$L$88,0)</f>
        <v>0</v>
      </c>
      <c r="G109" s="749">
        <f>IF($B109='Bauphysik - Wärmeschutz'!$U$89,'Bauphysik - Wärmeschutz'!$J$89*'Bauphysik - Wärmeschutz'!$F$21+'Bauphysik - Wärmeschutz'!$J$89+'Bauphysik - Wärmeschutz'!$R$89+'Bauphysik - Wärmeschutz'!$R$90+'Bauphysik - Wärmeschutz'!$R$91,0)</f>
        <v>0</v>
      </c>
      <c r="H109" s="749">
        <f>IF($B109='Bauphysik - Wärmeschutz'!$U$92,'Bauphysik - Wärmeschutz'!$J$92*'Bauphysik - Wärmeschutz'!$F$21+'Bauphysik - Wärmeschutz'!$J$92+'Bauphysik - Wärmeschutz'!$R$92,0)</f>
        <v>0</v>
      </c>
      <c r="I109" s="749"/>
      <c r="J109" s="749"/>
      <c r="K109" s="749"/>
      <c r="L109" s="749"/>
      <c r="M109" s="749">
        <f>IF($B109='Bauphysik - Wärmeschutz'!$U$96,'Bauphysik - Wärmeschutz'!$J$96*'Bauphysik - Wärmeschutz'!$F$21+'Bauphysik - Wärmeschutz'!$J$96+'Bauphysik - Wärmeschutz'!$L$102,0)</f>
        <v>0</v>
      </c>
      <c r="N109" s="749">
        <f>IF($B109='Bauphysik - Wärmeschutz'!$U$103,'Bauphysik - Wärmeschutz'!$J$103*'Bauphysik - Wärmeschutz'!$F$21+'Bauphysik - Wärmeschutz'!$J$103+'Bauphysik - Wärmeschutz'!$L$109,0)</f>
        <v>0</v>
      </c>
      <c r="O109" s="749"/>
      <c r="P109" s="749"/>
      <c r="Q109" s="797">
        <f>SUM(C109:P109)</f>
        <v>0</v>
      </c>
      <c r="T109" s="735"/>
      <c r="U109" s="734"/>
      <c r="V109" s="736"/>
    </row>
    <row r="110" spans="2:22" ht="14.55" x14ac:dyDescent="0.3">
      <c r="B110" s="696">
        <f>IF(Überblick!$H$53&gt;=5,5,"")</f>
        <v>5</v>
      </c>
      <c r="C110" s="796">
        <f>IF($B110='Bauphysik - Wärmeschutz'!$U$37,'Bauphysik - Wärmeschutz'!$J$37*'Bauphysik - Wärmeschutz'!$F$21+'Bauphysik - Wärmeschutz'!$J$37+'Bauphysik - Wärmeschutz'!$R$37+'Bauphysik - Wärmeschutz'!$R$40,0)</f>
        <v>0</v>
      </c>
      <c r="D110" s="749">
        <f>IF($B110='Bauphysik - Wärmeschutz'!$U$44,'Bauphysik - Wärmeschutz'!$J$44*'Bauphysik - Wärmeschutz'!$F$21+'Bauphysik - Wärmeschutz'!$J$44+'Bauphysik - Wärmeschutz'!$L$56,0)</f>
        <v>0</v>
      </c>
      <c r="E110" s="749">
        <f>IF($B110='Bauphysik - Wärmeschutz'!$U$60,'Bauphysik - Wärmeschutz'!$J$60*'Bauphysik - Wärmeschutz'!$F$21+'Bauphysik - Wärmeschutz'!$J$60+'Bauphysik - Wärmeschutz'!$L$73,0)</f>
        <v>0</v>
      </c>
      <c r="F110" s="749">
        <f>IF($B110='Bauphysik - Wärmeschutz'!$U$77,'Bauphysik - Wärmeschutz'!$J$77*'Bauphysik - Wärmeschutz'!$F$21+'Bauphysik - Wärmeschutz'!$J$77+'Bauphysik - Wärmeschutz'!$L$88,0)</f>
        <v>0</v>
      </c>
      <c r="G110" s="749">
        <f>IF($B110='Bauphysik - Wärmeschutz'!$U$89,'Bauphysik - Wärmeschutz'!$J$89*'Bauphysik - Wärmeschutz'!$F$21+'Bauphysik - Wärmeschutz'!$J$89+'Bauphysik - Wärmeschutz'!$R$89+'Bauphysik - Wärmeschutz'!$R$90+'Bauphysik - Wärmeschutz'!$R$91,0)</f>
        <v>0</v>
      </c>
      <c r="H110" s="749">
        <f>IF($B110='Bauphysik - Wärmeschutz'!$U$92,'Bauphysik - Wärmeschutz'!$J$92*'Bauphysik - Wärmeschutz'!$F$21+'Bauphysik - Wärmeschutz'!$J$92+'Bauphysik - Wärmeschutz'!$R$92,0)</f>
        <v>0</v>
      </c>
      <c r="I110" s="749"/>
      <c r="J110" s="749"/>
      <c r="K110" s="749"/>
      <c r="L110" s="749"/>
      <c r="M110" s="749">
        <f>IF($B110='Bauphysik - Wärmeschutz'!$U$96,'Bauphysik - Wärmeschutz'!$J$96*'Bauphysik - Wärmeschutz'!$F$21+'Bauphysik - Wärmeschutz'!$J$96+'Bauphysik - Wärmeschutz'!$L$102,0)</f>
        <v>0</v>
      </c>
      <c r="N110" s="749">
        <f>IF($B110='Bauphysik - Wärmeschutz'!$U$103,'Bauphysik - Wärmeschutz'!$J$103*'Bauphysik - Wärmeschutz'!$F$21+'Bauphysik - Wärmeschutz'!$J$103+'Bauphysik - Wärmeschutz'!$L$109,0)</f>
        <v>0</v>
      </c>
      <c r="O110" s="749"/>
      <c r="P110" s="749"/>
      <c r="Q110" s="797">
        <f t="shared" si="8"/>
        <v>0</v>
      </c>
      <c r="T110" s="735"/>
      <c r="U110" s="734"/>
      <c r="V110" s="736"/>
    </row>
    <row r="111" spans="2:22" ht="14.55" x14ac:dyDescent="0.3">
      <c r="B111" s="696">
        <f>IF(Überblick!$H$53&gt;=6,6,"")</f>
        <v>6</v>
      </c>
      <c r="C111" s="796">
        <f>IF($B111='Bauphysik - Wärmeschutz'!$U$37,'Bauphysik - Wärmeschutz'!$J$37*'Bauphysik - Wärmeschutz'!$F$21+'Bauphysik - Wärmeschutz'!$J$37+'Bauphysik - Wärmeschutz'!$R$37+'Bauphysik - Wärmeschutz'!$R$40,0)</f>
        <v>0</v>
      </c>
      <c r="D111" s="749">
        <f>IF($B111='Bauphysik - Wärmeschutz'!$U$44,'Bauphysik - Wärmeschutz'!$J$44*'Bauphysik - Wärmeschutz'!$F$21+'Bauphysik - Wärmeschutz'!$J$44+'Bauphysik - Wärmeschutz'!$L$56,0)</f>
        <v>0</v>
      </c>
      <c r="E111" s="749">
        <f>IF($B111='Bauphysik - Wärmeschutz'!$U$60,'Bauphysik - Wärmeschutz'!$J$60*'Bauphysik - Wärmeschutz'!$F$21+'Bauphysik - Wärmeschutz'!$J$60+'Bauphysik - Wärmeschutz'!$L$73,0)</f>
        <v>0</v>
      </c>
      <c r="F111" s="749">
        <f>IF($B111='Bauphysik - Wärmeschutz'!$U$77,'Bauphysik - Wärmeschutz'!$J$77*'Bauphysik - Wärmeschutz'!$F$21+'Bauphysik - Wärmeschutz'!$J$77+'Bauphysik - Wärmeschutz'!$L$88,0)</f>
        <v>0</v>
      </c>
      <c r="G111" s="749">
        <f>IF($B111='Bauphysik - Wärmeschutz'!$U$89,'Bauphysik - Wärmeschutz'!$J$89*'Bauphysik - Wärmeschutz'!$F$21+'Bauphysik - Wärmeschutz'!$J$89+'Bauphysik - Wärmeschutz'!$R$89+'Bauphysik - Wärmeschutz'!$R$90+'Bauphysik - Wärmeschutz'!$R$91,0)</f>
        <v>0</v>
      </c>
      <c r="H111" s="749">
        <f>IF($B111='Bauphysik - Wärmeschutz'!$U$92,'Bauphysik - Wärmeschutz'!$J$92*'Bauphysik - Wärmeschutz'!$F$21+'Bauphysik - Wärmeschutz'!$J$92+'Bauphysik - Wärmeschutz'!$R$92,0)</f>
        <v>0</v>
      </c>
      <c r="I111" s="749"/>
      <c r="J111" s="749"/>
      <c r="K111" s="749"/>
      <c r="L111" s="749"/>
      <c r="M111" s="749">
        <f>IF($B111='Bauphysik - Wärmeschutz'!$U$96,'Bauphysik - Wärmeschutz'!$J$96*'Bauphysik - Wärmeschutz'!$F$21+'Bauphysik - Wärmeschutz'!$J$96+'Bauphysik - Wärmeschutz'!$L$102,0)</f>
        <v>0</v>
      </c>
      <c r="N111" s="749">
        <f>IF($B111='Bauphysik - Wärmeschutz'!$U$103,'Bauphysik - Wärmeschutz'!$J$103*'Bauphysik - Wärmeschutz'!$F$21+'Bauphysik - Wärmeschutz'!$J$103+'Bauphysik - Wärmeschutz'!$L$109,0)</f>
        <v>0</v>
      </c>
      <c r="O111" s="749"/>
      <c r="P111" s="749"/>
      <c r="Q111" s="797">
        <f t="shared" si="8"/>
        <v>0</v>
      </c>
      <c r="T111" s="735"/>
      <c r="U111" s="734"/>
      <c r="V111" s="736"/>
    </row>
    <row r="112" spans="2:22" ht="14.55" x14ac:dyDescent="0.3">
      <c r="B112" s="696" t="str">
        <f>IF(Überblick!$H$53&gt;=7,7,"")</f>
        <v/>
      </c>
      <c r="C112" s="796">
        <f>IF($B112='Bauphysik - Wärmeschutz'!$U$37,'Bauphysik - Wärmeschutz'!$J$37*'Bauphysik - Wärmeschutz'!$F$21+'Bauphysik - Wärmeschutz'!$J$37+'Bauphysik - Wärmeschutz'!$R$37+'Bauphysik - Wärmeschutz'!$R$40,0)</f>
        <v>0</v>
      </c>
      <c r="D112" s="749">
        <f>IF($B112='Bauphysik - Wärmeschutz'!$U$44,'Bauphysik - Wärmeschutz'!$J$44*'Bauphysik - Wärmeschutz'!$F$21+'Bauphysik - Wärmeschutz'!$J$44+'Bauphysik - Wärmeschutz'!$L$56,0)</f>
        <v>0</v>
      </c>
      <c r="E112" s="749">
        <f>IF($B112='Bauphysik - Wärmeschutz'!$U$60,'Bauphysik - Wärmeschutz'!$J$60*'Bauphysik - Wärmeschutz'!$F$21+'Bauphysik - Wärmeschutz'!$J$60+'Bauphysik - Wärmeschutz'!$L$73,0)</f>
        <v>0</v>
      </c>
      <c r="F112" s="749">
        <f>IF($B112='Bauphysik - Wärmeschutz'!$U$77,'Bauphysik - Wärmeschutz'!$J$77*'Bauphysik - Wärmeschutz'!$F$21+'Bauphysik - Wärmeschutz'!$J$77+'Bauphysik - Wärmeschutz'!$L$88,0)</f>
        <v>0</v>
      </c>
      <c r="G112" s="749">
        <f>IF($B112='Bauphysik - Wärmeschutz'!$U$89,'Bauphysik - Wärmeschutz'!$J$89*'Bauphysik - Wärmeschutz'!$F$21+'Bauphysik - Wärmeschutz'!$J$89+'Bauphysik - Wärmeschutz'!$R$89+'Bauphysik - Wärmeschutz'!$R$90+'Bauphysik - Wärmeschutz'!$R$91,0)</f>
        <v>0</v>
      </c>
      <c r="H112" s="749">
        <f>IF($B112='Bauphysik - Wärmeschutz'!$U$92,'Bauphysik - Wärmeschutz'!$J$92*'Bauphysik - Wärmeschutz'!$F$21+'Bauphysik - Wärmeschutz'!$J$92+'Bauphysik - Wärmeschutz'!$R$92,0)</f>
        <v>0</v>
      </c>
      <c r="I112" s="749"/>
      <c r="J112" s="749"/>
      <c r="K112" s="749"/>
      <c r="L112" s="749"/>
      <c r="M112" s="749">
        <f>IF($B112='Bauphysik - Wärmeschutz'!$U$96,'Bauphysik - Wärmeschutz'!$J$96*'Bauphysik - Wärmeschutz'!$F$21+'Bauphysik - Wärmeschutz'!$J$96+'Bauphysik - Wärmeschutz'!$L$102,0)</f>
        <v>0</v>
      </c>
      <c r="N112" s="749">
        <f>IF($B112='Bauphysik - Wärmeschutz'!$U$103,'Bauphysik - Wärmeschutz'!$J$103*'Bauphysik - Wärmeschutz'!$F$21+'Bauphysik - Wärmeschutz'!$J$103+'Bauphysik - Wärmeschutz'!$L$109,0)</f>
        <v>0</v>
      </c>
      <c r="O112" s="749"/>
      <c r="P112" s="749"/>
      <c r="Q112" s="797">
        <f t="shared" si="8"/>
        <v>0</v>
      </c>
      <c r="T112" s="735"/>
      <c r="U112" s="734"/>
      <c r="V112" s="736"/>
    </row>
    <row r="113" spans="2:22" ht="14.55" x14ac:dyDescent="0.3">
      <c r="B113" s="696" t="str">
        <f>IF(Überblick!$H$53&gt;=8,8,"")</f>
        <v/>
      </c>
      <c r="C113" s="796">
        <f>IF($B113='Bauphysik - Wärmeschutz'!$U$37,'Bauphysik - Wärmeschutz'!$J$37*'Bauphysik - Wärmeschutz'!$F$21+'Bauphysik - Wärmeschutz'!$J$37+'Bauphysik - Wärmeschutz'!$R$37+'Bauphysik - Wärmeschutz'!$R$40,0)</f>
        <v>0</v>
      </c>
      <c r="D113" s="749">
        <f>IF($B113='Bauphysik - Wärmeschutz'!$U$44,'Bauphysik - Wärmeschutz'!$J$44*'Bauphysik - Wärmeschutz'!$F$21+'Bauphysik - Wärmeschutz'!$J$44+'Bauphysik - Wärmeschutz'!$L$56,0)</f>
        <v>0</v>
      </c>
      <c r="E113" s="749">
        <f>IF($B113='Bauphysik - Wärmeschutz'!$U$60,'Bauphysik - Wärmeschutz'!$J$60*'Bauphysik - Wärmeschutz'!$F$21+'Bauphysik - Wärmeschutz'!$J$60+'Bauphysik - Wärmeschutz'!$L$73,0)</f>
        <v>0</v>
      </c>
      <c r="F113" s="749">
        <f>IF($B113='Bauphysik - Wärmeschutz'!$U$77,'Bauphysik - Wärmeschutz'!$J$77*'Bauphysik - Wärmeschutz'!$F$21+'Bauphysik - Wärmeschutz'!$J$77+'Bauphysik - Wärmeschutz'!$L$88,0)</f>
        <v>0</v>
      </c>
      <c r="G113" s="749">
        <f>IF($B113='Bauphysik - Wärmeschutz'!$U$89,'Bauphysik - Wärmeschutz'!$J$89*'Bauphysik - Wärmeschutz'!$F$21+'Bauphysik - Wärmeschutz'!$J$89+'Bauphysik - Wärmeschutz'!$R$89+'Bauphysik - Wärmeschutz'!$R$90+'Bauphysik - Wärmeschutz'!$R$91,0)</f>
        <v>0</v>
      </c>
      <c r="H113" s="749">
        <f>IF($B113='Bauphysik - Wärmeschutz'!$U$92,'Bauphysik - Wärmeschutz'!$J$92*'Bauphysik - Wärmeschutz'!$F$21+'Bauphysik - Wärmeschutz'!$J$92+'Bauphysik - Wärmeschutz'!$R$92,0)</f>
        <v>0</v>
      </c>
      <c r="I113" s="749"/>
      <c r="J113" s="749"/>
      <c r="K113" s="749"/>
      <c r="L113" s="749"/>
      <c r="M113" s="749">
        <f>IF($B113='Bauphysik - Wärmeschutz'!$U$96,'Bauphysik - Wärmeschutz'!$J$96*'Bauphysik - Wärmeschutz'!$F$21+'Bauphysik - Wärmeschutz'!$J$96+'Bauphysik - Wärmeschutz'!$L$102,0)</f>
        <v>0</v>
      </c>
      <c r="N113" s="749">
        <f>IF($B113='Bauphysik - Wärmeschutz'!$U$103,'Bauphysik - Wärmeschutz'!$J$103*'Bauphysik - Wärmeschutz'!$F$21+'Bauphysik - Wärmeschutz'!$J$103+'Bauphysik - Wärmeschutz'!$L$109,0)</f>
        <v>0</v>
      </c>
      <c r="O113" s="749"/>
      <c r="P113" s="749"/>
      <c r="Q113" s="797">
        <f t="shared" si="8"/>
        <v>0</v>
      </c>
      <c r="T113" s="735"/>
      <c r="U113" s="734"/>
      <c r="V113" s="736"/>
    </row>
    <row r="114" spans="2:22" ht="15.2" thickBot="1" x14ac:dyDescent="0.35">
      <c r="B114" s="700" t="str">
        <f>IF(Überblick!$H$53&gt;=9,9,"")</f>
        <v/>
      </c>
      <c r="C114" s="798">
        <f>IF($B114='Bauphysik - Wärmeschutz'!$U$37,'Bauphysik - Wärmeschutz'!$J$37*'Bauphysik - Wärmeschutz'!$F$21+'Bauphysik - Wärmeschutz'!$J$37+'Bauphysik - Wärmeschutz'!$R$37+'Bauphysik - Wärmeschutz'!$R$40,0)</f>
        <v>0</v>
      </c>
      <c r="D114" s="754">
        <f>IF($B114='Bauphysik - Wärmeschutz'!$U$44,'Bauphysik - Wärmeschutz'!$J$44*'Bauphysik - Wärmeschutz'!$F$21+'Bauphysik - Wärmeschutz'!$J$44+'Bauphysik - Wärmeschutz'!$L$56,0)</f>
        <v>0</v>
      </c>
      <c r="E114" s="754">
        <f>IF($B114='Bauphysik - Wärmeschutz'!$U$60,'Bauphysik - Wärmeschutz'!$J$60*'Bauphysik - Wärmeschutz'!$F$21+'Bauphysik - Wärmeschutz'!$J$60+'Bauphysik - Wärmeschutz'!$L$73,0)</f>
        <v>0</v>
      </c>
      <c r="F114" s="754">
        <f>IF($B114='Bauphysik - Wärmeschutz'!$U$77,'Bauphysik - Wärmeschutz'!$J$77*'Bauphysik - Wärmeschutz'!$F$21+'Bauphysik - Wärmeschutz'!$J$77+'Bauphysik - Wärmeschutz'!$L$88,0)</f>
        <v>0</v>
      </c>
      <c r="G114" s="754">
        <f>IF($B114='Bauphysik - Wärmeschutz'!$U$89,'Bauphysik - Wärmeschutz'!$J$89*'Bauphysik - Wärmeschutz'!$F$21+'Bauphysik - Wärmeschutz'!$J$89+'Bauphysik - Wärmeschutz'!$R$89+'Bauphysik - Wärmeschutz'!$R$90+'Bauphysik - Wärmeschutz'!$R$91,0)</f>
        <v>0</v>
      </c>
      <c r="H114" s="754">
        <f>IF($B114='Bauphysik - Wärmeschutz'!$U$92,'Bauphysik - Wärmeschutz'!$J$92*'Bauphysik - Wärmeschutz'!$F$21+'Bauphysik - Wärmeschutz'!$J$92+'Bauphysik - Wärmeschutz'!$R$92,0)</f>
        <v>0</v>
      </c>
      <c r="I114" s="754"/>
      <c r="J114" s="754"/>
      <c r="K114" s="754"/>
      <c r="L114" s="754"/>
      <c r="M114" s="754">
        <f>IF($B114='Bauphysik - Wärmeschutz'!$U$96,'Bauphysik - Wärmeschutz'!$J$96*'Bauphysik - Wärmeschutz'!$F$21+'Bauphysik - Wärmeschutz'!$J$96+'Bauphysik - Wärmeschutz'!$L$102,0)</f>
        <v>0</v>
      </c>
      <c r="N114" s="754">
        <f>IF($B114='Bauphysik - Wärmeschutz'!$U$103,'Bauphysik - Wärmeschutz'!$J$103*'Bauphysik - Wärmeschutz'!$F$21+'Bauphysik - Wärmeschutz'!$J$103+'Bauphysik - Wärmeschutz'!$L$109,0)</f>
        <v>0</v>
      </c>
      <c r="O114" s="754"/>
      <c r="P114" s="754"/>
      <c r="Q114" s="799">
        <f t="shared" ref="Q114" si="9">SUM(C114:P114)</f>
        <v>0</v>
      </c>
      <c r="T114" s="735"/>
      <c r="U114" s="734"/>
      <c r="V114" s="736"/>
    </row>
    <row r="115" spans="2:22" ht="15.2" thickBot="1" x14ac:dyDescent="0.35">
      <c r="Q115" s="800">
        <f>SUM(Q106:Q114)</f>
        <v>0</v>
      </c>
      <c r="T115" s="735"/>
      <c r="U115" s="734"/>
      <c r="V115" s="736"/>
    </row>
    <row r="116" spans="2:22" ht="14.55" x14ac:dyDescent="0.3">
      <c r="T116" s="735"/>
      <c r="U116" s="734"/>
      <c r="V116" s="736"/>
    </row>
    <row r="117" spans="2:22" ht="14.55" x14ac:dyDescent="0.3">
      <c r="T117" s="735"/>
      <c r="U117" s="734"/>
      <c r="V117" s="736"/>
    </row>
    <row r="118" spans="2:22" ht="14.55" x14ac:dyDescent="0.3">
      <c r="T118" s="735"/>
      <c r="U118" s="734"/>
      <c r="V118" s="736"/>
    </row>
    <row r="119" spans="2:22" ht="14.55" x14ac:dyDescent="0.3">
      <c r="T119" s="735"/>
      <c r="U119" s="734"/>
      <c r="V119" s="736"/>
    </row>
    <row r="120" spans="2:22" ht="14.55" x14ac:dyDescent="0.3">
      <c r="T120" s="735"/>
      <c r="U120" s="734"/>
      <c r="V120" s="736"/>
    </row>
    <row r="121" spans="2:22" ht="14.55" x14ac:dyDescent="0.3">
      <c r="T121" s="735"/>
      <c r="U121" s="734"/>
      <c r="V121" s="736"/>
    </row>
    <row r="122" spans="2:22" ht="14.55" x14ac:dyDescent="0.3">
      <c r="T122" s="735"/>
      <c r="U122" s="734"/>
      <c r="V122" s="736"/>
    </row>
    <row r="123" spans="2:22" ht="14.55" x14ac:dyDescent="0.3">
      <c r="T123" s="735"/>
      <c r="U123" s="734"/>
      <c r="V123" s="736"/>
    </row>
    <row r="124" spans="2:22" ht="14.55" x14ac:dyDescent="0.3">
      <c r="T124" s="735"/>
      <c r="U124" s="734"/>
      <c r="V124" s="736"/>
    </row>
    <row r="125" spans="2:22" ht="14.55" x14ac:dyDescent="0.3">
      <c r="T125" s="735"/>
      <c r="U125" s="734"/>
      <c r="V125" s="736"/>
    </row>
    <row r="126" spans="2:22" ht="14.55" x14ac:dyDescent="0.3">
      <c r="T126" s="735"/>
      <c r="U126" s="734"/>
      <c r="V126" s="736"/>
    </row>
    <row r="127" spans="2:22" ht="14.55" x14ac:dyDescent="0.3">
      <c r="T127" s="735"/>
      <c r="U127" s="734"/>
      <c r="V127" s="736"/>
    </row>
    <row r="128" spans="2:22" ht="14.55" x14ac:dyDescent="0.3">
      <c r="T128" s="735"/>
      <c r="U128" s="734"/>
      <c r="V128" s="736"/>
    </row>
    <row r="129" spans="20:22" ht="14.55" x14ac:dyDescent="0.3">
      <c r="T129" s="735"/>
      <c r="U129" s="734"/>
      <c r="V129" s="736"/>
    </row>
    <row r="130" spans="20:22" ht="14.55" x14ac:dyDescent="0.3">
      <c r="T130" s="735"/>
      <c r="U130" s="734"/>
      <c r="V130" s="736"/>
    </row>
    <row r="131" spans="20:22" ht="14.55" x14ac:dyDescent="0.3">
      <c r="T131" s="735"/>
      <c r="U131" s="734"/>
      <c r="V131" s="736"/>
    </row>
    <row r="132" spans="20:22" ht="14.55" x14ac:dyDescent="0.3">
      <c r="T132" s="735"/>
      <c r="U132" s="734"/>
      <c r="V132" s="736"/>
    </row>
    <row r="133" spans="20:22" ht="14.55" x14ac:dyDescent="0.3">
      <c r="T133" s="735"/>
      <c r="U133" s="734"/>
      <c r="V133" s="736"/>
    </row>
    <row r="134" spans="20:22" ht="14.55" x14ac:dyDescent="0.3">
      <c r="T134" s="735"/>
      <c r="U134" s="734"/>
      <c r="V134" s="736"/>
    </row>
    <row r="135" spans="20:22" ht="14.55" x14ac:dyDescent="0.3">
      <c r="T135" s="735"/>
      <c r="U135" s="734"/>
      <c r="V135" s="736"/>
    </row>
    <row r="136" spans="20:22" ht="14.55" x14ac:dyDescent="0.3">
      <c r="T136" s="735"/>
      <c r="U136" s="734"/>
      <c r="V136" s="736"/>
    </row>
    <row r="137" spans="20:22" ht="14.55" x14ac:dyDescent="0.3">
      <c r="T137" s="735"/>
      <c r="U137" s="734"/>
      <c r="V137" s="736"/>
    </row>
    <row r="138" spans="20:22" ht="14.55" x14ac:dyDescent="0.3">
      <c r="T138" s="735"/>
      <c r="U138" s="734"/>
      <c r="V138" s="736"/>
    </row>
    <row r="139" spans="20:22" ht="14.55" x14ac:dyDescent="0.3">
      <c r="T139" s="735"/>
      <c r="U139" s="734"/>
      <c r="V139" s="736"/>
    </row>
    <row r="140" spans="20:22" ht="14.55" x14ac:dyDescent="0.3">
      <c r="T140" s="735"/>
      <c r="U140" s="734"/>
      <c r="V140" s="736"/>
    </row>
    <row r="141" spans="20:22" ht="14.55" x14ac:dyDescent="0.3">
      <c r="T141" s="735"/>
      <c r="U141" s="734"/>
      <c r="V141" s="736"/>
    </row>
    <row r="142" spans="20:22" ht="14.55" x14ac:dyDescent="0.3">
      <c r="T142" s="735"/>
      <c r="U142" s="734"/>
      <c r="V142" s="736"/>
    </row>
    <row r="143" spans="20:22" ht="14.55" x14ac:dyDescent="0.3">
      <c r="T143" s="735"/>
      <c r="U143" s="734"/>
      <c r="V143" s="736"/>
    </row>
    <row r="144" spans="20:22" ht="14.55" x14ac:dyDescent="0.3">
      <c r="T144" s="735"/>
      <c r="U144" s="734"/>
      <c r="V144" s="736"/>
    </row>
    <row r="145" spans="20:22" ht="14.55" x14ac:dyDescent="0.3">
      <c r="T145" s="735"/>
      <c r="U145" s="734"/>
      <c r="V145" s="736"/>
    </row>
    <row r="146" spans="20:22" ht="14.55" x14ac:dyDescent="0.3">
      <c r="T146" s="735"/>
      <c r="U146" s="734"/>
      <c r="V146" s="736"/>
    </row>
    <row r="147" spans="20:22" ht="14.55" x14ac:dyDescent="0.3">
      <c r="T147" s="735"/>
      <c r="U147" s="734"/>
      <c r="V147" s="736"/>
    </row>
    <row r="148" spans="20:22" ht="14.55" x14ac:dyDescent="0.3">
      <c r="T148" s="735"/>
      <c r="U148" s="734"/>
      <c r="V148" s="736"/>
    </row>
    <row r="149" spans="20:22" ht="14.55" x14ac:dyDescent="0.3">
      <c r="T149" s="735"/>
      <c r="U149" s="734"/>
      <c r="V149" s="736"/>
    </row>
    <row r="150" spans="20:22" ht="14.55" x14ac:dyDescent="0.3">
      <c r="T150" s="735"/>
      <c r="U150" s="734"/>
      <c r="V150" s="736"/>
    </row>
    <row r="151" spans="20:22" ht="14.55" x14ac:dyDescent="0.3">
      <c r="T151" s="735"/>
      <c r="U151" s="734"/>
      <c r="V151" s="736"/>
    </row>
    <row r="152" spans="20:22" ht="14.55" x14ac:dyDescent="0.3">
      <c r="T152" s="735"/>
      <c r="U152" s="734"/>
      <c r="V152" s="736"/>
    </row>
    <row r="153" spans="20:22" ht="14.55" x14ac:dyDescent="0.3">
      <c r="T153" s="735"/>
      <c r="U153" s="734"/>
      <c r="V153" s="736"/>
    </row>
    <row r="154" spans="20:22" ht="14.55" x14ac:dyDescent="0.3">
      <c r="T154" s="735"/>
      <c r="U154" s="734"/>
      <c r="V154" s="736"/>
    </row>
    <row r="155" spans="20:22" ht="14.55" x14ac:dyDescent="0.3">
      <c r="T155" s="735"/>
      <c r="U155" s="734"/>
      <c r="V155" s="736"/>
    </row>
    <row r="156" spans="20:22" ht="14.55" x14ac:dyDescent="0.3">
      <c r="T156" s="735"/>
      <c r="U156" s="734"/>
      <c r="V156" s="736"/>
    </row>
    <row r="157" spans="20:22" ht="14.55" x14ac:dyDescent="0.3">
      <c r="T157" s="735"/>
      <c r="U157" s="734"/>
      <c r="V157" s="736"/>
    </row>
    <row r="158" spans="20:22" ht="14.55" x14ac:dyDescent="0.3">
      <c r="T158" s="735"/>
      <c r="U158" s="734"/>
      <c r="V158" s="736"/>
    </row>
    <row r="159" spans="20:22" ht="14.55" x14ac:dyDescent="0.3">
      <c r="T159" s="735"/>
      <c r="U159" s="734"/>
      <c r="V159" s="736"/>
    </row>
    <row r="160" spans="20:22" ht="14.55" x14ac:dyDescent="0.3">
      <c r="T160" s="735"/>
      <c r="U160" s="734"/>
      <c r="V160" s="736"/>
    </row>
    <row r="161" spans="20:22" ht="14.55" x14ac:dyDescent="0.3">
      <c r="T161" s="735"/>
      <c r="U161" s="734"/>
      <c r="V161" s="736"/>
    </row>
    <row r="162" spans="20:22" ht="14.55" x14ac:dyDescent="0.3">
      <c r="T162" s="735"/>
      <c r="U162" s="734"/>
      <c r="V162" s="736"/>
    </row>
    <row r="163" spans="20:22" ht="14.55" x14ac:dyDescent="0.3">
      <c r="T163" s="735"/>
      <c r="U163" s="734"/>
      <c r="V163" s="736"/>
    </row>
    <row r="164" spans="20:22" ht="14.55" x14ac:dyDescent="0.3">
      <c r="T164" s="735"/>
      <c r="U164" s="734"/>
      <c r="V164" s="736"/>
    </row>
    <row r="165" spans="20:22" ht="14.55" x14ac:dyDescent="0.3">
      <c r="T165" s="735"/>
      <c r="U165" s="734"/>
      <c r="V165" s="736"/>
    </row>
    <row r="166" spans="20:22" ht="14.55" x14ac:dyDescent="0.3">
      <c r="T166" s="735"/>
      <c r="U166" s="734"/>
      <c r="V166" s="736"/>
    </row>
    <row r="167" spans="20:22" ht="14.55" x14ac:dyDescent="0.3">
      <c r="T167" s="735"/>
      <c r="U167" s="734"/>
      <c r="V167" s="736"/>
    </row>
    <row r="168" spans="20:22" ht="14.55" x14ac:dyDescent="0.3">
      <c r="T168" s="735"/>
      <c r="U168" s="734"/>
      <c r="V168" s="736"/>
    </row>
    <row r="169" spans="20:22" ht="14.55" x14ac:dyDescent="0.3">
      <c r="T169" s="735"/>
      <c r="U169" s="734"/>
      <c r="V169" s="758"/>
    </row>
    <row r="170" spans="20:22" ht="14.55" x14ac:dyDescent="0.3">
      <c r="T170" s="735"/>
      <c r="U170" s="734"/>
      <c r="V170" s="736"/>
    </row>
    <row r="171" spans="20:22" ht="14.55" x14ac:dyDescent="0.3">
      <c r="T171" s="735"/>
      <c r="U171" s="734"/>
      <c r="V171" s="736"/>
    </row>
    <row r="172" spans="20:22" ht="14.55" x14ac:dyDescent="0.3">
      <c r="T172" s="735"/>
      <c r="U172" s="734"/>
      <c r="V172" s="736"/>
    </row>
    <row r="173" spans="20:22" ht="14.55" x14ac:dyDescent="0.3">
      <c r="T173" s="735"/>
      <c r="U173" s="734"/>
      <c r="V173" s="736"/>
    </row>
    <row r="174" spans="20:22" ht="14.55" x14ac:dyDescent="0.3">
      <c r="T174" s="735"/>
      <c r="U174" s="734"/>
      <c r="V174" s="736"/>
    </row>
    <row r="175" spans="20:22" ht="14.55" x14ac:dyDescent="0.3">
      <c r="T175" s="735"/>
      <c r="U175" s="734"/>
      <c r="V175" s="736"/>
    </row>
    <row r="176" spans="20:22" ht="14.55" x14ac:dyDescent="0.3">
      <c r="T176" s="735"/>
      <c r="U176" s="734"/>
      <c r="V176" s="736"/>
    </row>
    <row r="177" spans="20:22" ht="14.55" x14ac:dyDescent="0.3">
      <c r="T177" s="735"/>
      <c r="U177" s="734"/>
      <c r="V177" s="736"/>
    </row>
    <row r="178" spans="20:22" ht="14.55" x14ac:dyDescent="0.3">
      <c r="T178" s="735"/>
      <c r="U178" s="734"/>
      <c r="V178" s="736"/>
    </row>
    <row r="179" spans="20:22" ht="14.55" x14ac:dyDescent="0.3">
      <c r="T179" s="735"/>
      <c r="U179" s="734"/>
      <c r="V179" s="736"/>
    </row>
    <row r="180" spans="20:22" ht="14.55" x14ac:dyDescent="0.3">
      <c r="T180" s="735"/>
      <c r="U180" s="734"/>
      <c r="V180" s="736"/>
    </row>
    <row r="181" spans="20:22" ht="14.55" x14ac:dyDescent="0.3">
      <c r="T181" s="735"/>
      <c r="U181" s="734"/>
      <c r="V181" s="736"/>
    </row>
    <row r="182" spans="20:22" ht="14.55" x14ac:dyDescent="0.3">
      <c r="T182" s="735"/>
      <c r="U182" s="734"/>
      <c r="V182" s="736"/>
    </row>
    <row r="183" spans="20:22" ht="14.55" x14ac:dyDescent="0.3">
      <c r="T183" s="735"/>
      <c r="U183" s="734"/>
      <c r="V183" s="736"/>
    </row>
    <row r="184" spans="20:22" ht="14.55" x14ac:dyDescent="0.3">
      <c r="T184" s="735"/>
      <c r="U184" s="734"/>
      <c r="V184" s="736"/>
    </row>
    <row r="185" spans="20:22" ht="14.55" x14ac:dyDescent="0.3">
      <c r="T185" s="735"/>
      <c r="U185" s="734"/>
      <c r="V185" s="736"/>
    </row>
    <row r="186" spans="20:22" ht="14.55" x14ac:dyDescent="0.3">
      <c r="T186" s="735"/>
      <c r="U186" s="734"/>
      <c r="V186" s="736"/>
    </row>
    <row r="187" spans="20:22" ht="14.55" x14ac:dyDescent="0.3">
      <c r="T187" s="735"/>
      <c r="U187" s="734"/>
      <c r="V187" s="736"/>
    </row>
    <row r="188" spans="20:22" ht="14.55" x14ac:dyDescent="0.3">
      <c r="T188" s="735"/>
      <c r="U188" s="734"/>
      <c r="V188" s="736"/>
    </row>
    <row r="189" spans="20:22" ht="14.55" x14ac:dyDescent="0.3">
      <c r="T189" s="735"/>
      <c r="U189" s="734"/>
      <c r="V189" s="736"/>
    </row>
    <row r="190" spans="20:22" ht="14.55" x14ac:dyDescent="0.3">
      <c r="T190" s="735"/>
      <c r="U190" s="734"/>
      <c r="V190" s="736"/>
    </row>
    <row r="191" spans="20:22" ht="14.55" x14ac:dyDescent="0.3">
      <c r="T191" s="735"/>
      <c r="U191" s="734"/>
      <c r="V191" s="736"/>
    </row>
    <row r="192" spans="20:22" ht="14.55" x14ac:dyDescent="0.3">
      <c r="T192" s="735"/>
      <c r="U192" s="734"/>
      <c r="V192" s="736"/>
    </row>
    <row r="193" spans="20:22" ht="14.55" x14ac:dyDescent="0.3">
      <c r="T193" s="735"/>
      <c r="U193" s="734"/>
      <c r="V193" s="736"/>
    </row>
    <row r="194" spans="20:22" ht="14.55" x14ac:dyDescent="0.3">
      <c r="T194" s="735"/>
      <c r="U194" s="734"/>
      <c r="V194" s="736"/>
    </row>
    <row r="195" spans="20:22" ht="14.55" x14ac:dyDescent="0.3">
      <c r="T195" s="735"/>
      <c r="U195" s="734"/>
      <c r="V195" s="736"/>
    </row>
    <row r="196" spans="20:22" ht="14.55" x14ac:dyDescent="0.3">
      <c r="T196" s="735"/>
      <c r="U196" s="734"/>
      <c r="V196" s="736"/>
    </row>
    <row r="197" spans="20:22" ht="14.55" x14ac:dyDescent="0.3">
      <c r="T197" s="735"/>
      <c r="U197" s="734"/>
      <c r="V197" s="736"/>
    </row>
    <row r="198" spans="20:22" ht="14.55" x14ac:dyDescent="0.3">
      <c r="T198" s="735"/>
      <c r="U198" s="734"/>
      <c r="V198" s="736"/>
    </row>
    <row r="199" spans="20:22" ht="14.55" x14ac:dyDescent="0.3">
      <c r="T199" s="735"/>
      <c r="U199" s="734"/>
      <c r="V199" s="736"/>
    </row>
    <row r="200" spans="20:22" ht="14.55" x14ac:dyDescent="0.3">
      <c r="T200" s="735"/>
      <c r="U200" s="734"/>
      <c r="V200" s="736"/>
    </row>
    <row r="201" spans="20:22" ht="14.55" x14ac:dyDescent="0.3">
      <c r="T201" s="735"/>
      <c r="U201" s="734"/>
      <c r="V201" s="736"/>
    </row>
    <row r="202" spans="20:22" ht="14.55" x14ac:dyDescent="0.3">
      <c r="T202" s="735"/>
      <c r="U202" s="734"/>
      <c r="V202" s="736"/>
    </row>
    <row r="203" spans="20:22" ht="14.55" x14ac:dyDescent="0.3">
      <c r="T203" s="735"/>
      <c r="U203" s="734"/>
      <c r="V203" s="736"/>
    </row>
    <row r="204" spans="20:22" ht="14.55" x14ac:dyDescent="0.3">
      <c r="T204" s="735"/>
      <c r="U204" s="734"/>
      <c r="V204" s="736"/>
    </row>
    <row r="205" spans="20:22" ht="14.55" x14ac:dyDescent="0.3">
      <c r="T205" s="735"/>
      <c r="U205" s="734"/>
      <c r="V205" s="736"/>
    </row>
    <row r="206" spans="20:22" ht="14.55" x14ac:dyDescent="0.3">
      <c r="T206" s="735"/>
      <c r="U206" s="734"/>
      <c r="V206" s="736"/>
    </row>
    <row r="207" spans="20:22" ht="14.55" x14ac:dyDescent="0.3">
      <c r="T207" s="735"/>
      <c r="U207" s="734"/>
      <c r="V207" s="736"/>
    </row>
    <row r="208" spans="20:22" ht="14.55" x14ac:dyDescent="0.3">
      <c r="T208" s="735"/>
      <c r="U208" s="734"/>
      <c r="V208" s="736"/>
    </row>
    <row r="209" spans="20:22" ht="14.55" x14ac:dyDescent="0.3">
      <c r="T209" s="735"/>
      <c r="U209" s="734"/>
      <c r="V209" s="736"/>
    </row>
    <row r="210" spans="20:22" ht="14.55" x14ac:dyDescent="0.3">
      <c r="T210" s="735"/>
      <c r="U210" s="734"/>
      <c r="V210" s="736"/>
    </row>
    <row r="211" spans="20:22" ht="14.55" x14ac:dyDescent="0.3">
      <c r="T211" s="735"/>
      <c r="U211" s="734"/>
      <c r="V211" s="736"/>
    </row>
    <row r="212" spans="20:22" ht="14.55" x14ac:dyDescent="0.3">
      <c r="T212" s="735"/>
      <c r="U212" s="734"/>
      <c r="V212" s="736"/>
    </row>
    <row r="213" spans="20:22" ht="14.55" x14ac:dyDescent="0.3">
      <c r="T213" s="735"/>
      <c r="U213" s="734"/>
      <c r="V213" s="736"/>
    </row>
    <row r="214" spans="20:22" ht="14.55" x14ac:dyDescent="0.3">
      <c r="T214" s="735"/>
      <c r="U214" s="734"/>
      <c r="V214" s="736"/>
    </row>
    <row r="215" spans="20:22" ht="14.55" x14ac:dyDescent="0.3">
      <c r="T215" s="735"/>
      <c r="U215" s="734"/>
      <c r="V215" s="736"/>
    </row>
    <row r="216" spans="20:22" ht="14.55" x14ac:dyDescent="0.3">
      <c r="T216" s="735"/>
      <c r="U216" s="734"/>
      <c r="V216" s="736"/>
    </row>
    <row r="217" spans="20:22" ht="14.55" x14ac:dyDescent="0.3">
      <c r="T217" s="735"/>
      <c r="U217" s="734"/>
      <c r="V217" s="736"/>
    </row>
    <row r="218" spans="20:22" ht="14.55" x14ac:dyDescent="0.3">
      <c r="T218" s="735"/>
      <c r="U218" s="734"/>
      <c r="V218" s="736"/>
    </row>
    <row r="219" spans="20:22" ht="14.55" x14ac:dyDescent="0.3">
      <c r="T219" s="735"/>
      <c r="U219" s="734"/>
      <c r="V219" s="736"/>
    </row>
    <row r="220" spans="20:22" ht="14.55" x14ac:dyDescent="0.3">
      <c r="T220" s="735"/>
      <c r="U220" s="734"/>
      <c r="V220" s="736"/>
    </row>
    <row r="221" spans="20:22" ht="14.55" x14ac:dyDescent="0.3">
      <c r="T221" s="735"/>
      <c r="U221" s="734"/>
      <c r="V221" s="736"/>
    </row>
    <row r="222" spans="20:22" ht="14.55" x14ac:dyDescent="0.3">
      <c r="T222" s="735"/>
      <c r="U222" s="734"/>
      <c r="V222" s="736"/>
    </row>
    <row r="223" spans="20:22" ht="14.55" x14ac:dyDescent="0.3">
      <c r="T223" s="735"/>
      <c r="U223" s="734"/>
      <c r="V223" s="736"/>
    </row>
    <row r="224" spans="20:22" ht="14.55" x14ac:dyDescent="0.3">
      <c r="T224" s="735"/>
      <c r="U224" s="734"/>
      <c r="V224" s="736"/>
    </row>
    <row r="225" spans="20:22" ht="14.55" x14ac:dyDescent="0.3">
      <c r="T225" s="735"/>
      <c r="U225" s="734"/>
      <c r="V225" s="736"/>
    </row>
    <row r="226" spans="20:22" ht="14.55" x14ac:dyDescent="0.3">
      <c r="T226" s="735"/>
      <c r="U226" s="734"/>
      <c r="V226" s="736"/>
    </row>
    <row r="227" spans="20:22" ht="14.55" x14ac:dyDescent="0.3">
      <c r="T227" s="735"/>
      <c r="U227" s="734"/>
      <c r="V227" s="736"/>
    </row>
    <row r="228" spans="20:22" ht="14.55" x14ac:dyDescent="0.3">
      <c r="T228" s="735"/>
      <c r="U228" s="734"/>
      <c r="V228" s="736"/>
    </row>
    <row r="229" spans="20:22" ht="14.55" x14ac:dyDescent="0.3">
      <c r="T229" s="735"/>
      <c r="U229" s="734"/>
      <c r="V229" s="736"/>
    </row>
    <row r="230" spans="20:22" ht="14.55" x14ac:dyDescent="0.3">
      <c r="T230" s="735"/>
      <c r="U230" s="734"/>
      <c r="V230" s="736"/>
    </row>
    <row r="231" spans="20:22" ht="14.55" x14ac:dyDescent="0.3">
      <c r="T231" s="735"/>
      <c r="U231" s="734"/>
      <c r="V231" s="736"/>
    </row>
    <row r="232" spans="20:22" ht="14.55" x14ac:dyDescent="0.3">
      <c r="T232" s="735"/>
      <c r="U232" s="734"/>
      <c r="V232" s="736"/>
    </row>
    <row r="233" spans="20:22" ht="14.55" x14ac:dyDescent="0.3">
      <c r="T233" s="735"/>
      <c r="U233" s="734"/>
      <c r="V233" s="736"/>
    </row>
    <row r="234" spans="20:22" ht="14.55" x14ac:dyDescent="0.3">
      <c r="T234" s="735"/>
      <c r="U234" s="734"/>
      <c r="V234" s="736"/>
    </row>
    <row r="235" spans="20:22" ht="14.55" x14ac:dyDescent="0.3">
      <c r="T235" s="735"/>
      <c r="U235" s="734"/>
      <c r="V235" s="736"/>
    </row>
    <row r="236" spans="20:22" ht="14.55" x14ac:dyDescent="0.3">
      <c r="T236" s="735"/>
      <c r="U236" s="734"/>
      <c r="V236" s="736"/>
    </row>
    <row r="237" spans="20:22" ht="14.55" x14ac:dyDescent="0.3">
      <c r="T237" s="735"/>
      <c r="U237" s="734"/>
      <c r="V237" s="736"/>
    </row>
    <row r="238" spans="20:22" ht="14.55" x14ac:dyDescent="0.3">
      <c r="T238" s="735"/>
      <c r="U238" s="734"/>
      <c r="V238" s="736"/>
    </row>
    <row r="239" spans="20:22" ht="14.55" x14ac:dyDescent="0.3">
      <c r="T239" s="735"/>
      <c r="U239" s="734"/>
      <c r="V239" s="736"/>
    </row>
    <row r="240" spans="20:22" ht="14.55" x14ac:dyDescent="0.3">
      <c r="T240" s="735"/>
      <c r="U240" s="734"/>
      <c r="V240" s="736"/>
    </row>
    <row r="241" spans="20:22" ht="14.55" x14ac:dyDescent="0.3">
      <c r="T241" s="735"/>
      <c r="U241" s="734"/>
      <c r="V241" s="736"/>
    </row>
    <row r="242" spans="20:22" ht="14.55" x14ac:dyDescent="0.3">
      <c r="T242" s="735"/>
      <c r="U242" s="734"/>
      <c r="V242" s="736"/>
    </row>
    <row r="243" spans="20:22" ht="14.55" x14ac:dyDescent="0.3">
      <c r="T243" s="735"/>
      <c r="U243" s="734"/>
      <c r="V243" s="736"/>
    </row>
    <row r="244" spans="20:22" ht="14.55" x14ac:dyDescent="0.3">
      <c r="T244" s="735"/>
      <c r="U244" s="734"/>
      <c r="V244" s="736"/>
    </row>
    <row r="245" spans="20:22" ht="14.55" x14ac:dyDescent="0.3">
      <c r="T245" s="735"/>
      <c r="U245" s="734"/>
      <c r="V245" s="736"/>
    </row>
    <row r="246" spans="20:22" ht="14.55" x14ac:dyDescent="0.3">
      <c r="T246" s="735"/>
      <c r="U246" s="734"/>
      <c r="V246" s="736"/>
    </row>
    <row r="247" spans="20:22" ht="14.55" x14ac:dyDescent="0.3">
      <c r="T247" s="735"/>
      <c r="U247" s="734"/>
      <c r="V247" s="736"/>
    </row>
    <row r="248" spans="20:22" ht="14.55" x14ac:dyDescent="0.3">
      <c r="T248" s="735"/>
      <c r="U248" s="734"/>
      <c r="V248" s="736"/>
    </row>
    <row r="249" spans="20:22" ht="14.55" x14ac:dyDescent="0.3">
      <c r="T249" s="735"/>
      <c r="U249" s="734"/>
      <c r="V249" s="736"/>
    </row>
    <row r="250" spans="20:22" ht="14.55" x14ac:dyDescent="0.3">
      <c r="T250" s="735"/>
      <c r="U250" s="734"/>
      <c r="V250" s="736"/>
    </row>
    <row r="251" spans="20:22" ht="14.55" x14ac:dyDescent="0.3">
      <c r="T251" s="735"/>
      <c r="U251" s="734"/>
      <c r="V251" s="736"/>
    </row>
    <row r="252" spans="20:22" ht="14.55" x14ac:dyDescent="0.3">
      <c r="T252" s="735"/>
      <c r="U252" s="734"/>
      <c r="V252" s="736"/>
    </row>
    <row r="253" spans="20:22" ht="14.55" x14ac:dyDescent="0.3">
      <c r="T253" s="735"/>
      <c r="U253" s="734"/>
      <c r="V253" s="736"/>
    </row>
    <row r="254" spans="20:22" ht="14.55" x14ac:dyDescent="0.3">
      <c r="T254" s="735"/>
      <c r="U254" s="734"/>
      <c r="V254" s="736"/>
    </row>
    <row r="255" spans="20:22" ht="14.55" x14ac:dyDescent="0.3">
      <c r="T255" s="735"/>
      <c r="U255" s="734"/>
      <c r="V255" s="736"/>
    </row>
    <row r="256" spans="20:22" ht="14.55" x14ac:dyDescent="0.3">
      <c r="T256" s="735"/>
      <c r="U256" s="734"/>
      <c r="V256" s="736"/>
    </row>
    <row r="257" spans="3:22" ht="14.55" x14ac:dyDescent="0.3">
      <c r="T257" s="735"/>
      <c r="U257" s="734"/>
      <c r="V257" s="736"/>
    </row>
    <row r="258" spans="3:22" ht="14.55" x14ac:dyDescent="0.3">
      <c r="T258" s="735"/>
      <c r="U258" s="734"/>
      <c r="V258" s="736"/>
    </row>
    <row r="259" spans="3:22" ht="14.55" x14ac:dyDescent="0.3">
      <c r="T259" s="735"/>
      <c r="U259" s="734"/>
      <c r="V259" s="736"/>
    </row>
    <row r="260" spans="3:22" ht="14.55" x14ac:dyDescent="0.3">
      <c r="T260" s="735"/>
      <c r="U260" s="734"/>
      <c r="V260" s="736"/>
    </row>
    <row r="261" spans="3:22" ht="14.55" x14ac:dyDescent="0.3">
      <c r="T261" s="735"/>
      <c r="U261" s="734"/>
      <c r="V261" s="736"/>
    </row>
    <row r="262" spans="3:22" ht="14.55" x14ac:dyDescent="0.3">
      <c r="T262" s="735"/>
      <c r="U262" s="734"/>
      <c r="V262" s="736"/>
    </row>
    <row r="263" spans="3:22" ht="14.55" x14ac:dyDescent="0.3">
      <c r="T263" s="735"/>
      <c r="U263" s="734"/>
      <c r="V263" s="736"/>
    </row>
    <row r="264" spans="3:22" ht="14.55" x14ac:dyDescent="0.3">
      <c r="T264" s="735"/>
      <c r="U264" s="734"/>
      <c r="V264" s="736"/>
    </row>
    <row r="265" spans="3:22" ht="14.55" x14ac:dyDescent="0.3">
      <c r="T265" s="735"/>
      <c r="U265" s="734"/>
      <c r="V265" s="736"/>
    </row>
    <row r="266" spans="3:22" ht="14.55" x14ac:dyDescent="0.3">
      <c r="C266" s="741">
        <f>'Berechnung - Wärmeschutz'!C106</f>
        <v>0</v>
      </c>
      <c r="D266" s="741">
        <f>'Berechnung - Wärmeschutz'!D106</f>
        <v>0</v>
      </c>
      <c r="E266" s="741">
        <f>'Berechnung - Wärmeschutz'!E106</f>
        <v>0</v>
      </c>
      <c r="F266" s="741">
        <f>'Berechnung - Wärmeschutz'!F106</f>
        <v>0</v>
      </c>
      <c r="G266" s="741">
        <f>'Berechnung - Wärmeschutz'!G106</f>
        <v>0</v>
      </c>
      <c r="H266" s="741">
        <f>'Berechnung - Wärmeschutz'!H106</f>
        <v>0</v>
      </c>
      <c r="I266" s="741">
        <f>'Berechnung - Wärmeschutz'!I106</f>
        <v>0</v>
      </c>
      <c r="J266" s="741">
        <f>'Berechnung - Wärmeschutz'!J106</f>
        <v>0</v>
      </c>
      <c r="K266" s="741">
        <f>'Berechnung - Wärmeschutz'!K106</f>
        <v>0</v>
      </c>
      <c r="L266" s="741">
        <f>'Berechnung - Wärmeschutz'!L106</f>
        <v>0</v>
      </c>
      <c r="M266" s="741">
        <f>'Berechnung - Wärmeschutz'!M106</f>
        <v>0</v>
      </c>
      <c r="N266" s="741">
        <f>'Berechnung - Wärmeschutz'!N106</f>
        <v>0</v>
      </c>
      <c r="O266" s="741">
        <f>'Berechnung - Wärmeschutz'!O106</f>
        <v>0</v>
      </c>
      <c r="P266" s="741">
        <f>'Berechnung - Wärmeschutz'!P106</f>
        <v>0</v>
      </c>
      <c r="T266" s="735"/>
      <c r="U266" s="734"/>
      <c r="V266" s="736"/>
    </row>
    <row r="267" spans="3:22" ht="14.55" x14ac:dyDescent="0.3">
      <c r="C267" s="741">
        <f>'Berechnung - Wärmeschutz'!C107</f>
        <v>0</v>
      </c>
      <c r="D267" s="741">
        <f>'Berechnung - Wärmeschutz'!D107</f>
        <v>0</v>
      </c>
      <c r="E267" s="741">
        <f>'Berechnung - Wärmeschutz'!E107</f>
        <v>0</v>
      </c>
      <c r="F267" s="741">
        <f>'Berechnung - Wärmeschutz'!F107</f>
        <v>0</v>
      </c>
      <c r="G267" s="741">
        <f>'Berechnung - Wärmeschutz'!G107</f>
        <v>0</v>
      </c>
      <c r="H267" s="741">
        <f>'Berechnung - Wärmeschutz'!H107</f>
        <v>0</v>
      </c>
      <c r="I267" s="741">
        <f>'Berechnung - Wärmeschutz'!I107</f>
        <v>0</v>
      </c>
      <c r="J267" s="741">
        <f>'Berechnung - Wärmeschutz'!J107</f>
        <v>0</v>
      </c>
      <c r="K267" s="741">
        <f>'Berechnung - Wärmeschutz'!K107</f>
        <v>0</v>
      </c>
      <c r="L267" s="741">
        <f>'Berechnung - Wärmeschutz'!L107</f>
        <v>0</v>
      </c>
      <c r="M267" s="741">
        <f>'Berechnung - Wärmeschutz'!M107</f>
        <v>0</v>
      </c>
      <c r="N267" s="741">
        <f>'Berechnung - Wärmeschutz'!N107</f>
        <v>0</v>
      </c>
      <c r="O267" s="741">
        <f>'Berechnung - Wärmeschutz'!O107</f>
        <v>0</v>
      </c>
      <c r="P267" s="741">
        <f>'Berechnung - Wärmeschutz'!P107</f>
        <v>0</v>
      </c>
      <c r="T267" s="735"/>
      <c r="U267" s="734"/>
      <c r="V267" s="736"/>
    </row>
    <row r="268" spans="3:22" ht="14.55" x14ac:dyDescent="0.3">
      <c r="C268" s="741">
        <f>'Berechnung - Wärmeschutz'!C108</f>
        <v>0</v>
      </c>
      <c r="D268" s="741">
        <f>'Berechnung - Wärmeschutz'!D108</f>
        <v>0</v>
      </c>
      <c r="E268" s="741">
        <f>'Berechnung - Wärmeschutz'!E108</f>
        <v>0</v>
      </c>
      <c r="F268" s="741">
        <f>'Berechnung - Wärmeschutz'!F108</f>
        <v>0</v>
      </c>
      <c r="G268" s="741">
        <f>'Berechnung - Wärmeschutz'!G108</f>
        <v>0</v>
      </c>
      <c r="H268" s="741">
        <f>'Berechnung - Wärmeschutz'!H108</f>
        <v>0</v>
      </c>
      <c r="I268" s="741">
        <f>'Berechnung - Wärmeschutz'!I108</f>
        <v>0</v>
      </c>
      <c r="J268" s="741">
        <f>'Berechnung - Wärmeschutz'!J108</f>
        <v>0</v>
      </c>
      <c r="K268" s="741">
        <f>'Berechnung - Wärmeschutz'!K108</f>
        <v>0</v>
      </c>
      <c r="L268" s="741">
        <f>'Berechnung - Wärmeschutz'!L108</f>
        <v>0</v>
      </c>
      <c r="M268" s="741">
        <f>'Berechnung - Wärmeschutz'!M108</f>
        <v>0</v>
      </c>
      <c r="N268" s="741">
        <f>'Berechnung - Wärmeschutz'!N108</f>
        <v>0</v>
      </c>
      <c r="O268" s="741">
        <f>'Berechnung - Wärmeschutz'!O108</f>
        <v>0</v>
      </c>
      <c r="P268" s="741">
        <f>'Berechnung - Wärmeschutz'!P108</f>
        <v>0</v>
      </c>
      <c r="T268" s="735"/>
      <c r="U268" s="734"/>
      <c r="V268" s="736"/>
    </row>
    <row r="269" spans="3:22" ht="14.55" x14ac:dyDescent="0.3">
      <c r="C269" s="741">
        <f>'Berechnung - Wärmeschutz'!C109</f>
        <v>0</v>
      </c>
      <c r="D269" s="741">
        <f>'Berechnung - Wärmeschutz'!D109</f>
        <v>0</v>
      </c>
      <c r="E269" s="741">
        <f>'Berechnung - Wärmeschutz'!E109</f>
        <v>0</v>
      </c>
      <c r="F269" s="741">
        <f>'Berechnung - Wärmeschutz'!F109</f>
        <v>0</v>
      </c>
      <c r="G269" s="741">
        <f>'Berechnung - Wärmeschutz'!G109</f>
        <v>0</v>
      </c>
      <c r="H269" s="741">
        <f>'Berechnung - Wärmeschutz'!H109</f>
        <v>0</v>
      </c>
      <c r="I269" s="741">
        <f>'Berechnung - Wärmeschutz'!I109</f>
        <v>0</v>
      </c>
      <c r="J269" s="741">
        <f>'Berechnung - Wärmeschutz'!J109</f>
        <v>0</v>
      </c>
      <c r="K269" s="741">
        <f>'Berechnung - Wärmeschutz'!K109</f>
        <v>0</v>
      </c>
      <c r="L269" s="741">
        <f>'Berechnung - Wärmeschutz'!L109</f>
        <v>0</v>
      </c>
      <c r="M269" s="741">
        <f>'Berechnung - Wärmeschutz'!M109</f>
        <v>0</v>
      </c>
      <c r="N269" s="741">
        <f>'Berechnung - Wärmeschutz'!N109</f>
        <v>0</v>
      </c>
      <c r="O269" s="741">
        <f>'Berechnung - Wärmeschutz'!O109</f>
        <v>0</v>
      </c>
      <c r="P269" s="741">
        <f>'Berechnung - Wärmeschutz'!P109</f>
        <v>0</v>
      </c>
      <c r="T269" s="735"/>
      <c r="U269" s="734"/>
      <c r="V269" s="736"/>
    </row>
    <row r="270" spans="3:22" ht="14.55" x14ac:dyDescent="0.3">
      <c r="C270" s="741">
        <f>'Berechnung - Wärmeschutz'!C110</f>
        <v>0</v>
      </c>
      <c r="D270" s="741">
        <f>'Berechnung - Wärmeschutz'!D110</f>
        <v>0</v>
      </c>
      <c r="E270" s="741">
        <f>'Berechnung - Wärmeschutz'!E110</f>
        <v>0</v>
      </c>
      <c r="F270" s="741">
        <f>'Berechnung - Wärmeschutz'!F110</f>
        <v>0</v>
      </c>
      <c r="G270" s="741">
        <f>'Berechnung - Wärmeschutz'!G110</f>
        <v>0</v>
      </c>
      <c r="H270" s="741">
        <f>'Berechnung - Wärmeschutz'!H110</f>
        <v>0</v>
      </c>
      <c r="I270" s="741">
        <f>'Berechnung - Wärmeschutz'!I110</f>
        <v>0</v>
      </c>
      <c r="J270" s="741">
        <f>'Berechnung - Wärmeschutz'!J110</f>
        <v>0</v>
      </c>
      <c r="K270" s="741">
        <f>'Berechnung - Wärmeschutz'!K110</f>
        <v>0</v>
      </c>
      <c r="L270" s="741">
        <f>'Berechnung - Wärmeschutz'!L110</f>
        <v>0</v>
      </c>
      <c r="M270" s="741">
        <f>'Berechnung - Wärmeschutz'!M110</f>
        <v>0</v>
      </c>
      <c r="N270" s="741">
        <f>'Berechnung - Wärmeschutz'!N110</f>
        <v>0</v>
      </c>
      <c r="O270" s="741">
        <f>'Berechnung - Wärmeschutz'!O110</f>
        <v>0</v>
      </c>
      <c r="P270" s="741">
        <f>'Berechnung - Wärmeschutz'!P110</f>
        <v>0</v>
      </c>
      <c r="T270" s="735"/>
      <c r="U270" s="734"/>
      <c r="V270" s="736"/>
    </row>
    <row r="271" spans="3:22" ht="14.55" x14ac:dyDescent="0.3">
      <c r="C271" s="741">
        <f>'Berechnung - Wärmeschutz'!C111</f>
        <v>0</v>
      </c>
      <c r="D271" s="741">
        <f>'Berechnung - Wärmeschutz'!D111</f>
        <v>0</v>
      </c>
      <c r="E271" s="741">
        <f>'Berechnung - Wärmeschutz'!E111</f>
        <v>0</v>
      </c>
      <c r="F271" s="741">
        <f>'Berechnung - Wärmeschutz'!F111</f>
        <v>0</v>
      </c>
      <c r="G271" s="741">
        <f>'Berechnung - Wärmeschutz'!G111</f>
        <v>0</v>
      </c>
      <c r="H271" s="741">
        <f>'Berechnung - Wärmeschutz'!H111</f>
        <v>0</v>
      </c>
      <c r="I271" s="741">
        <f>'Berechnung - Wärmeschutz'!I111</f>
        <v>0</v>
      </c>
      <c r="J271" s="741">
        <f>'Berechnung - Wärmeschutz'!J111</f>
        <v>0</v>
      </c>
      <c r="K271" s="741">
        <f>'Berechnung - Wärmeschutz'!K111</f>
        <v>0</v>
      </c>
      <c r="L271" s="741">
        <f>'Berechnung - Wärmeschutz'!L111</f>
        <v>0</v>
      </c>
      <c r="M271" s="741">
        <f>'Berechnung - Wärmeschutz'!M111</f>
        <v>0</v>
      </c>
      <c r="N271" s="741">
        <f>'Berechnung - Wärmeschutz'!N111</f>
        <v>0</v>
      </c>
      <c r="O271" s="741">
        <f>'Berechnung - Wärmeschutz'!O111</f>
        <v>0</v>
      </c>
      <c r="P271" s="741">
        <f>'Berechnung - Wärmeschutz'!P111</f>
        <v>0</v>
      </c>
      <c r="T271" s="735"/>
      <c r="U271" s="734"/>
      <c r="V271" s="736"/>
    </row>
    <row r="272" spans="3:22" ht="14.55" x14ac:dyDescent="0.3">
      <c r="C272" s="741">
        <f>'Berechnung - Wärmeschutz'!C112</f>
        <v>0</v>
      </c>
      <c r="D272" s="741">
        <f>'Berechnung - Wärmeschutz'!D112</f>
        <v>0</v>
      </c>
      <c r="E272" s="741">
        <f>'Berechnung - Wärmeschutz'!E112</f>
        <v>0</v>
      </c>
      <c r="F272" s="741">
        <f>'Berechnung - Wärmeschutz'!F112</f>
        <v>0</v>
      </c>
      <c r="G272" s="741">
        <f>'Berechnung - Wärmeschutz'!G112</f>
        <v>0</v>
      </c>
      <c r="H272" s="741">
        <f>'Berechnung - Wärmeschutz'!H112</f>
        <v>0</v>
      </c>
      <c r="I272" s="741">
        <f>'Berechnung - Wärmeschutz'!I112</f>
        <v>0</v>
      </c>
      <c r="J272" s="741">
        <f>'Berechnung - Wärmeschutz'!J112</f>
        <v>0</v>
      </c>
      <c r="K272" s="741">
        <f>'Berechnung - Wärmeschutz'!K112</f>
        <v>0</v>
      </c>
      <c r="L272" s="741">
        <f>'Berechnung - Wärmeschutz'!L112</f>
        <v>0</v>
      </c>
      <c r="M272" s="741">
        <f>'Berechnung - Wärmeschutz'!M112</f>
        <v>0</v>
      </c>
      <c r="N272" s="741">
        <f>'Berechnung - Wärmeschutz'!N112</f>
        <v>0</v>
      </c>
      <c r="O272" s="741">
        <f>'Berechnung - Wärmeschutz'!O112</f>
        <v>0</v>
      </c>
      <c r="P272" s="741">
        <f>'Berechnung - Wärmeschutz'!P112</f>
        <v>0</v>
      </c>
      <c r="T272" s="735"/>
      <c r="U272" s="734"/>
      <c r="V272" s="736"/>
    </row>
    <row r="273" spans="3:22" ht="14.55" x14ac:dyDescent="0.3">
      <c r="C273" s="741">
        <f>'Berechnung - Wärmeschutz'!C113</f>
        <v>0</v>
      </c>
      <c r="D273" s="741">
        <f>'Berechnung - Wärmeschutz'!D113</f>
        <v>0</v>
      </c>
      <c r="E273" s="741">
        <f>'Berechnung - Wärmeschutz'!E113</f>
        <v>0</v>
      </c>
      <c r="F273" s="741">
        <f>'Berechnung - Wärmeschutz'!F113</f>
        <v>0</v>
      </c>
      <c r="G273" s="741">
        <f>'Berechnung - Wärmeschutz'!G113</f>
        <v>0</v>
      </c>
      <c r="H273" s="741">
        <f>'Berechnung - Wärmeschutz'!H113</f>
        <v>0</v>
      </c>
      <c r="I273" s="741">
        <f>'Berechnung - Wärmeschutz'!I113</f>
        <v>0</v>
      </c>
      <c r="J273" s="741">
        <f>'Berechnung - Wärmeschutz'!J113</f>
        <v>0</v>
      </c>
      <c r="K273" s="741">
        <f>'Berechnung - Wärmeschutz'!K113</f>
        <v>0</v>
      </c>
      <c r="L273" s="741">
        <f>'Berechnung - Wärmeschutz'!L113</f>
        <v>0</v>
      </c>
      <c r="M273" s="741">
        <f>'Berechnung - Wärmeschutz'!M113</f>
        <v>0</v>
      </c>
      <c r="N273" s="741">
        <f>'Berechnung - Wärmeschutz'!N113</f>
        <v>0</v>
      </c>
      <c r="O273" s="741">
        <f>'Berechnung - Wärmeschutz'!O113</f>
        <v>0</v>
      </c>
      <c r="P273" s="741">
        <f>'Berechnung - Wärmeschutz'!P113</f>
        <v>0</v>
      </c>
      <c r="T273" s="735"/>
      <c r="U273" s="734"/>
      <c r="V273" s="736"/>
    </row>
    <row r="274" spans="3:22" ht="14.55" x14ac:dyDescent="0.3">
      <c r="T274" s="735"/>
      <c r="U274" s="734"/>
      <c r="V274" s="736"/>
    </row>
    <row r="275" spans="3:22" ht="14.55" x14ac:dyDescent="0.3">
      <c r="T275" s="735"/>
      <c r="U275" s="734"/>
      <c r="V275" s="736"/>
    </row>
    <row r="276" spans="3:22" ht="14.55" x14ac:dyDescent="0.3">
      <c r="T276" s="735"/>
      <c r="U276" s="734"/>
      <c r="V276" s="736"/>
    </row>
    <row r="277" spans="3:22" ht="14.55" x14ac:dyDescent="0.3">
      <c r="T277" s="735"/>
      <c r="U277" s="734"/>
      <c r="V277" s="736"/>
    </row>
    <row r="278" spans="3:22" ht="14.55" x14ac:dyDescent="0.3">
      <c r="T278" s="735"/>
      <c r="U278" s="734"/>
      <c r="V278" s="736"/>
    </row>
    <row r="279" spans="3:22" ht="14.55" x14ac:dyDescent="0.3">
      <c r="T279" s="735"/>
      <c r="U279" s="734"/>
      <c r="V279" s="736"/>
    </row>
    <row r="280" spans="3:22" ht="14.55" x14ac:dyDescent="0.3">
      <c r="T280" s="735"/>
      <c r="U280" s="734"/>
      <c r="V280" s="736"/>
    </row>
    <row r="281" spans="3:22" ht="14.55" x14ac:dyDescent="0.3">
      <c r="T281" s="735"/>
      <c r="U281" s="734"/>
      <c r="V281" s="736"/>
    </row>
    <row r="282" spans="3:22" ht="14.55" x14ac:dyDescent="0.3">
      <c r="T282" s="735"/>
      <c r="U282" s="734"/>
      <c r="V282" s="736"/>
    </row>
    <row r="283" spans="3:22" ht="14.55" x14ac:dyDescent="0.3">
      <c r="T283" s="735"/>
      <c r="U283" s="734"/>
      <c r="V283" s="736"/>
    </row>
    <row r="284" spans="3:22" ht="14.55" x14ac:dyDescent="0.3">
      <c r="T284" s="735"/>
      <c r="U284" s="734"/>
      <c r="V284" s="736"/>
    </row>
    <row r="285" spans="3:22" ht="14.55" x14ac:dyDescent="0.3">
      <c r="T285" s="735"/>
      <c r="U285" s="734"/>
      <c r="V285" s="736"/>
    </row>
    <row r="286" spans="3:22" ht="14.55" x14ac:dyDescent="0.3">
      <c r="T286" s="735"/>
      <c r="U286" s="734"/>
      <c r="V286" s="736"/>
    </row>
    <row r="287" spans="3:22" ht="14.55" x14ac:dyDescent="0.3">
      <c r="T287" s="735"/>
      <c r="U287" s="734"/>
      <c r="V287" s="736"/>
    </row>
    <row r="288" spans="3:22" ht="14.55" x14ac:dyDescent="0.3">
      <c r="T288" s="735"/>
      <c r="U288" s="734"/>
      <c r="V288" s="736"/>
    </row>
    <row r="289" spans="20:22" ht="14.55" x14ac:dyDescent="0.3">
      <c r="T289" s="735"/>
      <c r="U289" s="734"/>
      <c r="V289" s="736"/>
    </row>
    <row r="290" spans="20:22" ht="14.55" x14ac:dyDescent="0.3">
      <c r="T290" s="735"/>
      <c r="U290" s="734"/>
      <c r="V290" s="736"/>
    </row>
    <row r="291" spans="20:22" ht="14.55" x14ac:dyDescent="0.3">
      <c r="T291" s="735"/>
      <c r="U291" s="734"/>
      <c r="V291" s="736"/>
    </row>
    <row r="292" spans="20:22" ht="14.55" x14ac:dyDescent="0.3">
      <c r="T292" s="735"/>
      <c r="U292" s="734"/>
      <c r="V292" s="736"/>
    </row>
    <row r="293" spans="20:22" ht="14.55" x14ac:dyDescent="0.3">
      <c r="T293" s="735"/>
      <c r="U293" s="734"/>
      <c r="V293" s="736"/>
    </row>
    <row r="294" spans="20:22" ht="14.55" x14ac:dyDescent="0.3">
      <c r="T294" s="735"/>
      <c r="U294" s="734"/>
      <c r="V294" s="736"/>
    </row>
    <row r="295" spans="20:22" ht="14.55" x14ac:dyDescent="0.3">
      <c r="T295" s="735"/>
      <c r="U295" s="734"/>
      <c r="V295" s="736"/>
    </row>
    <row r="296" spans="20:22" ht="14.55" x14ac:dyDescent="0.3">
      <c r="T296" s="735"/>
      <c r="U296" s="734"/>
      <c r="V296" s="736"/>
    </row>
    <row r="297" spans="20:22" ht="14.55" x14ac:dyDescent="0.3">
      <c r="T297" s="735"/>
      <c r="U297" s="734"/>
      <c r="V297" s="736"/>
    </row>
    <row r="298" spans="20:22" ht="14.55" x14ac:dyDescent="0.3">
      <c r="T298" s="735"/>
      <c r="U298" s="734"/>
      <c r="V298" s="736"/>
    </row>
    <row r="299" spans="20:22" ht="14.55" x14ac:dyDescent="0.3">
      <c r="T299" s="735"/>
      <c r="U299" s="734"/>
      <c r="V299" s="736"/>
    </row>
    <row r="300" spans="20:22" ht="14.55" x14ac:dyDescent="0.3">
      <c r="T300" s="735"/>
      <c r="U300" s="734"/>
      <c r="V300" s="736"/>
    </row>
    <row r="301" spans="20:22" ht="14.55" x14ac:dyDescent="0.3">
      <c r="T301" s="735"/>
      <c r="U301" s="734"/>
      <c r="V301" s="736"/>
    </row>
    <row r="302" spans="20:22" ht="14.55" x14ac:dyDescent="0.3">
      <c r="T302" s="735"/>
      <c r="U302" s="734"/>
      <c r="V302" s="736"/>
    </row>
    <row r="303" spans="20:22" ht="14.55" x14ac:dyDescent="0.3">
      <c r="T303" s="735"/>
      <c r="U303" s="734"/>
      <c r="V303" s="736"/>
    </row>
    <row r="304" spans="20:22" ht="14.55" x14ac:dyDescent="0.3">
      <c r="T304" s="735"/>
      <c r="U304" s="734"/>
      <c r="V304" s="736"/>
    </row>
    <row r="305" spans="20:22" ht="14.55" x14ac:dyDescent="0.3">
      <c r="T305" s="735"/>
      <c r="U305" s="734"/>
      <c r="V305" s="736"/>
    </row>
    <row r="306" spans="20:22" ht="14.55" x14ac:dyDescent="0.3">
      <c r="T306" s="735"/>
      <c r="U306" s="734"/>
      <c r="V306" s="736"/>
    </row>
    <row r="307" spans="20:22" ht="14.55" x14ac:dyDescent="0.3">
      <c r="T307" s="735"/>
      <c r="U307" s="734"/>
      <c r="V307" s="736"/>
    </row>
    <row r="308" spans="20:22" ht="14.55" x14ac:dyDescent="0.3">
      <c r="T308" s="735"/>
      <c r="U308" s="734"/>
      <c r="V308" s="736"/>
    </row>
    <row r="309" spans="20:22" ht="14.55" x14ac:dyDescent="0.3">
      <c r="T309" s="735"/>
      <c r="U309" s="734"/>
      <c r="V309" s="736"/>
    </row>
    <row r="310" spans="20:22" ht="14.55" x14ac:dyDescent="0.3">
      <c r="T310" s="735"/>
      <c r="U310" s="734"/>
      <c r="V310" s="736"/>
    </row>
    <row r="311" spans="20:22" ht="14.55" x14ac:dyDescent="0.3">
      <c r="T311" s="735"/>
      <c r="U311" s="734"/>
      <c r="V311" s="736"/>
    </row>
    <row r="312" spans="20:22" ht="14.55" x14ac:dyDescent="0.3">
      <c r="T312" s="735"/>
      <c r="U312" s="734"/>
      <c r="V312" s="736"/>
    </row>
    <row r="313" spans="20:22" ht="14.55" x14ac:dyDescent="0.3">
      <c r="T313" s="735"/>
      <c r="U313" s="734"/>
      <c r="V313" s="736"/>
    </row>
    <row r="314" spans="20:22" ht="14.55" x14ac:dyDescent="0.3">
      <c r="T314" s="735"/>
      <c r="U314" s="734"/>
      <c r="V314" s="736"/>
    </row>
    <row r="315" spans="20:22" ht="14.55" x14ac:dyDescent="0.3">
      <c r="T315" s="735"/>
      <c r="U315" s="734"/>
      <c r="V315" s="736"/>
    </row>
    <row r="316" spans="20:22" ht="14.55" x14ac:dyDescent="0.3">
      <c r="T316" s="735"/>
      <c r="U316" s="734"/>
      <c r="V316" s="736"/>
    </row>
    <row r="317" spans="20:22" ht="14.55" x14ac:dyDescent="0.3">
      <c r="T317" s="735"/>
      <c r="U317" s="734"/>
      <c r="V317" s="736"/>
    </row>
    <row r="318" spans="20:22" ht="14.55" x14ac:dyDescent="0.3">
      <c r="T318" s="735"/>
      <c r="U318" s="734"/>
      <c r="V318" s="736"/>
    </row>
    <row r="319" spans="20:22" ht="14.55" x14ac:dyDescent="0.3">
      <c r="T319" s="735"/>
      <c r="U319" s="734"/>
      <c r="V319" s="736"/>
    </row>
    <row r="320" spans="20:22" ht="14.55" x14ac:dyDescent="0.3">
      <c r="T320" s="735"/>
      <c r="U320" s="734"/>
      <c r="V320" s="736"/>
    </row>
    <row r="321" spans="20:22" ht="14.55" x14ac:dyDescent="0.3">
      <c r="T321" s="735"/>
      <c r="U321" s="734"/>
      <c r="V321" s="736"/>
    </row>
    <row r="322" spans="20:22" ht="14.55" x14ac:dyDescent="0.3">
      <c r="T322" s="735"/>
      <c r="U322" s="734"/>
      <c r="V322" s="736"/>
    </row>
    <row r="323" spans="20:22" ht="14.55" x14ac:dyDescent="0.3">
      <c r="T323" s="735"/>
      <c r="U323" s="734"/>
      <c r="V323" s="736"/>
    </row>
    <row r="324" spans="20:22" ht="14.55" x14ac:dyDescent="0.3">
      <c r="T324" s="735"/>
      <c r="U324" s="734"/>
      <c r="V324" s="736"/>
    </row>
    <row r="325" spans="20:22" ht="14.55" x14ac:dyDescent="0.3">
      <c r="T325" s="735"/>
      <c r="U325" s="734"/>
      <c r="V325" s="736"/>
    </row>
    <row r="326" spans="20:22" ht="14.55" x14ac:dyDescent="0.3">
      <c r="T326" s="735"/>
      <c r="U326" s="734"/>
      <c r="V326" s="736"/>
    </row>
    <row r="327" spans="20:22" ht="14.55" x14ac:dyDescent="0.3">
      <c r="T327" s="735"/>
      <c r="U327" s="734"/>
      <c r="V327" s="736"/>
    </row>
    <row r="328" spans="20:22" ht="14.55" x14ac:dyDescent="0.3">
      <c r="T328" s="735"/>
      <c r="U328" s="734"/>
      <c r="V328" s="736"/>
    </row>
    <row r="329" spans="20:22" ht="14.55" x14ac:dyDescent="0.3">
      <c r="T329" s="735"/>
      <c r="U329" s="734"/>
      <c r="V329" s="736"/>
    </row>
    <row r="330" spans="20:22" ht="14.55" x14ac:dyDescent="0.3">
      <c r="T330" s="735"/>
      <c r="U330" s="734"/>
      <c r="V330" s="736"/>
    </row>
    <row r="331" spans="20:22" ht="14.55" x14ac:dyDescent="0.3">
      <c r="T331" s="735"/>
      <c r="U331" s="734"/>
      <c r="V331" s="736"/>
    </row>
    <row r="332" spans="20:22" ht="14.55" x14ac:dyDescent="0.3">
      <c r="T332" s="735"/>
      <c r="U332" s="734"/>
      <c r="V332" s="736"/>
    </row>
    <row r="333" spans="20:22" ht="14.55" x14ac:dyDescent="0.3">
      <c r="T333" s="735"/>
      <c r="U333" s="734"/>
      <c r="V333" s="736"/>
    </row>
    <row r="334" spans="20:22" ht="14.55" x14ac:dyDescent="0.3">
      <c r="T334" s="735"/>
      <c r="U334" s="734"/>
      <c r="V334" s="736"/>
    </row>
    <row r="335" spans="20:22" ht="14.55" x14ac:dyDescent="0.3">
      <c r="T335" s="735"/>
      <c r="U335" s="734"/>
      <c r="V335" s="736"/>
    </row>
    <row r="336" spans="20:22" ht="14.55" x14ac:dyDescent="0.3">
      <c r="T336" s="735"/>
      <c r="U336" s="734"/>
      <c r="V336" s="736"/>
    </row>
    <row r="337" spans="20:22" ht="14.55" x14ac:dyDescent="0.3">
      <c r="T337" s="735"/>
      <c r="U337" s="734"/>
      <c r="V337" s="736"/>
    </row>
    <row r="338" spans="20:22" ht="14.55" x14ac:dyDescent="0.3">
      <c r="T338" s="735"/>
      <c r="U338" s="734"/>
      <c r="V338" s="736"/>
    </row>
    <row r="339" spans="20:22" ht="14.55" x14ac:dyDescent="0.3">
      <c r="T339" s="735"/>
      <c r="U339" s="734"/>
      <c r="V339" s="736"/>
    </row>
    <row r="340" spans="20:22" ht="14.55" x14ac:dyDescent="0.3">
      <c r="T340" s="735"/>
      <c r="U340" s="734"/>
      <c r="V340" s="736"/>
    </row>
    <row r="341" spans="20:22" ht="14.55" x14ac:dyDescent="0.3">
      <c r="T341" s="735"/>
      <c r="U341" s="734"/>
      <c r="V341" s="736"/>
    </row>
    <row r="342" spans="20:22" ht="14.55" x14ac:dyDescent="0.3">
      <c r="T342" s="735"/>
      <c r="U342" s="734"/>
      <c r="V342" s="736"/>
    </row>
    <row r="343" spans="20:22" ht="14.55" x14ac:dyDescent="0.3">
      <c r="T343" s="735"/>
      <c r="U343" s="734"/>
      <c r="V343" s="736"/>
    </row>
    <row r="344" spans="20:22" ht="14.55" x14ac:dyDescent="0.3">
      <c r="T344" s="735"/>
      <c r="U344" s="734"/>
      <c r="V344" s="736"/>
    </row>
    <row r="345" spans="20:22" ht="14.55" x14ac:dyDescent="0.3">
      <c r="T345" s="735"/>
      <c r="U345" s="734"/>
      <c r="V345" s="736"/>
    </row>
    <row r="346" spans="20:22" ht="14.55" x14ac:dyDescent="0.3">
      <c r="T346" s="735"/>
      <c r="U346" s="734"/>
      <c r="V346" s="736"/>
    </row>
    <row r="347" spans="20:22" ht="14.55" x14ac:dyDescent="0.3">
      <c r="T347" s="735"/>
      <c r="U347" s="734"/>
      <c r="V347" s="736"/>
    </row>
    <row r="348" spans="20:22" ht="14.55" x14ac:dyDescent="0.3">
      <c r="T348" s="735"/>
      <c r="U348" s="734"/>
      <c r="V348" s="736"/>
    </row>
    <row r="349" spans="20:22" ht="14.55" x14ac:dyDescent="0.3">
      <c r="T349" s="735"/>
      <c r="U349" s="734"/>
      <c r="V349" s="736"/>
    </row>
    <row r="350" spans="20:22" ht="14.55" x14ac:dyDescent="0.3">
      <c r="T350" s="735"/>
      <c r="U350" s="734"/>
      <c r="V350" s="736"/>
    </row>
    <row r="351" spans="20:22" ht="14.55" x14ac:dyDescent="0.3">
      <c r="T351" s="735"/>
      <c r="U351" s="734"/>
      <c r="V351" s="736"/>
    </row>
    <row r="352" spans="20:22" ht="14.55" x14ac:dyDescent="0.3">
      <c r="T352" s="735"/>
      <c r="U352" s="734"/>
      <c r="V352" s="736"/>
    </row>
    <row r="353" spans="20:22" ht="14.55" x14ac:dyDescent="0.3">
      <c r="T353" s="735"/>
      <c r="U353" s="734"/>
      <c r="V353" s="736"/>
    </row>
    <row r="354" spans="20:22" ht="14.55" x14ac:dyDescent="0.3">
      <c r="T354" s="735"/>
      <c r="U354" s="734"/>
      <c r="V354" s="736"/>
    </row>
    <row r="355" spans="20:22" ht="14.55" x14ac:dyDescent="0.3">
      <c r="T355" s="735"/>
      <c r="U355" s="734"/>
      <c r="V355" s="736"/>
    </row>
    <row r="356" spans="20:22" ht="14.55" x14ac:dyDescent="0.3">
      <c r="T356" s="735"/>
      <c r="U356" s="734"/>
      <c r="V356" s="736"/>
    </row>
    <row r="357" spans="20:22" ht="14.55" x14ac:dyDescent="0.3">
      <c r="T357" s="735"/>
      <c r="U357" s="734"/>
      <c r="V357" s="736"/>
    </row>
    <row r="358" spans="20:22" ht="14.55" x14ac:dyDescent="0.3">
      <c r="T358" s="735"/>
      <c r="U358" s="734"/>
      <c r="V358" s="736"/>
    </row>
    <row r="359" spans="20:22" ht="14.55" x14ac:dyDescent="0.3">
      <c r="T359" s="735"/>
      <c r="U359" s="734"/>
      <c r="V359" s="736"/>
    </row>
    <row r="360" spans="20:22" ht="14.55" x14ac:dyDescent="0.3">
      <c r="T360" s="735"/>
      <c r="U360" s="734"/>
      <c r="V360" s="736"/>
    </row>
    <row r="361" spans="20:22" ht="14.55" x14ac:dyDescent="0.3">
      <c r="T361" s="735"/>
      <c r="U361" s="734"/>
      <c r="V361" s="736"/>
    </row>
    <row r="362" spans="20:22" ht="14.55" x14ac:dyDescent="0.3">
      <c r="T362" s="735"/>
      <c r="U362" s="734"/>
      <c r="V362" s="736"/>
    </row>
    <row r="363" spans="20:22" ht="14.55" x14ac:dyDescent="0.3">
      <c r="T363" s="735"/>
      <c r="U363" s="734"/>
      <c r="V363" s="736"/>
    </row>
    <row r="364" spans="20:22" ht="14.55" x14ac:dyDescent="0.3">
      <c r="T364" s="735"/>
      <c r="U364" s="734"/>
      <c r="V364" s="736"/>
    </row>
    <row r="365" spans="20:22" ht="14.55" x14ac:dyDescent="0.3">
      <c r="T365" s="735"/>
      <c r="U365" s="734"/>
      <c r="V365" s="736"/>
    </row>
    <row r="366" spans="20:22" ht="14.55" x14ac:dyDescent="0.3">
      <c r="T366" s="735"/>
      <c r="U366" s="734"/>
      <c r="V366" s="736"/>
    </row>
    <row r="367" spans="20:22" ht="14.55" x14ac:dyDescent="0.3">
      <c r="T367" s="735"/>
      <c r="U367" s="734"/>
      <c r="V367" s="736"/>
    </row>
    <row r="368" spans="20:22" ht="14.55" x14ac:dyDescent="0.3">
      <c r="T368" s="735"/>
      <c r="U368" s="734"/>
      <c r="V368" s="736"/>
    </row>
    <row r="369" spans="20:22" ht="14.55" x14ac:dyDescent="0.3">
      <c r="T369" s="735"/>
      <c r="U369" s="734"/>
      <c r="V369" s="736"/>
    </row>
    <row r="370" spans="20:22" ht="14.55" x14ac:dyDescent="0.3">
      <c r="T370" s="735"/>
      <c r="U370" s="734"/>
      <c r="V370" s="736"/>
    </row>
    <row r="371" spans="20:22" ht="14.55" x14ac:dyDescent="0.3">
      <c r="T371" s="735"/>
      <c r="U371" s="734"/>
      <c r="V371" s="736"/>
    </row>
    <row r="372" spans="20:22" ht="14.55" x14ac:dyDescent="0.3">
      <c r="T372" s="735"/>
      <c r="U372" s="734"/>
      <c r="V372" s="736"/>
    </row>
    <row r="373" spans="20:22" ht="14.55" x14ac:dyDescent="0.3">
      <c r="T373" s="735"/>
      <c r="U373" s="734"/>
      <c r="V373" s="736"/>
    </row>
    <row r="374" spans="20:22" ht="14.55" x14ac:dyDescent="0.3">
      <c r="T374" s="735"/>
      <c r="U374" s="734"/>
      <c r="V374" s="736"/>
    </row>
    <row r="375" spans="20:22" ht="14.55" x14ac:dyDescent="0.3">
      <c r="T375" s="735"/>
      <c r="U375" s="734"/>
      <c r="V375" s="736"/>
    </row>
    <row r="376" spans="20:22" ht="14.55" x14ac:dyDescent="0.3">
      <c r="T376" s="735"/>
      <c r="U376" s="734"/>
      <c r="V376" s="736"/>
    </row>
    <row r="377" spans="20:22" ht="14.55" x14ac:dyDescent="0.3">
      <c r="T377" s="735"/>
      <c r="U377" s="734"/>
      <c r="V377" s="736"/>
    </row>
    <row r="378" spans="20:22" ht="14.55" x14ac:dyDescent="0.3">
      <c r="T378" s="735"/>
      <c r="U378" s="734"/>
      <c r="V378" s="736"/>
    </row>
    <row r="379" spans="20:22" ht="14.55" x14ac:dyDescent="0.3">
      <c r="T379" s="735"/>
      <c r="U379" s="734"/>
      <c r="V379" s="736"/>
    </row>
    <row r="380" spans="20:22" ht="14.55" x14ac:dyDescent="0.3">
      <c r="T380" s="735"/>
      <c r="U380" s="734"/>
      <c r="V380" s="736"/>
    </row>
    <row r="381" spans="20:22" ht="14.55" x14ac:dyDescent="0.3">
      <c r="T381" s="735"/>
      <c r="U381" s="734"/>
      <c r="V381" s="736"/>
    </row>
    <row r="382" spans="20:22" ht="14.55" x14ac:dyDescent="0.3">
      <c r="T382" s="735"/>
      <c r="U382" s="734"/>
      <c r="V382" s="736"/>
    </row>
    <row r="383" spans="20:22" ht="14.55" x14ac:dyDescent="0.3">
      <c r="T383" s="735"/>
      <c r="U383" s="734"/>
      <c r="V383" s="736"/>
    </row>
    <row r="384" spans="20:22" ht="14.55" x14ac:dyDescent="0.3">
      <c r="T384" s="735"/>
      <c r="U384" s="734"/>
      <c r="V384" s="736"/>
    </row>
    <row r="385" spans="20:22" ht="14.55" x14ac:dyDescent="0.3">
      <c r="T385" s="735"/>
      <c r="U385" s="734"/>
      <c r="V385" s="736"/>
    </row>
    <row r="386" spans="20:22" ht="14.55" x14ac:dyDescent="0.3">
      <c r="T386" s="735"/>
      <c r="U386" s="734"/>
      <c r="V386" s="736"/>
    </row>
    <row r="387" spans="20:22" ht="14.55" x14ac:dyDescent="0.3">
      <c r="T387" s="735"/>
      <c r="U387" s="734"/>
      <c r="V387" s="736"/>
    </row>
    <row r="388" spans="20:22" ht="14.55" x14ac:dyDescent="0.3">
      <c r="T388" s="735"/>
      <c r="U388" s="734"/>
      <c r="V388" s="736"/>
    </row>
    <row r="389" spans="20:22" ht="14.55" x14ac:dyDescent="0.3">
      <c r="T389" s="735"/>
      <c r="U389" s="734"/>
      <c r="V389" s="736"/>
    </row>
    <row r="390" spans="20:22" ht="14.55" x14ac:dyDescent="0.3">
      <c r="T390" s="735"/>
      <c r="U390" s="734"/>
      <c r="V390" s="736"/>
    </row>
    <row r="391" spans="20:22" ht="14.55" x14ac:dyDescent="0.3">
      <c r="T391" s="735"/>
      <c r="U391" s="734"/>
      <c r="V391" s="736"/>
    </row>
    <row r="392" spans="20:22" ht="14.55" x14ac:dyDescent="0.3">
      <c r="T392" s="735"/>
      <c r="U392" s="734"/>
      <c r="V392" s="736"/>
    </row>
    <row r="393" spans="20:22" ht="14.55" x14ac:dyDescent="0.3">
      <c r="T393" s="735"/>
      <c r="U393" s="734"/>
      <c r="V393" s="736"/>
    </row>
    <row r="394" spans="20:22" ht="14.55" x14ac:dyDescent="0.3">
      <c r="T394" s="735"/>
      <c r="U394" s="734"/>
      <c r="V394" s="736"/>
    </row>
    <row r="395" spans="20:22" ht="14.55" x14ac:dyDescent="0.3">
      <c r="T395" s="735"/>
      <c r="U395" s="734"/>
      <c r="V395" s="736"/>
    </row>
    <row r="396" spans="20:22" ht="14.55" x14ac:dyDescent="0.3">
      <c r="T396" s="735"/>
      <c r="U396" s="734"/>
      <c r="V396" s="736"/>
    </row>
    <row r="397" spans="20:22" ht="14.55" x14ac:dyDescent="0.3">
      <c r="T397" s="735"/>
      <c r="U397" s="734"/>
      <c r="V397" s="736"/>
    </row>
    <row r="398" spans="20:22" ht="14.55" x14ac:dyDescent="0.3">
      <c r="T398" s="735"/>
      <c r="U398" s="734"/>
      <c r="V398" s="736"/>
    </row>
    <row r="399" spans="20:22" ht="14.55" x14ac:dyDescent="0.3">
      <c r="T399" s="735"/>
      <c r="U399" s="734"/>
      <c r="V399" s="736"/>
    </row>
    <row r="400" spans="20:22" ht="14.55" x14ac:dyDescent="0.3">
      <c r="T400" s="735"/>
      <c r="U400" s="734"/>
      <c r="V400" s="736"/>
    </row>
    <row r="401" spans="20:22" ht="14.55" x14ac:dyDescent="0.3">
      <c r="T401" s="735"/>
      <c r="U401" s="734"/>
      <c r="V401" s="736"/>
    </row>
    <row r="402" spans="20:22" ht="14.55" x14ac:dyDescent="0.3">
      <c r="T402" s="735"/>
      <c r="U402" s="734"/>
      <c r="V402" s="736"/>
    </row>
    <row r="403" spans="20:22" ht="14.55" x14ac:dyDescent="0.3">
      <c r="T403" s="735"/>
      <c r="U403" s="734"/>
      <c r="V403" s="736"/>
    </row>
    <row r="404" spans="20:22" ht="14.55" x14ac:dyDescent="0.3">
      <c r="T404" s="735"/>
      <c r="U404" s="734"/>
      <c r="V404" s="736"/>
    </row>
    <row r="405" spans="20:22" ht="14.55" x14ac:dyDescent="0.3">
      <c r="T405" s="735"/>
      <c r="U405" s="734"/>
      <c r="V405" s="736"/>
    </row>
    <row r="406" spans="20:22" ht="14.55" x14ac:dyDescent="0.3">
      <c r="T406" s="735"/>
      <c r="U406" s="734"/>
      <c r="V406" s="736"/>
    </row>
    <row r="407" spans="20:22" ht="14.55" x14ac:dyDescent="0.3">
      <c r="T407" s="735"/>
      <c r="U407" s="734"/>
      <c r="V407" s="736"/>
    </row>
    <row r="408" spans="20:22" ht="14.55" x14ac:dyDescent="0.3">
      <c r="T408" s="735"/>
      <c r="U408" s="734"/>
      <c r="V408" s="736"/>
    </row>
    <row r="409" spans="20:22" ht="14.55" x14ac:dyDescent="0.3">
      <c r="T409" s="735"/>
      <c r="U409" s="734"/>
      <c r="V409" s="736"/>
    </row>
    <row r="410" spans="20:22" ht="14.55" x14ac:dyDescent="0.3">
      <c r="T410" s="735"/>
      <c r="U410" s="734"/>
      <c r="V410" s="736"/>
    </row>
    <row r="411" spans="20:22" ht="14.55" x14ac:dyDescent="0.3">
      <c r="T411" s="735"/>
      <c r="U411" s="734"/>
      <c r="V411" s="736"/>
    </row>
    <row r="412" spans="20:22" ht="14.55" x14ac:dyDescent="0.3">
      <c r="T412" s="735"/>
      <c r="U412" s="734"/>
      <c r="V412" s="736"/>
    </row>
    <row r="413" spans="20:22" ht="14.55" x14ac:dyDescent="0.3">
      <c r="T413" s="735"/>
      <c r="U413" s="734"/>
      <c r="V413" s="736"/>
    </row>
    <row r="414" spans="20:22" ht="14.55" x14ac:dyDescent="0.3">
      <c r="T414" s="735"/>
      <c r="U414" s="734"/>
      <c r="V414" s="736"/>
    </row>
    <row r="415" spans="20:22" ht="14.55" x14ac:dyDescent="0.3">
      <c r="T415" s="735"/>
      <c r="U415" s="734"/>
      <c r="V415" s="736"/>
    </row>
    <row r="416" spans="20:22" ht="14.55" x14ac:dyDescent="0.3">
      <c r="T416" s="735"/>
      <c r="U416" s="734"/>
      <c r="V416" s="736"/>
    </row>
    <row r="417" spans="20:22" ht="14.55" x14ac:dyDescent="0.3">
      <c r="T417" s="735"/>
      <c r="U417" s="734"/>
      <c r="V417" s="736"/>
    </row>
    <row r="418" spans="20:22" ht="14.55" x14ac:dyDescent="0.3">
      <c r="T418" s="735"/>
      <c r="U418" s="734"/>
      <c r="V418" s="736"/>
    </row>
    <row r="419" spans="20:22" ht="14.55" x14ac:dyDescent="0.3">
      <c r="T419" s="735"/>
      <c r="U419" s="734"/>
      <c r="V419" s="736"/>
    </row>
    <row r="420" spans="20:22" ht="14.55" x14ac:dyDescent="0.3">
      <c r="T420" s="735"/>
      <c r="U420" s="734"/>
      <c r="V420" s="736"/>
    </row>
    <row r="421" spans="20:22" ht="14.55" x14ac:dyDescent="0.3">
      <c r="T421" s="735"/>
      <c r="U421" s="734"/>
      <c r="V421" s="736"/>
    </row>
    <row r="422" spans="20:22" ht="14.55" x14ac:dyDescent="0.3">
      <c r="T422" s="735"/>
      <c r="U422" s="734"/>
      <c r="V422" s="736"/>
    </row>
    <row r="423" spans="20:22" ht="14.55" x14ac:dyDescent="0.3">
      <c r="T423" s="735"/>
      <c r="U423" s="734"/>
      <c r="V423" s="736"/>
    </row>
    <row r="424" spans="20:22" ht="14.55" x14ac:dyDescent="0.3">
      <c r="T424" s="735"/>
      <c r="U424" s="734"/>
      <c r="V424" s="736"/>
    </row>
    <row r="425" spans="20:22" ht="14.55" x14ac:dyDescent="0.3">
      <c r="T425" s="735"/>
      <c r="U425" s="734"/>
      <c r="V425" s="736"/>
    </row>
    <row r="426" spans="20:22" ht="14.55" x14ac:dyDescent="0.3">
      <c r="T426" s="735"/>
      <c r="U426" s="734"/>
      <c r="V426" s="736"/>
    </row>
    <row r="427" spans="20:22" ht="14.55" x14ac:dyDescent="0.3">
      <c r="T427" s="735"/>
      <c r="U427" s="734"/>
      <c r="V427" s="736"/>
    </row>
    <row r="428" spans="20:22" ht="14.55" x14ac:dyDescent="0.3">
      <c r="T428" s="735"/>
      <c r="U428" s="734"/>
      <c r="V428" s="736"/>
    </row>
    <row r="429" spans="20:22" ht="14.55" x14ac:dyDescent="0.3">
      <c r="T429" s="735"/>
      <c r="U429" s="734"/>
      <c r="V429" s="736"/>
    </row>
    <row r="430" spans="20:22" ht="14.55" x14ac:dyDescent="0.3">
      <c r="T430" s="735"/>
      <c r="U430" s="734"/>
      <c r="V430" s="736"/>
    </row>
    <row r="431" spans="20:22" ht="14.55" x14ac:dyDescent="0.3">
      <c r="T431" s="735"/>
      <c r="U431" s="734"/>
      <c r="V431" s="736"/>
    </row>
    <row r="432" spans="20:22" ht="14.55" x14ac:dyDescent="0.3">
      <c r="T432" s="735"/>
      <c r="U432" s="734"/>
      <c r="V432" s="736"/>
    </row>
    <row r="433" spans="20:22" ht="14.55" x14ac:dyDescent="0.3">
      <c r="T433" s="735"/>
      <c r="U433" s="734"/>
      <c r="V433" s="736"/>
    </row>
    <row r="434" spans="20:22" ht="14.55" x14ac:dyDescent="0.3">
      <c r="T434" s="735"/>
      <c r="U434" s="734"/>
      <c r="V434" s="736"/>
    </row>
    <row r="435" spans="20:22" ht="14.55" x14ac:dyDescent="0.3">
      <c r="T435" s="735"/>
      <c r="U435" s="734"/>
      <c r="V435" s="736"/>
    </row>
    <row r="436" spans="20:22" ht="14.55" x14ac:dyDescent="0.3">
      <c r="T436" s="735"/>
      <c r="U436" s="734"/>
      <c r="V436" s="736"/>
    </row>
    <row r="437" spans="20:22" ht="14.55" x14ac:dyDescent="0.3">
      <c r="T437" s="735"/>
      <c r="U437" s="734"/>
      <c r="V437" s="736"/>
    </row>
    <row r="438" spans="20:22" ht="14.55" x14ac:dyDescent="0.3">
      <c r="T438" s="735"/>
      <c r="U438" s="734"/>
      <c r="V438" s="736"/>
    </row>
    <row r="439" spans="20:22" ht="14.55" x14ac:dyDescent="0.3">
      <c r="T439" s="735"/>
      <c r="U439" s="734"/>
      <c r="V439" s="736"/>
    </row>
    <row r="440" spans="20:22" ht="14.55" x14ac:dyDescent="0.3">
      <c r="T440" s="735"/>
      <c r="U440" s="734"/>
      <c r="V440" s="736"/>
    </row>
    <row r="441" spans="20:22" ht="14.55" x14ac:dyDescent="0.3">
      <c r="T441" s="735"/>
      <c r="U441" s="734"/>
      <c r="V441" s="736"/>
    </row>
    <row r="442" spans="20:22" ht="14.55" x14ac:dyDescent="0.3">
      <c r="T442" s="735"/>
      <c r="U442" s="734"/>
      <c r="V442" s="736"/>
    </row>
    <row r="443" spans="20:22" ht="14.55" x14ac:dyDescent="0.3">
      <c r="T443" s="735"/>
      <c r="U443" s="734"/>
      <c r="V443" s="736"/>
    </row>
    <row r="444" spans="20:22" ht="14.55" x14ac:dyDescent="0.3">
      <c r="T444" s="735"/>
      <c r="U444" s="734"/>
      <c r="V444" s="736"/>
    </row>
    <row r="445" spans="20:22" ht="14.55" x14ac:dyDescent="0.3">
      <c r="T445" s="735"/>
      <c r="U445" s="734"/>
      <c r="V445" s="736"/>
    </row>
    <row r="446" spans="20:22" ht="14.55" x14ac:dyDescent="0.3">
      <c r="T446" s="735"/>
      <c r="U446" s="734"/>
      <c r="V446" s="736"/>
    </row>
    <row r="447" spans="20:22" ht="14.55" x14ac:dyDescent="0.3">
      <c r="T447" s="735"/>
      <c r="U447" s="734"/>
      <c r="V447" s="736"/>
    </row>
    <row r="448" spans="20:22" ht="14.55" x14ac:dyDescent="0.3">
      <c r="T448" s="735"/>
      <c r="U448" s="734"/>
      <c r="V448" s="736"/>
    </row>
    <row r="449" spans="20:22" ht="14.55" x14ac:dyDescent="0.3">
      <c r="T449" s="735"/>
      <c r="U449" s="734"/>
      <c r="V449" s="736"/>
    </row>
    <row r="450" spans="20:22" ht="14.55" x14ac:dyDescent="0.3">
      <c r="T450" s="735"/>
      <c r="U450" s="734"/>
      <c r="V450" s="736"/>
    </row>
    <row r="451" spans="20:22" ht="14.55" x14ac:dyDescent="0.3">
      <c r="T451" s="735"/>
      <c r="U451" s="734"/>
      <c r="V451" s="736"/>
    </row>
    <row r="452" spans="20:22" ht="14.55" x14ac:dyDescent="0.3">
      <c r="T452" s="735"/>
      <c r="U452" s="734"/>
      <c r="V452" s="736"/>
    </row>
    <row r="453" spans="20:22" ht="14.55" x14ac:dyDescent="0.3">
      <c r="T453" s="735"/>
      <c r="U453" s="734"/>
      <c r="V453" s="736"/>
    </row>
    <row r="454" spans="20:22" ht="14.55" x14ac:dyDescent="0.3">
      <c r="T454" s="735"/>
      <c r="U454" s="734"/>
      <c r="V454" s="736"/>
    </row>
    <row r="455" spans="20:22" ht="14.55" x14ac:dyDescent="0.3">
      <c r="T455" s="735"/>
      <c r="U455" s="734"/>
      <c r="V455" s="736"/>
    </row>
    <row r="456" spans="20:22" ht="14.55" x14ac:dyDescent="0.3">
      <c r="T456" s="735"/>
      <c r="U456" s="734"/>
      <c r="V456" s="736"/>
    </row>
    <row r="457" spans="20:22" ht="14.55" x14ac:dyDescent="0.3">
      <c r="T457" s="735"/>
      <c r="U457" s="734"/>
      <c r="V457" s="736"/>
    </row>
    <row r="458" spans="20:22" ht="14.55" x14ac:dyDescent="0.3">
      <c r="T458" s="735"/>
      <c r="U458" s="734"/>
      <c r="V458" s="736"/>
    </row>
    <row r="459" spans="20:22" ht="14.55" x14ac:dyDescent="0.3">
      <c r="T459" s="735"/>
      <c r="U459" s="734"/>
      <c r="V459" s="736"/>
    </row>
    <row r="460" spans="20:22" ht="14.55" x14ac:dyDescent="0.3">
      <c r="T460" s="735"/>
      <c r="U460" s="734"/>
      <c r="V460" s="736"/>
    </row>
    <row r="461" spans="20:22" ht="14.55" x14ac:dyDescent="0.3">
      <c r="T461" s="735"/>
      <c r="U461" s="734"/>
      <c r="V461" s="736"/>
    </row>
    <row r="462" spans="20:22" ht="14.55" x14ac:dyDescent="0.3">
      <c r="T462" s="735"/>
      <c r="U462" s="734"/>
      <c r="V462" s="736"/>
    </row>
    <row r="463" spans="20:22" ht="14.55" x14ac:dyDescent="0.3">
      <c r="T463" s="735"/>
      <c r="U463" s="734"/>
      <c r="V463" s="736"/>
    </row>
    <row r="464" spans="20:22" ht="14.55" x14ac:dyDescent="0.3">
      <c r="T464" s="735"/>
      <c r="U464" s="734"/>
      <c r="V464" s="736"/>
    </row>
    <row r="465" spans="20:22" ht="14.55" x14ac:dyDescent="0.3">
      <c r="T465" s="735"/>
      <c r="U465" s="734"/>
      <c r="V465" s="736"/>
    </row>
    <row r="466" spans="20:22" ht="14.55" x14ac:dyDescent="0.3">
      <c r="T466" s="735"/>
      <c r="U466" s="734"/>
      <c r="V466" s="736"/>
    </row>
    <row r="467" spans="20:22" ht="14.55" x14ac:dyDescent="0.3">
      <c r="T467" s="735"/>
      <c r="U467" s="734"/>
      <c r="V467" s="736"/>
    </row>
    <row r="468" spans="20:22" ht="14.55" x14ac:dyDescent="0.3">
      <c r="T468" s="735"/>
      <c r="U468" s="734"/>
      <c r="V468" s="736"/>
    </row>
    <row r="469" spans="20:22" ht="14.55" x14ac:dyDescent="0.3">
      <c r="T469" s="735"/>
      <c r="U469" s="734"/>
      <c r="V469" s="736"/>
    </row>
    <row r="470" spans="20:22" ht="14.55" x14ac:dyDescent="0.3">
      <c r="T470" s="735"/>
      <c r="U470" s="734"/>
      <c r="V470" s="736"/>
    </row>
    <row r="471" spans="20:22" ht="14.55" x14ac:dyDescent="0.3">
      <c r="T471" s="735"/>
      <c r="U471" s="734"/>
      <c r="V471" s="736"/>
    </row>
    <row r="472" spans="20:22" ht="14.55" x14ac:dyDescent="0.3">
      <c r="T472" s="735"/>
      <c r="U472" s="734"/>
      <c r="V472" s="736"/>
    </row>
    <row r="473" spans="20:22" ht="14.55" x14ac:dyDescent="0.3">
      <c r="T473" s="735"/>
      <c r="U473" s="734"/>
      <c r="V473" s="736"/>
    </row>
    <row r="474" spans="20:22" ht="14.55" x14ac:dyDescent="0.3">
      <c r="T474" s="735"/>
      <c r="U474" s="734"/>
      <c r="V474" s="736"/>
    </row>
    <row r="475" spans="20:22" ht="14.55" x14ac:dyDescent="0.3">
      <c r="T475" s="735"/>
      <c r="U475" s="734"/>
      <c r="V475" s="736"/>
    </row>
    <row r="476" spans="20:22" ht="14.55" x14ac:dyDescent="0.3">
      <c r="T476" s="735"/>
      <c r="U476" s="734"/>
      <c r="V476" s="736"/>
    </row>
    <row r="477" spans="20:22" ht="14.55" x14ac:dyDescent="0.3">
      <c r="T477" s="735"/>
      <c r="U477" s="734"/>
      <c r="V477" s="736"/>
    </row>
    <row r="478" spans="20:22" ht="14.55" x14ac:dyDescent="0.3">
      <c r="T478" s="735"/>
      <c r="U478" s="734"/>
      <c r="V478" s="736"/>
    </row>
    <row r="479" spans="20:22" ht="14.55" x14ac:dyDescent="0.3">
      <c r="T479" s="735"/>
      <c r="U479" s="734"/>
      <c r="V479" s="736"/>
    </row>
    <row r="480" spans="20:22" ht="14.55" x14ac:dyDescent="0.3">
      <c r="T480" s="735"/>
      <c r="U480" s="734"/>
      <c r="V480" s="736"/>
    </row>
    <row r="481" spans="20:22" ht="14.55" x14ac:dyDescent="0.3">
      <c r="T481" s="735"/>
      <c r="U481" s="734"/>
      <c r="V481" s="736"/>
    </row>
    <row r="482" spans="20:22" ht="14.55" x14ac:dyDescent="0.3">
      <c r="T482" s="735"/>
      <c r="U482" s="734"/>
      <c r="V482" s="736"/>
    </row>
    <row r="483" spans="20:22" ht="14.55" x14ac:dyDescent="0.3">
      <c r="T483" s="735"/>
      <c r="U483" s="734"/>
      <c r="V483" s="736"/>
    </row>
    <row r="484" spans="20:22" ht="14.55" x14ac:dyDescent="0.3">
      <c r="T484" s="735"/>
      <c r="U484" s="734"/>
      <c r="V484" s="736"/>
    </row>
    <row r="485" spans="20:22" ht="14.55" x14ac:dyDescent="0.3">
      <c r="T485" s="735"/>
      <c r="U485" s="734"/>
      <c r="V485" s="736"/>
    </row>
    <row r="486" spans="20:22" ht="14.55" x14ac:dyDescent="0.3">
      <c r="T486" s="735"/>
      <c r="U486" s="734"/>
      <c r="V486" s="736"/>
    </row>
    <row r="487" spans="20:22" ht="14.55" x14ac:dyDescent="0.3">
      <c r="T487" s="735"/>
      <c r="U487" s="734"/>
      <c r="V487" s="736"/>
    </row>
    <row r="488" spans="20:22" ht="14.55" x14ac:dyDescent="0.3">
      <c r="T488" s="735"/>
      <c r="U488" s="734"/>
      <c r="V488" s="736"/>
    </row>
    <row r="489" spans="20:22" ht="14.55" x14ac:dyDescent="0.3">
      <c r="T489" s="735"/>
      <c r="U489" s="734"/>
      <c r="V489" s="736"/>
    </row>
    <row r="490" spans="20:22" ht="14.55" x14ac:dyDescent="0.3">
      <c r="T490" s="735"/>
      <c r="U490" s="734"/>
      <c r="V490" s="736"/>
    </row>
    <row r="491" spans="20:22" ht="14.55" x14ac:dyDescent="0.3">
      <c r="T491" s="735"/>
      <c r="U491" s="734"/>
      <c r="V491" s="736"/>
    </row>
    <row r="492" spans="20:22" ht="14.55" x14ac:dyDescent="0.3">
      <c r="T492" s="735"/>
      <c r="U492" s="734"/>
      <c r="V492" s="736"/>
    </row>
    <row r="493" spans="20:22" ht="14.55" x14ac:dyDescent="0.3">
      <c r="T493" s="735"/>
      <c r="U493" s="734"/>
      <c r="V493" s="736"/>
    </row>
    <row r="494" spans="20:22" ht="14.55" x14ac:dyDescent="0.3">
      <c r="T494" s="735"/>
      <c r="U494" s="734"/>
      <c r="V494" s="736"/>
    </row>
    <row r="495" spans="20:22" ht="14.55" x14ac:dyDescent="0.3">
      <c r="T495" s="735"/>
      <c r="U495" s="734"/>
      <c r="V495" s="736"/>
    </row>
    <row r="496" spans="20:22" ht="14.55" x14ac:dyDescent="0.3">
      <c r="T496" s="735"/>
      <c r="U496" s="734"/>
      <c r="V496" s="736"/>
    </row>
    <row r="497" spans="20:22" ht="14.55" x14ac:dyDescent="0.3">
      <c r="T497" s="735"/>
      <c r="U497" s="734"/>
      <c r="V497" s="736"/>
    </row>
    <row r="498" spans="20:22" ht="14.55" x14ac:dyDescent="0.3">
      <c r="T498" s="735"/>
      <c r="U498" s="734"/>
      <c r="V498" s="736"/>
    </row>
    <row r="499" spans="20:22" ht="14.55" x14ac:dyDescent="0.3">
      <c r="T499" s="735"/>
      <c r="U499" s="734"/>
      <c r="V499" s="736"/>
    </row>
    <row r="500" spans="20:22" ht="14.55" x14ac:dyDescent="0.3">
      <c r="T500" s="735"/>
      <c r="U500" s="734"/>
      <c r="V500" s="736"/>
    </row>
    <row r="501" spans="20:22" ht="14.55" x14ac:dyDescent="0.3">
      <c r="T501" s="735"/>
      <c r="U501" s="734"/>
      <c r="V501" s="736"/>
    </row>
    <row r="502" spans="20:22" ht="14.55" x14ac:dyDescent="0.3">
      <c r="T502" s="735"/>
      <c r="U502" s="734"/>
      <c r="V502" s="736"/>
    </row>
    <row r="503" spans="20:22" ht="14.55" x14ac:dyDescent="0.3">
      <c r="T503" s="735"/>
      <c r="U503" s="734"/>
      <c r="V503" s="736"/>
    </row>
    <row r="504" spans="20:22" ht="14.55" x14ac:dyDescent="0.3">
      <c r="T504" s="735"/>
      <c r="U504" s="734"/>
      <c r="V504" s="736"/>
    </row>
    <row r="505" spans="20:22" ht="14.55" x14ac:dyDescent="0.3">
      <c r="T505" s="735"/>
      <c r="U505" s="734"/>
      <c r="V505" s="736"/>
    </row>
    <row r="506" spans="20:22" ht="14.55" x14ac:dyDescent="0.3">
      <c r="T506" s="735"/>
      <c r="U506" s="734"/>
      <c r="V506" s="736"/>
    </row>
    <row r="507" spans="20:22" ht="14.55" x14ac:dyDescent="0.3">
      <c r="T507" s="735"/>
      <c r="U507" s="734"/>
      <c r="V507" s="736"/>
    </row>
    <row r="508" spans="20:22" ht="14.55" x14ac:dyDescent="0.3">
      <c r="T508" s="735"/>
      <c r="U508" s="734"/>
      <c r="V508" s="736"/>
    </row>
    <row r="509" spans="20:22" ht="14.55" x14ac:dyDescent="0.3">
      <c r="T509" s="735"/>
      <c r="U509" s="734"/>
      <c r="V509" s="736"/>
    </row>
    <row r="510" spans="20:22" ht="14.55" x14ac:dyDescent="0.3">
      <c r="T510" s="735"/>
      <c r="U510" s="734"/>
      <c r="V510" s="736"/>
    </row>
    <row r="511" spans="20:22" ht="14.55" x14ac:dyDescent="0.3">
      <c r="T511" s="735"/>
      <c r="U511" s="734"/>
      <c r="V511" s="736"/>
    </row>
    <row r="512" spans="20:22" ht="14.55" x14ac:dyDescent="0.3">
      <c r="T512" s="735"/>
      <c r="U512" s="734"/>
      <c r="V512" s="736"/>
    </row>
    <row r="513" spans="20:22" ht="14.55" x14ac:dyDescent="0.3">
      <c r="T513" s="735"/>
      <c r="U513" s="734"/>
      <c r="V513" s="736"/>
    </row>
    <row r="514" spans="20:22" ht="14.55" x14ac:dyDescent="0.3">
      <c r="T514" s="735"/>
      <c r="U514" s="734"/>
      <c r="V514" s="736"/>
    </row>
    <row r="515" spans="20:22" ht="14.55" x14ac:dyDescent="0.3">
      <c r="T515" s="735"/>
      <c r="U515" s="734"/>
      <c r="V515" s="736"/>
    </row>
    <row r="516" spans="20:22" ht="14.55" x14ac:dyDescent="0.3">
      <c r="T516" s="735"/>
      <c r="U516" s="734"/>
      <c r="V516" s="736"/>
    </row>
    <row r="517" spans="20:22" ht="14.55" x14ac:dyDescent="0.3">
      <c r="T517" s="735"/>
      <c r="U517" s="734"/>
      <c r="V517" s="736"/>
    </row>
    <row r="518" spans="20:22" ht="14.55" x14ac:dyDescent="0.3">
      <c r="T518" s="735"/>
      <c r="U518" s="734"/>
      <c r="V518" s="736"/>
    </row>
    <row r="519" spans="20:22" ht="14.55" x14ac:dyDescent="0.3">
      <c r="T519" s="735"/>
      <c r="U519" s="734"/>
      <c r="V519" s="736"/>
    </row>
    <row r="520" spans="20:22" ht="14.55" x14ac:dyDescent="0.3">
      <c r="T520" s="735"/>
      <c r="U520" s="734"/>
      <c r="V520" s="736"/>
    </row>
    <row r="521" spans="20:22" ht="14.55" x14ac:dyDescent="0.3">
      <c r="T521" s="735"/>
      <c r="U521" s="734"/>
      <c r="V521" s="736"/>
    </row>
    <row r="522" spans="20:22" ht="14.55" x14ac:dyDescent="0.3">
      <c r="T522" s="735"/>
      <c r="U522" s="734"/>
      <c r="V522" s="736"/>
    </row>
    <row r="523" spans="20:22" ht="14.55" x14ac:dyDescent="0.3">
      <c r="T523" s="735"/>
      <c r="U523" s="734"/>
      <c r="V523" s="736"/>
    </row>
    <row r="524" spans="20:22" ht="14.55" x14ac:dyDescent="0.3">
      <c r="T524" s="735"/>
      <c r="U524" s="734"/>
      <c r="V524" s="736"/>
    </row>
    <row r="525" spans="20:22" ht="14.55" x14ac:dyDescent="0.3">
      <c r="T525" s="735"/>
      <c r="U525" s="734"/>
      <c r="V525" s="736"/>
    </row>
    <row r="526" spans="20:22" ht="14.55" x14ac:dyDescent="0.3">
      <c r="T526" s="735"/>
      <c r="U526" s="734"/>
      <c r="V526" s="736"/>
    </row>
    <row r="527" spans="20:22" ht="14.55" x14ac:dyDescent="0.3">
      <c r="T527" s="735"/>
      <c r="U527" s="734"/>
      <c r="V527" s="736"/>
    </row>
    <row r="528" spans="20:22" ht="14.55" x14ac:dyDescent="0.3">
      <c r="T528" s="735"/>
      <c r="U528" s="734"/>
      <c r="V528" s="736"/>
    </row>
    <row r="529" spans="20:22" ht="14.55" x14ac:dyDescent="0.3">
      <c r="T529" s="735"/>
      <c r="U529" s="734"/>
      <c r="V529" s="736"/>
    </row>
    <row r="530" spans="20:22" ht="14.55" x14ac:dyDescent="0.3">
      <c r="T530" s="735"/>
      <c r="U530" s="734"/>
      <c r="V530" s="736"/>
    </row>
    <row r="531" spans="20:22" ht="14.55" x14ac:dyDescent="0.3">
      <c r="T531" s="735"/>
      <c r="U531" s="734"/>
      <c r="V531" s="736"/>
    </row>
    <row r="532" spans="20:22" ht="14.55" x14ac:dyDescent="0.3">
      <c r="T532" s="735"/>
      <c r="U532" s="734"/>
      <c r="V532" s="736"/>
    </row>
    <row r="533" spans="20:22" ht="14.55" x14ac:dyDescent="0.3">
      <c r="T533" s="735"/>
      <c r="U533" s="734"/>
      <c r="V533" s="736"/>
    </row>
    <row r="534" spans="20:22" ht="14.55" x14ac:dyDescent="0.3">
      <c r="T534" s="735"/>
      <c r="U534" s="734"/>
      <c r="V534" s="736"/>
    </row>
    <row r="535" spans="20:22" ht="14.55" x14ac:dyDescent="0.3">
      <c r="T535" s="735"/>
      <c r="U535" s="734"/>
      <c r="V535" s="736"/>
    </row>
    <row r="536" spans="20:22" ht="14.55" x14ac:dyDescent="0.3">
      <c r="T536" s="735"/>
      <c r="U536" s="734"/>
      <c r="V536" s="736"/>
    </row>
    <row r="537" spans="20:22" ht="14.55" x14ac:dyDescent="0.3">
      <c r="T537" s="735"/>
      <c r="U537" s="734"/>
      <c r="V537" s="736"/>
    </row>
    <row r="538" spans="20:22" ht="14.55" x14ac:dyDescent="0.3">
      <c r="T538" s="735"/>
      <c r="U538" s="734"/>
      <c r="V538" s="736"/>
    </row>
    <row r="539" spans="20:22" ht="14.55" x14ac:dyDescent="0.3">
      <c r="T539" s="735"/>
      <c r="U539" s="734"/>
      <c r="V539" s="736"/>
    </row>
    <row r="540" spans="20:22" ht="14.55" x14ac:dyDescent="0.3">
      <c r="T540" s="735"/>
      <c r="U540" s="734"/>
      <c r="V540" s="736"/>
    </row>
    <row r="541" spans="20:22" ht="14.55" x14ac:dyDescent="0.3">
      <c r="T541" s="735"/>
      <c r="U541" s="734"/>
      <c r="V541" s="736"/>
    </row>
    <row r="542" spans="20:22" ht="14.55" x14ac:dyDescent="0.3">
      <c r="T542" s="735"/>
      <c r="U542" s="734"/>
      <c r="V542" s="736"/>
    </row>
    <row r="543" spans="20:22" ht="14.55" x14ac:dyDescent="0.3">
      <c r="T543" s="735"/>
      <c r="U543" s="734"/>
      <c r="V543" s="736"/>
    </row>
    <row r="544" spans="20:22" ht="14.55" x14ac:dyDescent="0.3">
      <c r="T544" s="735"/>
      <c r="U544" s="734"/>
      <c r="V544" s="736"/>
    </row>
    <row r="545" spans="20:22" ht="14.55" x14ac:dyDescent="0.3">
      <c r="T545" s="735"/>
      <c r="U545" s="734"/>
      <c r="V545" s="736"/>
    </row>
    <row r="546" spans="20:22" ht="14.55" x14ac:dyDescent="0.3">
      <c r="T546" s="735"/>
      <c r="U546" s="734"/>
      <c r="V546" s="736"/>
    </row>
    <row r="547" spans="20:22" ht="14.55" x14ac:dyDescent="0.3">
      <c r="T547" s="735"/>
      <c r="U547" s="734"/>
      <c r="V547" s="736"/>
    </row>
    <row r="548" spans="20:22" ht="14.55" x14ac:dyDescent="0.3">
      <c r="T548" s="735"/>
      <c r="U548" s="734"/>
      <c r="V548" s="736"/>
    </row>
    <row r="549" spans="20:22" ht="14.55" x14ac:dyDescent="0.3">
      <c r="T549" s="735"/>
      <c r="U549" s="734"/>
      <c r="V549" s="736"/>
    </row>
    <row r="550" spans="20:22" ht="14.55" x14ac:dyDescent="0.3">
      <c r="T550" s="735"/>
      <c r="U550" s="734"/>
      <c r="V550" s="736"/>
    </row>
    <row r="551" spans="20:22" ht="14.55" x14ac:dyDescent="0.3">
      <c r="T551" s="735"/>
      <c r="U551" s="734"/>
      <c r="V551" s="736"/>
    </row>
    <row r="552" spans="20:22" ht="14.55" x14ac:dyDescent="0.3">
      <c r="T552" s="735"/>
      <c r="U552" s="734"/>
      <c r="V552" s="736"/>
    </row>
    <row r="553" spans="20:22" ht="14.55" x14ac:dyDescent="0.3">
      <c r="T553" s="735"/>
      <c r="U553" s="734"/>
      <c r="V553" s="736"/>
    </row>
    <row r="554" spans="20:22" ht="14.55" x14ac:dyDescent="0.3">
      <c r="T554" s="735"/>
      <c r="U554" s="734"/>
      <c r="V554" s="736"/>
    </row>
    <row r="555" spans="20:22" ht="14.55" x14ac:dyDescent="0.3">
      <c r="T555" s="735"/>
      <c r="U555" s="734"/>
      <c r="V555" s="736"/>
    </row>
    <row r="556" spans="20:22" ht="14.55" x14ac:dyDescent="0.3">
      <c r="T556" s="735"/>
      <c r="U556" s="734"/>
      <c r="V556" s="736"/>
    </row>
    <row r="557" spans="20:22" ht="14.55" x14ac:dyDescent="0.3">
      <c r="T557" s="735"/>
      <c r="U557" s="734"/>
      <c r="V557" s="736"/>
    </row>
    <row r="558" spans="20:22" ht="14.55" x14ac:dyDescent="0.3">
      <c r="T558" s="735"/>
      <c r="U558" s="734"/>
      <c r="V558" s="736"/>
    </row>
    <row r="559" spans="20:22" ht="14.55" x14ac:dyDescent="0.3">
      <c r="T559" s="735"/>
      <c r="U559" s="734"/>
      <c r="V559" s="736"/>
    </row>
    <row r="560" spans="20:22" ht="14.55" x14ac:dyDescent="0.3">
      <c r="T560" s="735"/>
      <c r="U560" s="734"/>
      <c r="V560" s="736"/>
    </row>
    <row r="561" spans="20:22" ht="14.55" x14ac:dyDescent="0.3">
      <c r="T561" s="735"/>
      <c r="U561" s="734"/>
      <c r="V561" s="736"/>
    </row>
    <row r="562" spans="20:22" ht="14.55" x14ac:dyDescent="0.3">
      <c r="T562" s="735"/>
      <c r="U562" s="734"/>
      <c r="V562" s="736"/>
    </row>
    <row r="563" spans="20:22" ht="14.55" x14ac:dyDescent="0.3">
      <c r="T563" s="735"/>
      <c r="U563" s="734"/>
      <c r="V563" s="736"/>
    </row>
    <row r="564" spans="20:22" ht="14.55" x14ac:dyDescent="0.3">
      <c r="T564" s="735"/>
      <c r="U564" s="734"/>
      <c r="V564" s="736"/>
    </row>
    <row r="565" spans="20:22" ht="14.55" x14ac:dyDescent="0.3">
      <c r="T565" s="735"/>
      <c r="U565" s="734"/>
      <c r="V565" s="736"/>
    </row>
    <row r="566" spans="20:22" ht="14.55" x14ac:dyDescent="0.3">
      <c r="T566" s="735"/>
      <c r="U566" s="734"/>
      <c r="V566" s="736"/>
    </row>
    <row r="567" spans="20:22" ht="14.55" x14ac:dyDescent="0.3">
      <c r="T567" s="735"/>
      <c r="U567" s="734"/>
      <c r="V567" s="736"/>
    </row>
    <row r="568" spans="20:22" ht="14.55" x14ac:dyDescent="0.3">
      <c r="T568" s="735"/>
      <c r="U568" s="734"/>
      <c r="V568" s="736"/>
    </row>
    <row r="569" spans="20:22" ht="14.55" x14ac:dyDescent="0.3">
      <c r="T569" s="735"/>
      <c r="U569" s="734"/>
      <c r="V569" s="736"/>
    </row>
    <row r="570" spans="20:22" ht="14.55" x14ac:dyDescent="0.3">
      <c r="T570" s="735"/>
      <c r="U570" s="734"/>
      <c r="V570" s="736"/>
    </row>
    <row r="571" spans="20:22" ht="14.55" x14ac:dyDescent="0.3">
      <c r="T571" s="735"/>
      <c r="U571" s="734"/>
      <c r="V571" s="736"/>
    </row>
    <row r="572" spans="20:22" ht="14.55" x14ac:dyDescent="0.3">
      <c r="T572" s="735"/>
      <c r="U572" s="734"/>
      <c r="V572" s="736"/>
    </row>
    <row r="573" spans="20:22" ht="14.55" x14ac:dyDescent="0.3">
      <c r="T573" s="735"/>
      <c r="U573" s="734"/>
      <c r="V573" s="736"/>
    </row>
    <row r="574" spans="20:22" ht="14.55" x14ac:dyDescent="0.3">
      <c r="T574" s="735"/>
      <c r="U574" s="734"/>
      <c r="V574" s="736"/>
    </row>
    <row r="575" spans="20:22" ht="14.55" x14ac:dyDescent="0.3">
      <c r="T575" s="735"/>
      <c r="U575" s="734"/>
      <c r="V575" s="736"/>
    </row>
    <row r="576" spans="20:22" ht="14.55" x14ac:dyDescent="0.3">
      <c r="T576" s="735"/>
      <c r="U576" s="734"/>
      <c r="V576" s="736"/>
    </row>
    <row r="577" spans="20:22" ht="14.55" x14ac:dyDescent="0.3">
      <c r="T577" s="735"/>
      <c r="U577" s="734"/>
      <c r="V577" s="736"/>
    </row>
    <row r="578" spans="20:22" ht="14.55" x14ac:dyDescent="0.3">
      <c r="T578" s="735"/>
      <c r="U578" s="734"/>
      <c r="V578" s="736"/>
    </row>
    <row r="579" spans="20:22" ht="14.55" x14ac:dyDescent="0.3">
      <c r="T579" s="735"/>
      <c r="U579" s="734"/>
      <c r="V579" s="736"/>
    </row>
    <row r="580" spans="20:22" ht="14.55" x14ac:dyDescent="0.3">
      <c r="T580" s="735"/>
      <c r="U580" s="734"/>
      <c r="V580" s="736"/>
    </row>
    <row r="581" spans="20:22" ht="14.55" x14ac:dyDescent="0.3">
      <c r="T581" s="735"/>
      <c r="U581" s="734"/>
      <c r="V581" s="736"/>
    </row>
  </sheetData>
  <sheetProtection selectLockedCells="1"/>
  <mergeCells count="102">
    <mergeCell ref="H102:I102"/>
    <mergeCell ref="H99:I99"/>
    <mergeCell ref="J99:K99"/>
    <mergeCell ref="H101:I101"/>
    <mergeCell ref="J101:K101"/>
    <mergeCell ref="H100:I100"/>
    <mergeCell ref="J100:K100"/>
    <mergeCell ref="H98:I98"/>
    <mergeCell ref="J98:K98"/>
    <mergeCell ref="H95:I95"/>
    <mergeCell ref="J95:K95"/>
    <mergeCell ref="H96:I96"/>
    <mergeCell ref="J96:K96"/>
    <mergeCell ref="H97:I97"/>
    <mergeCell ref="J97:K97"/>
    <mergeCell ref="H92:I92"/>
    <mergeCell ref="J92:K92"/>
    <mergeCell ref="H93:I93"/>
    <mergeCell ref="J93:K93"/>
    <mergeCell ref="H94:I94"/>
    <mergeCell ref="J94:K94"/>
    <mergeCell ref="H91:K91"/>
    <mergeCell ref="B80:E80"/>
    <mergeCell ref="L80:M80"/>
    <mergeCell ref="C82:C86"/>
    <mergeCell ref="L82:M82"/>
    <mergeCell ref="L83:M83"/>
    <mergeCell ref="L84:M84"/>
    <mergeCell ref="L85:M85"/>
    <mergeCell ref="L86:M86"/>
    <mergeCell ref="G88:H88"/>
    <mergeCell ref="I88:J88"/>
    <mergeCell ref="K88:M88"/>
    <mergeCell ref="B89:E89"/>
    <mergeCell ref="L89:M89"/>
    <mergeCell ref="E49:E50"/>
    <mergeCell ref="L49:M49"/>
    <mergeCell ref="L50:M50"/>
    <mergeCell ref="L51:M51"/>
    <mergeCell ref="L61:M61"/>
    <mergeCell ref="D57:D63"/>
    <mergeCell ref="D49:D55"/>
    <mergeCell ref="B79:E79"/>
    <mergeCell ref="L79:M79"/>
    <mergeCell ref="B69:E69"/>
    <mergeCell ref="L69:M69"/>
    <mergeCell ref="B70:E70"/>
    <mergeCell ref="L70:M70"/>
    <mergeCell ref="B71:E71"/>
    <mergeCell ref="L71:M71"/>
    <mergeCell ref="L76:M76"/>
    <mergeCell ref="B77:E77"/>
    <mergeCell ref="L77:M77"/>
    <mergeCell ref="B78:E78"/>
    <mergeCell ref="L78:M78"/>
    <mergeCell ref="L62:M62"/>
    <mergeCell ref="L63:M63"/>
    <mergeCell ref="L67:M67"/>
    <mergeCell ref="B68:E68"/>
    <mergeCell ref="L68:M68"/>
    <mergeCell ref="L52:M52"/>
    <mergeCell ref="L53:M53"/>
    <mergeCell ref="L54:M54"/>
    <mergeCell ref="L55:M55"/>
    <mergeCell ref="E57:E58"/>
    <mergeCell ref="L57:M57"/>
    <mergeCell ref="L58:M58"/>
    <mergeCell ref="L59:M59"/>
    <mergeCell ref="L60:M60"/>
    <mergeCell ref="B44:E44"/>
    <mergeCell ref="G44:H44"/>
    <mergeCell ref="G48:H48"/>
    <mergeCell ref="I48:J48"/>
    <mergeCell ref="K48:M48"/>
    <mergeCell ref="B39:E39"/>
    <mergeCell ref="G39:H39"/>
    <mergeCell ref="I39:J39"/>
    <mergeCell ref="K39:L39"/>
    <mergeCell ref="B43:E43"/>
    <mergeCell ref="G43:H43"/>
    <mergeCell ref="K38:L38"/>
    <mergeCell ref="P5:Q5"/>
    <mergeCell ref="D7:E7"/>
    <mergeCell ref="G7:H7"/>
    <mergeCell ref="J7:K7"/>
    <mergeCell ref="M7:N7"/>
    <mergeCell ref="P7:Q7"/>
    <mergeCell ref="D31:H31"/>
    <mergeCell ref="D33:D37"/>
    <mergeCell ref="G33:G37"/>
    <mergeCell ref="G38:H38"/>
    <mergeCell ref="I38:J38"/>
    <mergeCell ref="B4:B7"/>
    <mergeCell ref="D4:E4"/>
    <mergeCell ref="G4:H4"/>
    <mergeCell ref="J4:K4"/>
    <mergeCell ref="M4:N4"/>
    <mergeCell ref="P4:Q4"/>
    <mergeCell ref="D5:E5"/>
    <mergeCell ref="G5:H5"/>
    <mergeCell ref="J5:K5"/>
    <mergeCell ref="M5:N5"/>
  </mergeCells>
  <conditionalFormatting sqref="C106:P114">
    <cfRule type="cellIs" dxfId="823" priority="12" operator="greaterThan">
      <formula>0</formula>
    </cfRule>
  </conditionalFormatting>
  <conditionalFormatting sqref="B8:B27">
    <cfRule type="colorScale" priority="11">
      <colorScale>
        <cfvo type="min"/>
        <cfvo type="percentile" val="50"/>
        <cfvo type="max"/>
        <color rgb="FF63BE7B"/>
        <color rgb="FFFFEB84"/>
        <color rgb="FFF8696B"/>
      </colorScale>
    </cfRule>
  </conditionalFormatting>
  <conditionalFormatting sqref="D8:D27">
    <cfRule type="colorScale" priority="10">
      <colorScale>
        <cfvo type="min"/>
        <cfvo type="percentile" val="50"/>
        <cfvo type="max"/>
        <color rgb="FF63BE7B"/>
        <color rgb="FFFFEB84"/>
        <color rgb="FFF8696B"/>
      </colorScale>
    </cfRule>
  </conditionalFormatting>
  <conditionalFormatting sqref="E8:E27">
    <cfRule type="colorScale" priority="9">
      <colorScale>
        <cfvo type="min"/>
        <cfvo type="percentile" val="50"/>
        <cfvo type="max"/>
        <color rgb="FF63BE7B"/>
        <color rgb="FFFFEB84"/>
        <color rgb="FFF8696B"/>
      </colorScale>
    </cfRule>
  </conditionalFormatting>
  <conditionalFormatting sqref="G8:G27">
    <cfRule type="colorScale" priority="8">
      <colorScale>
        <cfvo type="min"/>
        <cfvo type="percentile" val="50"/>
        <cfvo type="max"/>
        <color rgb="FF63BE7B"/>
        <color rgb="FFFFEB84"/>
        <color rgb="FFF8696B"/>
      </colorScale>
    </cfRule>
  </conditionalFormatting>
  <conditionalFormatting sqref="H8:H27">
    <cfRule type="colorScale" priority="7">
      <colorScale>
        <cfvo type="min"/>
        <cfvo type="percentile" val="50"/>
        <cfvo type="max"/>
        <color rgb="FF63BE7B"/>
        <color rgb="FFFFEB84"/>
        <color rgb="FFF8696B"/>
      </colorScale>
    </cfRule>
  </conditionalFormatting>
  <conditionalFormatting sqref="J8:J27">
    <cfRule type="colorScale" priority="6">
      <colorScale>
        <cfvo type="min"/>
        <cfvo type="percentile" val="50"/>
        <cfvo type="max"/>
        <color rgb="FF63BE7B"/>
        <color rgb="FFFFEB84"/>
        <color rgb="FFF8696B"/>
      </colorScale>
    </cfRule>
  </conditionalFormatting>
  <conditionalFormatting sqref="K8:K27">
    <cfRule type="colorScale" priority="5">
      <colorScale>
        <cfvo type="min"/>
        <cfvo type="percentile" val="50"/>
        <cfvo type="max"/>
        <color rgb="FF63BE7B"/>
        <color rgb="FFFFEB84"/>
        <color rgb="FFF8696B"/>
      </colorScale>
    </cfRule>
  </conditionalFormatting>
  <conditionalFormatting sqref="M8:M27">
    <cfRule type="colorScale" priority="4">
      <colorScale>
        <cfvo type="min"/>
        <cfvo type="percentile" val="50"/>
        <cfvo type="max"/>
        <color rgb="FF63BE7B"/>
        <color rgb="FFFFEB84"/>
        <color rgb="FFF8696B"/>
      </colorScale>
    </cfRule>
  </conditionalFormatting>
  <conditionalFormatting sqref="N8:N27">
    <cfRule type="colorScale" priority="3">
      <colorScale>
        <cfvo type="min"/>
        <cfvo type="percentile" val="50"/>
        <cfvo type="max"/>
        <color rgb="FF63BE7B"/>
        <color rgb="FFFFEB84"/>
        <color rgb="FFF8696B"/>
      </colorScale>
    </cfRule>
  </conditionalFormatting>
  <conditionalFormatting sqref="P8:P27">
    <cfRule type="colorScale" priority="2">
      <colorScale>
        <cfvo type="min"/>
        <cfvo type="percentile" val="50"/>
        <cfvo type="max"/>
        <color rgb="FF63BE7B"/>
        <color rgb="FFFFEB84"/>
        <color rgb="FFF8696B"/>
      </colorScale>
    </cfRule>
  </conditionalFormatting>
  <conditionalFormatting sqref="Q8:Q27">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ignoredErrors>
    <ignoredError sqref="I59:I6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55A5C-0CE8-42D5-AE7E-840E2A94E410}">
  <sheetPr>
    <tabColor rgb="FFFFC000"/>
  </sheetPr>
  <dimension ref="A1:AP163"/>
  <sheetViews>
    <sheetView workbookViewId="0">
      <selection activeCell="H9" sqref="H9:I9"/>
    </sheetView>
  </sheetViews>
  <sheetFormatPr baseColWidth="10" defaultColWidth="11.44140625" defaultRowHeight="13.9" x14ac:dyDescent="0.25"/>
  <cols>
    <col min="1" max="1" width="7.21875" style="491" customWidth="1"/>
    <col min="2" max="7" width="9.21875" style="39" customWidth="1"/>
    <col min="8" max="8" width="9.44140625" style="39" customWidth="1"/>
    <col min="9" max="13" width="9.21875" style="39" customWidth="1"/>
    <col min="14" max="14" width="9.44140625" style="39" customWidth="1"/>
    <col min="15" max="23" width="9.21875" style="39" customWidth="1"/>
    <col min="24" max="24" width="11" style="39" customWidth="1"/>
    <col min="25" max="26" width="8.21875" style="39" bestFit="1" customWidth="1"/>
    <col min="27" max="27" width="11.44140625" style="39"/>
    <col min="28" max="28" width="11.44140625" style="72"/>
    <col min="29" max="16384" width="11.44140625" style="39"/>
  </cols>
  <sheetData>
    <row r="1" spans="1:30" x14ac:dyDescent="0.25">
      <c r="A1" s="493" t="str">
        <f>Überblick!X110</f>
        <v>F.</v>
      </c>
      <c r="B1" s="188" t="str">
        <f>IF(Überblick!B2=Überblick!L4,'Bauphysik - Bauakustik'!V1,'Bauphysik - Bauakustik'!V2)</f>
        <v>Honorarangebot HOAI - Bauphysik - Bauakustik</v>
      </c>
      <c r="T1" s="963" t="str">
        <f>'Hochbauplanung '!T1</f>
        <v>Version: 27.06.2023</v>
      </c>
      <c r="U1" s="963"/>
      <c r="V1" s="72" t="s">
        <v>541</v>
      </c>
      <c r="W1" s="72"/>
      <c r="X1" s="68"/>
      <c r="Y1" s="68"/>
      <c r="Z1" s="68"/>
      <c r="AA1" s="68"/>
    </row>
    <row r="2" spans="1:30" x14ac:dyDescent="0.25">
      <c r="R2" s="535" t="s">
        <v>110</v>
      </c>
      <c r="S2" s="1389" t="str">
        <f>IF(Überblick!Q2=0,"",Überblick!Q2)</f>
        <v/>
      </c>
      <c r="T2" s="1389"/>
      <c r="U2" s="1389"/>
      <c r="V2" s="72" t="s">
        <v>542</v>
      </c>
      <c r="W2" s="72"/>
      <c r="X2" s="68"/>
      <c r="Y2" s="68"/>
      <c r="Z2" s="68"/>
      <c r="AA2" s="68"/>
    </row>
    <row r="3" spans="1:30" x14ac:dyDescent="0.25">
      <c r="A3" s="491" t="s">
        <v>112</v>
      </c>
      <c r="B3" s="40" t="s">
        <v>365</v>
      </c>
      <c r="F3" s="883" t="s">
        <v>963</v>
      </c>
      <c r="G3" s="878"/>
      <c r="H3" s="878"/>
      <c r="R3" s="535" t="s">
        <v>24</v>
      </c>
      <c r="S3" s="1389" t="str">
        <f>IF(Überblick!G29=0,"",Überblick!G29)</f>
        <v>Breite Strasse, 10178 Berlin-Mitte, zw. Neumannsgasse und Scharrenstrasse</v>
      </c>
      <c r="T3" s="1389"/>
      <c r="U3" s="1389"/>
      <c r="V3" s="72"/>
      <c r="W3" s="72"/>
      <c r="X3" s="68"/>
      <c r="Y3" s="68"/>
      <c r="Z3" s="68"/>
      <c r="AA3" s="68"/>
      <c r="AC3" s="68"/>
      <c r="AD3" s="68"/>
    </row>
    <row r="4" spans="1:30" ht="14.55" thickBot="1" x14ac:dyDescent="0.3">
      <c r="R4" s="535" t="s">
        <v>17</v>
      </c>
      <c r="S4" s="1389" t="str">
        <f>IF(Überblick!D19=0,"",Überblick!D19)</f>
        <v/>
      </c>
      <c r="T4" s="1389"/>
      <c r="U4" s="1389"/>
      <c r="V4" s="72"/>
      <c r="W4" s="72"/>
      <c r="X4" s="68"/>
      <c r="Y4" s="68"/>
      <c r="Z4" s="68"/>
      <c r="AA4" s="68"/>
    </row>
    <row r="5" spans="1:30" ht="32.25" customHeight="1" thickBot="1" x14ac:dyDescent="0.3">
      <c r="B5" s="107"/>
      <c r="C5" s="144"/>
      <c r="D5" s="144"/>
      <c r="E5" s="488"/>
      <c r="F5" s="1198" t="s">
        <v>116</v>
      </c>
      <c r="G5" s="1199"/>
      <c r="H5" s="1199"/>
      <c r="I5" s="1200"/>
      <c r="J5" s="1198" t="s">
        <v>117</v>
      </c>
      <c r="K5" s="1199"/>
      <c r="L5" s="1199"/>
      <c r="M5" s="1200"/>
      <c r="N5" s="1198" t="s">
        <v>118</v>
      </c>
      <c r="O5" s="1199"/>
      <c r="P5" s="1199"/>
      <c r="Q5" s="1200"/>
      <c r="R5" s="47"/>
      <c r="S5" s="47"/>
      <c r="T5" s="47"/>
      <c r="U5" s="87"/>
      <c r="V5" s="87" t="s">
        <v>119</v>
      </c>
      <c r="W5" s="87"/>
      <c r="X5" s="210"/>
      <c r="Y5" s="68"/>
      <c r="Z5" s="68"/>
      <c r="AA5" s="68"/>
    </row>
    <row r="6" spans="1:30" ht="15.95" customHeight="1" thickBot="1" x14ac:dyDescent="0.3">
      <c r="B6" s="291"/>
      <c r="C6" s="202"/>
      <c r="D6" s="202"/>
      <c r="E6" s="203"/>
      <c r="F6" s="1215" t="s">
        <v>120</v>
      </c>
      <c r="G6" s="1216"/>
      <c r="H6" s="1217"/>
      <c r="I6" s="1218"/>
      <c r="J6" s="1213" t="s">
        <v>120</v>
      </c>
      <c r="K6" s="1214"/>
      <c r="L6" s="1217"/>
      <c r="M6" s="1218"/>
      <c r="N6" s="1213" t="s">
        <v>120</v>
      </c>
      <c r="O6" s="1214"/>
      <c r="P6" s="1217"/>
      <c r="Q6" s="1218"/>
      <c r="R6" s="47"/>
      <c r="S6" s="47"/>
      <c r="T6" s="47"/>
      <c r="U6" s="47"/>
      <c r="V6" s="87"/>
      <c r="W6" s="87"/>
      <c r="X6" s="47"/>
    </row>
    <row r="7" spans="1:30" ht="15.95" customHeight="1" thickBot="1" x14ac:dyDescent="0.3">
      <c r="B7" s="1115" t="s">
        <v>121</v>
      </c>
      <c r="C7" s="1116"/>
      <c r="D7" s="1116"/>
      <c r="E7" s="1117"/>
      <c r="F7" s="1209" t="s">
        <v>107</v>
      </c>
      <c r="G7" s="1210"/>
      <c r="H7" s="1211" t="s">
        <v>106</v>
      </c>
      <c r="I7" s="1212"/>
      <c r="J7" s="1209" t="s">
        <v>107</v>
      </c>
      <c r="K7" s="1210"/>
      <c r="L7" s="1211" t="s">
        <v>106</v>
      </c>
      <c r="M7" s="1212"/>
      <c r="N7" s="1209" t="s">
        <v>107</v>
      </c>
      <c r="O7" s="1210"/>
      <c r="P7" s="1211" t="s">
        <v>106</v>
      </c>
      <c r="Q7" s="1212"/>
      <c r="R7" s="40"/>
      <c r="S7" s="40"/>
      <c r="T7" s="40"/>
      <c r="U7" s="40"/>
      <c r="V7" s="151"/>
      <c r="W7" s="151"/>
      <c r="X7" s="40"/>
    </row>
    <row r="8" spans="1:30" ht="15" customHeight="1" thickBot="1" x14ac:dyDescent="0.3">
      <c r="B8" s="1232" t="s">
        <v>366</v>
      </c>
      <c r="C8" s="1233"/>
      <c r="D8" s="1233"/>
      <c r="E8" s="1234"/>
      <c r="F8" s="1235">
        <f>H8*Überblick!G98+H8</f>
        <v>0</v>
      </c>
      <c r="G8" s="1236"/>
      <c r="H8" s="1219"/>
      <c r="I8" s="1220"/>
      <c r="J8" s="1201">
        <f>L8*1.19</f>
        <v>0</v>
      </c>
      <c r="K8" s="1202"/>
      <c r="L8" s="1203"/>
      <c r="M8" s="1204"/>
      <c r="N8" s="1201">
        <f>P8*1.19</f>
        <v>0</v>
      </c>
      <c r="O8" s="1202"/>
      <c r="P8" s="1203"/>
      <c r="Q8" s="1204"/>
      <c r="R8" s="96">
        <f>SUM(H8,L8,P8)</f>
        <v>0</v>
      </c>
      <c r="S8" s="72">
        <f>IF((R8+AB110)&gt;0,1,0)</f>
        <v>1</v>
      </c>
      <c r="T8" s="48"/>
      <c r="U8" s="48"/>
      <c r="V8" s="96"/>
      <c r="W8" s="96"/>
      <c r="X8" s="48"/>
    </row>
    <row r="9" spans="1:30" ht="15.95" customHeight="1" x14ac:dyDescent="0.25">
      <c r="B9" s="49"/>
      <c r="C9" s="49"/>
      <c r="D9" s="49"/>
      <c r="E9" s="49"/>
      <c r="F9" s="294"/>
      <c r="G9" s="294"/>
      <c r="H9" s="294"/>
      <c r="I9" s="294"/>
      <c r="J9" s="294"/>
      <c r="K9" s="294"/>
      <c r="L9" s="294"/>
      <c r="M9" s="294"/>
      <c r="N9" s="294"/>
      <c r="O9" s="294"/>
      <c r="P9" s="294"/>
      <c r="Q9" s="294"/>
      <c r="R9" s="48"/>
      <c r="S9" s="48"/>
      <c r="T9" s="48"/>
      <c r="U9" s="48"/>
      <c r="V9" s="48"/>
      <c r="W9" s="48"/>
      <c r="X9" s="48"/>
    </row>
    <row r="10" spans="1:30" x14ac:dyDescent="0.25">
      <c r="B10" s="39" t="s">
        <v>130</v>
      </c>
    </row>
    <row r="11" spans="1:30" x14ac:dyDescent="0.25">
      <c r="B11" s="39" t="s">
        <v>131</v>
      </c>
    </row>
    <row r="12" spans="1:30" ht="14.55" thickBot="1" x14ac:dyDescent="0.3">
      <c r="B12" s="40"/>
      <c r="G12" s="54"/>
      <c r="H12" s="41"/>
      <c r="I12" s="57"/>
      <c r="J12" s="54"/>
      <c r="K12" s="54"/>
      <c r="L12" s="57"/>
      <c r="M12" s="58"/>
      <c r="N12" s="58"/>
      <c r="O12" s="59"/>
      <c r="S12" s="57"/>
      <c r="T12" s="48"/>
    </row>
    <row r="13" spans="1:30" ht="15" customHeight="1" x14ac:dyDescent="0.25">
      <c r="B13" s="1221" t="s">
        <v>132</v>
      </c>
      <c r="C13" s="1222"/>
      <c r="D13" s="1222"/>
      <c r="E13" s="1223"/>
      <c r="F13" s="1164">
        <v>1</v>
      </c>
      <c r="G13" s="1165"/>
      <c r="H13" s="1165"/>
      <c r="I13" s="1165"/>
      <c r="J13" s="1165"/>
      <c r="K13" s="1165"/>
      <c r="L13" s="1165"/>
      <c r="M13" s="1165"/>
      <c r="N13" s="1165"/>
      <c r="O13" s="1165"/>
      <c r="P13" s="1165"/>
      <c r="Q13" s="1166"/>
      <c r="S13" s="57"/>
      <c r="T13" s="48"/>
      <c r="U13" s="72" t="s">
        <v>133</v>
      </c>
      <c r="V13" s="72">
        <v>1</v>
      </c>
    </row>
    <row r="14" spans="1:30" ht="15.95" customHeight="1" thickBot="1" x14ac:dyDescent="0.3">
      <c r="B14" s="1224" t="s">
        <v>134</v>
      </c>
      <c r="C14" s="1225"/>
      <c r="D14" s="1225"/>
      <c r="E14" s="1226"/>
      <c r="F14" s="1167" t="s">
        <v>135</v>
      </c>
      <c r="G14" s="1168"/>
      <c r="H14" s="1168"/>
      <c r="I14" s="1168"/>
      <c r="J14" s="1168"/>
      <c r="K14" s="1168"/>
      <c r="L14" s="1168"/>
      <c r="M14" s="1168"/>
      <c r="N14" s="1168"/>
      <c r="O14" s="1168"/>
      <c r="P14" s="1168"/>
      <c r="Q14" s="1169"/>
      <c r="S14" s="57"/>
      <c r="T14" s="48"/>
      <c r="U14" s="72"/>
      <c r="V14" s="72">
        <v>2</v>
      </c>
    </row>
    <row r="15" spans="1:30" ht="15.95" customHeight="1" x14ac:dyDescent="0.25">
      <c r="B15" s="60"/>
      <c r="C15" s="60"/>
      <c r="D15" s="60"/>
      <c r="E15" s="60"/>
      <c r="F15" s="1241" t="s">
        <v>136</v>
      </c>
      <c r="G15" s="1241"/>
      <c r="H15" s="1241"/>
      <c r="I15" s="1241"/>
      <c r="J15" s="1241" t="s">
        <v>137</v>
      </c>
      <c r="K15" s="1241"/>
      <c r="L15" s="1241"/>
      <c r="M15" s="1241"/>
      <c r="N15" s="1241" t="s">
        <v>367</v>
      </c>
      <c r="O15" s="1241"/>
      <c r="P15" s="1241"/>
      <c r="Q15" s="1241"/>
      <c r="S15" s="57"/>
      <c r="T15" s="48"/>
      <c r="U15" s="72"/>
      <c r="V15" s="72">
        <v>3</v>
      </c>
    </row>
    <row r="16" spans="1:30" ht="15.95" customHeight="1" thickBot="1" x14ac:dyDescent="0.3">
      <c r="B16" s="60"/>
      <c r="C16" s="60"/>
      <c r="D16" s="60"/>
      <c r="E16" s="60"/>
      <c r="F16" s="1242"/>
      <c r="G16" s="1242"/>
      <c r="H16" s="1242"/>
      <c r="I16" s="1242"/>
      <c r="J16" s="1242"/>
      <c r="K16" s="1242"/>
      <c r="L16" s="1242"/>
      <c r="M16" s="1242"/>
      <c r="N16" s="1242"/>
      <c r="O16" s="1242"/>
      <c r="P16" s="1242"/>
      <c r="Q16" s="1242"/>
      <c r="S16" s="57"/>
      <c r="T16" s="48"/>
      <c r="U16" s="72"/>
      <c r="V16" s="72">
        <v>4</v>
      </c>
    </row>
    <row r="17" spans="1:32" ht="15.95" customHeight="1" thickBot="1" x14ac:dyDescent="0.3">
      <c r="B17" s="40"/>
      <c r="C17" s="40"/>
      <c r="D17" s="895"/>
      <c r="E17" s="69"/>
      <c r="F17" s="1721">
        <v>0</v>
      </c>
      <c r="G17" s="1722"/>
      <c r="H17" s="1722"/>
      <c r="I17" s="1723"/>
      <c r="J17" s="1721" t="str">
        <f>IF('Berechnung - Bauakustik'!J89=0,"Kostenschätzung liegt noch nicht vor",'Berechnung - Bauakustik'!J89)</f>
        <v>Kostenschätzung liegt noch nicht vor</v>
      </c>
      <c r="K17" s="1722"/>
      <c r="L17" s="1722"/>
      <c r="M17" s="1723"/>
      <c r="N17" s="1721" t="str">
        <f>IF('Berechnung - Bauakustik'!L89=0,"Kostenberechnung liegt noch nicht vor",'Berechnung - Bauakustik'!L89)</f>
        <v>Kostenberechnung liegt noch nicht vor</v>
      </c>
      <c r="O17" s="1722"/>
      <c r="P17" s="1722"/>
      <c r="Q17" s="1723"/>
      <c r="R17" s="96">
        <f>SUM(F17:Q17)</f>
        <v>0</v>
      </c>
      <c r="S17" s="57"/>
      <c r="T17" s="48"/>
      <c r="U17" s="72"/>
      <c r="V17" s="72">
        <v>5</v>
      </c>
    </row>
    <row r="18" spans="1:32" x14ac:dyDescent="0.25">
      <c r="B18" s="40"/>
      <c r="G18" s="54"/>
      <c r="H18" s="41"/>
      <c r="I18" s="57"/>
      <c r="J18" s="54"/>
      <c r="K18" s="54"/>
      <c r="L18" s="57"/>
      <c r="M18" s="58"/>
      <c r="N18" s="58"/>
      <c r="O18" s="59"/>
      <c r="R18" s="72"/>
      <c r="S18" s="57"/>
      <c r="T18" s="48"/>
    </row>
    <row r="19" spans="1:32" x14ac:dyDescent="0.25">
      <c r="A19" s="492" t="s">
        <v>139</v>
      </c>
      <c r="B19" s="42" t="s">
        <v>140</v>
      </c>
      <c r="C19" s="43"/>
      <c r="D19" s="43"/>
      <c r="E19" s="61"/>
      <c r="F19" s="43"/>
      <c r="G19" s="43"/>
      <c r="H19" s="44"/>
      <c r="I19" s="44"/>
      <c r="R19" s="72"/>
    </row>
    <row r="20" spans="1:32" ht="14.55" thickBot="1" x14ac:dyDescent="0.3">
      <c r="A20" s="492"/>
      <c r="B20" s="43"/>
      <c r="C20" s="43"/>
      <c r="D20" s="43"/>
      <c r="E20" s="61"/>
      <c r="F20" s="43"/>
      <c r="G20" s="43"/>
      <c r="H20" s="62"/>
      <c r="I20" s="62"/>
      <c r="R20" s="72"/>
      <c r="S20" s="63"/>
      <c r="T20" s="63"/>
      <c r="U20" s="63"/>
    </row>
    <row r="21" spans="1:32" ht="52.1" customHeight="1" thickBot="1" x14ac:dyDescent="0.3">
      <c r="A21" s="492"/>
      <c r="B21" s="1586" t="s">
        <v>142</v>
      </c>
      <c r="C21" s="1587"/>
      <c r="D21" s="1587"/>
      <c r="E21" s="1588"/>
      <c r="F21" s="1589"/>
      <c r="G21" s="1590"/>
      <c r="H21" s="1590"/>
      <c r="I21" s="1590"/>
      <c r="J21" s="1590"/>
      <c r="K21" s="1590"/>
      <c r="L21" s="1590"/>
      <c r="M21" s="1590"/>
      <c r="N21" s="1590"/>
      <c r="O21" s="1590"/>
      <c r="P21" s="1590"/>
      <c r="Q21" s="1591"/>
      <c r="R21" s="183">
        <f>IF(AND(R8&gt;0,F21=""),1,0)</f>
        <v>0</v>
      </c>
      <c r="S21" s="148"/>
      <c r="T21" s="148"/>
      <c r="U21" s="148"/>
      <c r="V21" s="148"/>
      <c r="W21" s="148"/>
      <c r="X21" s="148"/>
    </row>
    <row r="22" spans="1:32" x14ac:dyDescent="0.25">
      <c r="B22" s="40"/>
      <c r="G22" s="54"/>
      <c r="H22" s="41"/>
      <c r="I22" s="57"/>
      <c r="J22" s="54"/>
      <c r="K22" s="54"/>
      <c r="L22" s="57"/>
      <c r="M22" s="58"/>
      <c r="N22" s="58"/>
      <c r="O22" s="59"/>
      <c r="S22" s="57"/>
      <c r="T22" s="96"/>
      <c r="U22" s="72"/>
      <c r="V22" s="72"/>
      <c r="W22" s="68"/>
      <c r="X22" s="68"/>
    </row>
    <row r="23" spans="1:32" x14ac:dyDescent="0.25">
      <c r="B23" s="39" t="s">
        <v>506</v>
      </c>
      <c r="G23" s="54"/>
      <c r="H23" s="41"/>
      <c r="I23" s="57"/>
      <c r="J23" s="54"/>
      <c r="K23" s="54"/>
      <c r="L23" s="57"/>
      <c r="M23" s="58"/>
      <c r="N23" s="58"/>
      <c r="O23" s="59"/>
      <c r="S23" s="57"/>
      <c r="T23" s="96"/>
      <c r="U23" s="72"/>
      <c r="V23" s="72"/>
      <c r="W23" s="68"/>
      <c r="X23" s="68"/>
    </row>
    <row r="24" spans="1:32" x14ac:dyDescent="0.25">
      <c r="B24" s="40"/>
      <c r="G24" s="54"/>
      <c r="H24" s="41"/>
      <c r="I24" s="57"/>
      <c r="J24" s="54"/>
      <c r="K24" s="54"/>
      <c r="L24" s="57"/>
      <c r="M24" s="58"/>
      <c r="N24" s="58"/>
      <c r="O24" s="59"/>
      <c r="S24" s="57"/>
      <c r="T24" s="96"/>
      <c r="U24" s="72"/>
      <c r="V24" s="72"/>
      <c r="W24" s="72"/>
      <c r="X24" s="72"/>
    </row>
    <row r="25" spans="1:32" x14ac:dyDescent="0.25">
      <c r="A25" s="491" t="s">
        <v>144</v>
      </c>
      <c r="B25" s="40" t="s">
        <v>145</v>
      </c>
      <c r="G25" s="48"/>
      <c r="I25" s="48"/>
      <c r="T25" s="72"/>
      <c r="U25" s="72"/>
      <c r="V25" s="72"/>
      <c r="W25" s="72"/>
      <c r="X25" s="72"/>
    </row>
    <row r="26" spans="1:32" x14ac:dyDescent="0.25">
      <c r="B26" s="40"/>
      <c r="T26" s="72"/>
      <c r="U26" s="72"/>
      <c r="V26" s="72"/>
      <c r="W26" s="68"/>
      <c r="X26" s="68"/>
    </row>
    <row r="27" spans="1:32" ht="15.95" customHeight="1" x14ac:dyDescent="0.25">
      <c r="B27" s="39" t="s">
        <v>369</v>
      </c>
      <c r="S27" s="72"/>
      <c r="T27" s="72"/>
      <c r="U27" s="72" t="s">
        <v>115</v>
      </c>
      <c r="V27" s="72" t="s">
        <v>100</v>
      </c>
      <c r="W27" s="68"/>
      <c r="X27" s="68"/>
    </row>
    <row r="28" spans="1:32" ht="15.95" customHeight="1" x14ac:dyDescent="0.25">
      <c r="B28" s="39" t="s">
        <v>147</v>
      </c>
      <c r="S28" s="72"/>
      <c r="T28" s="72"/>
      <c r="U28" s="72"/>
      <c r="V28" s="72" t="s">
        <v>99</v>
      </c>
      <c r="W28" s="68"/>
      <c r="X28" s="68"/>
      <c r="AA28" s="72" t="s">
        <v>148</v>
      </c>
    </row>
    <row r="29" spans="1:32" ht="15.95" customHeight="1" thickBot="1" x14ac:dyDescent="0.3">
      <c r="S29" s="72"/>
      <c r="T29" s="72"/>
      <c r="U29" s="72"/>
      <c r="V29" s="72"/>
      <c r="W29" s="68"/>
      <c r="X29" s="68"/>
    </row>
    <row r="30" spans="1:32" ht="15.95" customHeight="1" x14ac:dyDescent="0.25">
      <c r="A30" s="1516" t="s">
        <v>507</v>
      </c>
      <c r="B30" s="1125" t="s">
        <v>150</v>
      </c>
      <c r="C30" s="1126"/>
      <c r="D30" s="1126"/>
      <c r="E30" s="1126"/>
      <c r="F30" s="1126"/>
      <c r="G30" s="1126"/>
      <c r="H30" s="1731" t="s">
        <v>151</v>
      </c>
      <c r="I30" s="1734"/>
      <c r="J30" s="995" t="s">
        <v>153</v>
      </c>
      <c r="K30" s="996"/>
      <c r="L30" s="142"/>
      <c r="M30" s="114"/>
      <c r="N30" s="114"/>
      <c r="O30" s="114"/>
      <c r="P30" s="70"/>
      <c r="Q30" s="70"/>
      <c r="R30" s="70"/>
      <c r="S30" s="73"/>
      <c r="T30" s="117"/>
      <c r="U30" s="117"/>
      <c r="V30" s="68"/>
      <c r="W30" s="68"/>
      <c r="X30" s="68"/>
      <c r="Y30" s="68"/>
      <c r="Z30" s="68"/>
      <c r="AA30" s="68"/>
      <c r="AC30" s="68"/>
      <c r="AD30" s="68"/>
    </row>
    <row r="31" spans="1:32" ht="15.95" customHeight="1" x14ac:dyDescent="0.25">
      <c r="A31" s="1516"/>
      <c r="B31" s="1127"/>
      <c r="C31" s="1128"/>
      <c r="D31" s="1128"/>
      <c r="E31" s="1128"/>
      <c r="F31" s="1128"/>
      <c r="G31" s="1128"/>
      <c r="H31" s="1732"/>
      <c r="I31" s="1735"/>
      <c r="J31" s="997"/>
      <c r="K31" s="998"/>
      <c r="L31" s="142"/>
      <c r="M31" s="114"/>
      <c r="N31" s="114"/>
      <c r="O31" s="114"/>
      <c r="P31" s="70"/>
      <c r="Q31" s="70"/>
      <c r="R31" s="70"/>
      <c r="S31" s="73"/>
      <c r="T31" s="73"/>
      <c r="U31" s="81" t="s">
        <v>372</v>
      </c>
      <c r="V31" s="68"/>
      <c r="W31" s="68"/>
      <c r="X31" s="68"/>
      <c r="Y31" s="68"/>
      <c r="Z31" s="68"/>
      <c r="AA31" s="68"/>
      <c r="AC31" s="68"/>
      <c r="AD31" s="68"/>
    </row>
    <row r="32" spans="1:32" ht="15" customHeight="1" thickBot="1" x14ac:dyDescent="0.3">
      <c r="A32" s="1516"/>
      <c r="B32" s="1129"/>
      <c r="C32" s="1130"/>
      <c r="D32" s="1130"/>
      <c r="E32" s="1130"/>
      <c r="F32" s="1130"/>
      <c r="G32" s="1130"/>
      <c r="H32" s="1733"/>
      <c r="I32" s="1736"/>
      <c r="J32" s="999"/>
      <c r="K32" s="1000"/>
      <c r="L32" s="143"/>
      <c r="M32" s="115"/>
      <c r="N32" s="115"/>
      <c r="O32" s="115"/>
      <c r="P32" s="116"/>
      <c r="Q32" s="116"/>
      <c r="R32" s="116"/>
      <c r="S32" s="73"/>
      <c r="T32" s="73"/>
      <c r="U32" s="81"/>
      <c r="V32" s="68"/>
      <c r="W32" s="68"/>
      <c r="X32" s="68"/>
      <c r="Y32" s="68"/>
      <c r="Z32" s="68"/>
      <c r="AA32" s="68"/>
      <c r="AC32" s="68"/>
      <c r="AD32" s="68"/>
      <c r="AE32" s="68"/>
      <c r="AF32" s="68"/>
    </row>
    <row r="33" spans="1:33" ht="15" customHeight="1" thickBot="1" x14ac:dyDescent="0.3">
      <c r="A33" s="1516"/>
      <c r="B33" s="1035" t="s">
        <v>154</v>
      </c>
      <c r="C33" s="1036"/>
      <c r="D33" s="1036"/>
      <c r="E33" s="1036"/>
      <c r="F33" s="1036"/>
      <c r="G33" s="1036"/>
      <c r="H33" s="1161"/>
      <c r="I33" s="1344">
        <f>F17</f>
        <v>0</v>
      </c>
      <c r="J33" s="1345"/>
      <c r="K33" s="1346"/>
      <c r="L33" s="1019" t="s">
        <v>155</v>
      </c>
      <c r="M33" s="1020"/>
      <c r="N33" s="1020"/>
      <c r="O33" s="1020"/>
      <c r="P33" s="1629"/>
      <c r="Q33" s="1131" t="s">
        <v>151</v>
      </c>
      <c r="R33" s="1608" t="str">
        <f>IF(B1=V2,"Honorar für die Besonderen Leistungen","Honorarangebot für die Besonderen Leistungen")</f>
        <v>Honorarangebot für die Besonderen Leistungen</v>
      </c>
      <c r="S33" s="1264"/>
      <c r="T33" s="1254" t="s">
        <v>156</v>
      </c>
      <c r="U33" s="1336" t="s">
        <v>157</v>
      </c>
      <c r="V33" s="184"/>
      <c r="W33" s="72"/>
      <c r="X33" s="72"/>
      <c r="Y33" s="72"/>
      <c r="Z33" s="72"/>
      <c r="AA33" s="68"/>
      <c r="AC33" s="68"/>
      <c r="AD33" s="68"/>
      <c r="AE33" s="68"/>
      <c r="AF33" s="68"/>
      <c r="AG33" s="68"/>
    </row>
    <row r="34" spans="1:33" ht="15" customHeight="1" thickBot="1" x14ac:dyDescent="0.3">
      <c r="A34" s="1516"/>
      <c r="B34" s="1038"/>
      <c r="C34" s="1039"/>
      <c r="D34" s="1039"/>
      <c r="E34" s="1039"/>
      <c r="F34" s="1039"/>
      <c r="G34" s="1039"/>
      <c r="H34" s="1162"/>
      <c r="I34" s="1347"/>
      <c r="J34" s="1348"/>
      <c r="K34" s="1349"/>
      <c r="L34" s="1021"/>
      <c r="M34" s="1022"/>
      <c r="N34" s="1022"/>
      <c r="O34" s="1022"/>
      <c r="P34" s="1630"/>
      <c r="Q34" s="1132"/>
      <c r="R34" s="1609"/>
      <c r="S34" s="1266"/>
      <c r="T34" s="1255"/>
      <c r="U34" s="1336"/>
      <c r="V34" s="184"/>
      <c r="W34" s="72"/>
      <c r="X34" s="72"/>
      <c r="Y34" s="72"/>
      <c r="Z34" s="72"/>
      <c r="AA34" s="68"/>
      <c r="AC34" s="68"/>
      <c r="AD34" s="68"/>
      <c r="AE34" s="68"/>
      <c r="AF34" s="68"/>
      <c r="AG34" s="68"/>
    </row>
    <row r="35" spans="1:33" ht="15.95" customHeight="1" thickBot="1" x14ac:dyDescent="0.3">
      <c r="A35" s="1516"/>
      <c r="B35" s="1041"/>
      <c r="C35" s="1042"/>
      <c r="D35" s="1042"/>
      <c r="E35" s="1042"/>
      <c r="F35" s="1042"/>
      <c r="G35" s="1042"/>
      <c r="H35" s="1163"/>
      <c r="I35" s="1350"/>
      <c r="J35" s="1351"/>
      <c r="K35" s="1352"/>
      <c r="L35" s="1023"/>
      <c r="M35" s="1024"/>
      <c r="N35" s="1024"/>
      <c r="O35" s="1024"/>
      <c r="P35" s="1631"/>
      <c r="Q35" s="1133"/>
      <c r="R35" s="1753"/>
      <c r="S35" s="1268"/>
      <c r="T35" s="1256"/>
      <c r="U35" s="1336"/>
      <c r="V35" s="184"/>
      <c r="W35" s="72"/>
      <c r="X35" s="72"/>
      <c r="Y35" s="72"/>
      <c r="Z35" s="72"/>
      <c r="AA35" s="68"/>
      <c r="AC35" s="68"/>
      <c r="AD35" s="68"/>
      <c r="AE35" s="68"/>
      <c r="AF35" s="68"/>
      <c r="AG35" s="68"/>
    </row>
    <row r="36" spans="1:33" ht="15.95" customHeight="1" thickBot="1" x14ac:dyDescent="0.3">
      <c r="A36" s="1516"/>
      <c r="B36" s="1082" t="s">
        <v>159</v>
      </c>
      <c r="C36" s="1083"/>
      <c r="D36" s="1083"/>
      <c r="E36" s="1083"/>
      <c r="F36" s="1083"/>
      <c r="G36" s="1084"/>
      <c r="H36" s="246"/>
      <c r="I36" s="1378"/>
      <c r="J36" s="1379"/>
      <c r="K36" s="1379"/>
      <c r="L36" s="1378"/>
      <c r="M36" s="1379"/>
      <c r="N36" s="1379"/>
      <c r="O36" s="1379"/>
      <c r="P36" s="1380"/>
      <c r="Q36" s="401"/>
      <c r="R36" s="1379"/>
      <c r="S36" s="1632"/>
      <c r="T36" s="71"/>
      <c r="U36" s="154"/>
      <c r="V36" s="149"/>
      <c r="W36" s="72"/>
      <c r="X36" s="72"/>
      <c r="Y36" s="72"/>
      <c r="Z36" s="72"/>
      <c r="AA36" s="68"/>
      <c r="AC36" s="68"/>
      <c r="AD36" s="68"/>
      <c r="AE36" s="68"/>
      <c r="AF36" s="68"/>
      <c r="AG36" s="68"/>
    </row>
    <row r="37" spans="1:33" ht="14.25" customHeight="1" thickBot="1" x14ac:dyDescent="0.3">
      <c r="A37" s="1516"/>
      <c r="B37" s="1383" t="s">
        <v>508</v>
      </c>
      <c r="C37" s="1384"/>
      <c r="D37" s="1384"/>
      <c r="E37" s="1384"/>
      <c r="F37" s="1384"/>
      <c r="G37" s="1384"/>
      <c r="H37" s="1137" t="s">
        <v>99</v>
      </c>
      <c r="I37" s="1016">
        <f>W43</f>
        <v>0.03</v>
      </c>
      <c r="J37" s="1027">
        <f>$I$33*I37</f>
        <v>0</v>
      </c>
      <c r="K37" s="1028"/>
      <c r="L37" s="1754"/>
      <c r="M37" s="1755"/>
      <c r="N37" s="1755"/>
      <c r="O37" s="1755"/>
      <c r="P37" s="1756"/>
      <c r="Q37" s="1763" t="s">
        <v>100</v>
      </c>
      <c r="R37" s="1728"/>
      <c r="S37" s="1729"/>
      <c r="T37" s="1341" t="str">
        <f>IFERROR(IF((VLOOKUP(U37,Überblick!$M$125:$N$133,2))="ja","ja","nein"),"")</f>
        <v/>
      </c>
      <c r="U37" s="1337"/>
      <c r="V37" s="72">
        <f>IF(AND(Q37="ja",R37=""),1,0)</f>
        <v>0</v>
      </c>
      <c r="W37" s="77">
        <f>IF(H37="ja",X37,0)</f>
        <v>1.4999999999999999E-2</v>
      </c>
      <c r="X37" s="74">
        <f>Z37/2</f>
        <v>1.4999999999999999E-2</v>
      </c>
      <c r="Y37" s="72"/>
      <c r="Z37" s="77">
        <v>0.03</v>
      </c>
      <c r="AA37" s="192"/>
      <c r="AB37" s="72">
        <f>IF(Q37="ja",1,0)</f>
        <v>0</v>
      </c>
      <c r="AC37" s="68"/>
      <c r="AD37" s="68"/>
      <c r="AE37" s="68"/>
      <c r="AF37" s="68"/>
      <c r="AG37" s="68"/>
    </row>
    <row r="38" spans="1:33" ht="15" customHeight="1" thickBot="1" x14ac:dyDescent="0.3">
      <c r="A38" s="1516"/>
      <c r="B38" s="1098"/>
      <c r="C38" s="1099"/>
      <c r="D38" s="1099"/>
      <c r="E38" s="1099"/>
      <c r="F38" s="1099"/>
      <c r="G38" s="1099"/>
      <c r="H38" s="1013"/>
      <c r="I38" s="1017"/>
      <c r="J38" s="1029"/>
      <c r="K38" s="1030"/>
      <c r="L38" s="1757"/>
      <c r="M38" s="1758"/>
      <c r="N38" s="1758"/>
      <c r="O38" s="1758"/>
      <c r="P38" s="1759"/>
      <c r="Q38" s="1727"/>
      <c r="R38" s="1724"/>
      <c r="S38" s="1725"/>
      <c r="T38" s="1342"/>
      <c r="U38" s="1337"/>
      <c r="V38" s="72"/>
      <c r="W38" s="77"/>
      <c r="X38" s="74"/>
      <c r="Y38" s="72"/>
      <c r="Z38" s="72"/>
      <c r="AA38" s="68"/>
      <c r="AB38" s="72">
        <f t="shared" ref="AB38:AB101" si="0">IF(Q38="ja",1,0)</f>
        <v>0</v>
      </c>
      <c r="AC38" s="68"/>
      <c r="AD38" s="68"/>
      <c r="AE38" s="68"/>
      <c r="AF38" s="68"/>
      <c r="AG38" s="68"/>
    </row>
    <row r="39" spans="1:33" ht="14.25" customHeight="1" thickBot="1" x14ac:dyDescent="0.3">
      <c r="A39" s="1516"/>
      <c r="B39" s="1098"/>
      <c r="C39" s="1099"/>
      <c r="D39" s="1099"/>
      <c r="E39" s="1099"/>
      <c r="F39" s="1099"/>
      <c r="G39" s="1099"/>
      <c r="H39" s="1013"/>
      <c r="I39" s="1017"/>
      <c r="J39" s="1029"/>
      <c r="K39" s="1030"/>
      <c r="L39" s="1757"/>
      <c r="M39" s="1758"/>
      <c r="N39" s="1758"/>
      <c r="O39" s="1758"/>
      <c r="P39" s="1759"/>
      <c r="Q39" s="353" t="s">
        <v>100</v>
      </c>
      <c r="R39" s="1724"/>
      <c r="S39" s="1725"/>
      <c r="T39" s="1342"/>
      <c r="U39" s="1337"/>
      <c r="V39" s="72"/>
      <c r="W39" s="77"/>
      <c r="X39" s="74"/>
      <c r="Y39" s="72"/>
      <c r="Z39" s="77"/>
      <c r="AA39" s="192"/>
      <c r="AB39" s="72">
        <f t="shared" si="0"/>
        <v>0</v>
      </c>
      <c r="AC39" s="68"/>
      <c r="AD39" s="68"/>
      <c r="AE39" s="68"/>
      <c r="AF39" s="68"/>
      <c r="AG39" s="68"/>
    </row>
    <row r="40" spans="1:33" ht="13.6" customHeight="1" thickBot="1" x14ac:dyDescent="0.3">
      <c r="A40" s="1516"/>
      <c r="B40" s="1487" t="s">
        <v>509</v>
      </c>
      <c r="C40" s="1488"/>
      <c r="D40" s="1488"/>
      <c r="E40" s="1488"/>
      <c r="F40" s="1488"/>
      <c r="G40" s="1489"/>
      <c r="H40" s="981" t="s">
        <v>99</v>
      </c>
      <c r="I40" s="1017"/>
      <c r="J40" s="1029"/>
      <c r="K40" s="1030"/>
      <c r="L40" s="1757"/>
      <c r="M40" s="1758"/>
      <c r="N40" s="1758"/>
      <c r="O40" s="1758"/>
      <c r="P40" s="1759"/>
      <c r="Q40" s="1726" t="s">
        <v>100</v>
      </c>
      <c r="R40" s="1724"/>
      <c r="S40" s="1725"/>
      <c r="T40" s="1342"/>
      <c r="U40" s="1337"/>
      <c r="V40" s="72">
        <f t="shared" ref="V40:V86" si="1">IF(AND(Q40="ja",R40=""),1,0)</f>
        <v>0</v>
      </c>
      <c r="W40" s="77">
        <f>IF(H40="ja",X40,0)</f>
        <v>1.4999999999999999E-2</v>
      </c>
      <c r="X40" s="74">
        <f>Z37/2</f>
        <v>1.4999999999999999E-2</v>
      </c>
      <c r="Y40" s="72"/>
      <c r="Z40" s="77"/>
      <c r="AA40" s="192"/>
      <c r="AB40" s="72">
        <f t="shared" si="0"/>
        <v>0</v>
      </c>
      <c r="AC40" s="68"/>
      <c r="AD40" s="68"/>
      <c r="AE40" s="68"/>
      <c r="AF40" s="68"/>
      <c r="AG40" s="68"/>
    </row>
    <row r="41" spans="1:33" ht="13.6" customHeight="1" thickBot="1" x14ac:dyDescent="0.3">
      <c r="A41" s="1516"/>
      <c r="B41" s="1493"/>
      <c r="C41" s="1317"/>
      <c r="D41" s="1317"/>
      <c r="E41" s="1317"/>
      <c r="F41" s="1317"/>
      <c r="G41" s="1494"/>
      <c r="H41" s="982"/>
      <c r="I41" s="1017"/>
      <c r="J41" s="1029"/>
      <c r="K41" s="1030"/>
      <c r="L41" s="1757"/>
      <c r="M41" s="1758"/>
      <c r="N41" s="1758"/>
      <c r="O41" s="1758"/>
      <c r="P41" s="1759"/>
      <c r="Q41" s="1727"/>
      <c r="R41" s="1724"/>
      <c r="S41" s="1725"/>
      <c r="T41" s="1342"/>
      <c r="U41" s="1337"/>
      <c r="V41" s="72"/>
      <c r="W41" s="77"/>
      <c r="X41" s="74"/>
      <c r="Y41" s="72"/>
      <c r="Z41" s="77"/>
      <c r="AA41" s="192"/>
      <c r="AB41" s="72">
        <f t="shared" si="0"/>
        <v>0</v>
      </c>
      <c r="AC41" s="68"/>
      <c r="AD41" s="68"/>
      <c r="AE41" s="68"/>
      <c r="AF41" s="68"/>
      <c r="AG41" s="68"/>
    </row>
    <row r="42" spans="1:33" ht="15" customHeight="1" thickBot="1" x14ac:dyDescent="0.3">
      <c r="A42" s="1516"/>
      <c r="B42" s="1592"/>
      <c r="C42" s="1593"/>
      <c r="D42" s="1593"/>
      <c r="E42" s="1593"/>
      <c r="F42" s="1593"/>
      <c r="G42" s="1594"/>
      <c r="H42" s="1304"/>
      <c r="I42" s="1018"/>
      <c r="J42" s="1031"/>
      <c r="K42" s="1032"/>
      <c r="L42" s="1760" t="s">
        <v>510</v>
      </c>
      <c r="M42" s="1761"/>
      <c r="N42" s="1761"/>
      <c r="O42" s="1761"/>
      <c r="P42" s="1762"/>
      <c r="Q42" s="353" t="s">
        <v>99</v>
      </c>
      <c r="R42" s="1623"/>
      <c r="S42" s="1624"/>
      <c r="T42" s="1342"/>
      <c r="U42" s="1337"/>
      <c r="V42" s="72"/>
      <c r="W42" s="74"/>
      <c r="X42" s="74"/>
      <c r="Y42" s="72"/>
      <c r="Z42" s="72"/>
      <c r="AA42" s="68"/>
      <c r="AB42" s="72">
        <f t="shared" si="0"/>
        <v>1</v>
      </c>
      <c r="AC42" s="68"/>
      <c r="AD42" s="68"/>
      <c r="AE42" s="68"/>
      <c r="AF42" s="68"/>
      <c r="AG42" s="68"/>
    </row>
    <row r="43" spans="1:33" ht="14.25" customHeight="1" thickBot="1" x14ac:dyDescent="0.3">
      <c r="A43" s="1516"/>
      <c r="B43" s="1082" t="s">
        <v>172</v>
      </c>
      <c r="C43" s="1083"/>
      <c r="D43" s="1083"/>
      <c r="E43" s="1083"/>
      <c r="F43" s="1083"/>
      <c r="G43" s="1084"/>
      <c r="H43" s="145"/>
      <c r="I43" s="1744"/>
      <c r="J43" s="1745"/>
      <c r="K43" s="1746"/>
      <c r="L43" s="1180">
        <f>SUM(R37:S42)</f>
        <v>0</v>
      </c>
      <c r="M43" s="1181"/>
      <c r="N43" s="1181"/>
      <c r="O43" s="1181"/>
      <c r="P43" s="1181"/>
      <c r="Q43" s="211"/>
      <c r="R43" s="1181"/>
      <c r="S43" s="1272"/>
      <c r="T43" s="334"/>
      <c r="U43" s="335" t="s">
        <v>157</v>
      </c>
      <c r="V43" s="72"/>
      <c r="W43" s="74">
        <f>SUM(W37:W42)</f>
        <v>0.03</v>
      </c>
      <c r="X43" s="75"/>
      <c r="Y43" s="75"/>
      <c r="Z43" s="75"/>
      <c r="AA43" s="191"/>
      <c r="AB43" s="72">
        <f t="shared" si="0"/>
        <v>0</v>
      </c>
      <c r="AC43" s="68"/>
      <c r="AD43" s="68"/>
      <c r="AE43" s="68"/>
      <c r="AF43" s="68"/>
      <c r="AG43" s="68"/>
    </row>
    <row r="44" spans="1:33" ht="14.25" customHeight="1" x14ac:dyDescent="0.25">
      <c r="A44" s="1516"/>
      <c r="B44" s="1394" t="s">
        <v>511</v>
      </c>
      <c r="C44" s="1395"/>
      <c r="D44" s="1395"/>
      <c r="E44" s="1395"/>
      <c r="F44" s="1395"/>
      <c r="G44" s="1396"/>
      <c r="H44" s="325" t="s">
        <v>99</v>
      </c>
      <c r="I44" s="1016">
        <f>W56</f>
        <v>0.19999999999999998</v>
      </c>
      <c r="J44" s="1044">
        <f>I33*I44</f>
        <v>0</v>
      </c>
      <c r="K44" s="1045"/>
      <c r="L44" s="1749" t="s">
        <v>512</v>
      </c>
      <c r="M44" s="1750"/>
      <c r="N44" s="1750"/>
      <c r="O44" s="1750"/>
      <c r="P44" s="1750"/>
      <c r="Q44" s="1727" t="s">
        <v>99</v>
      </c>
      <c r="R44" s="1627"/>
      <c r="S44" s="1008"/>
      <c r="T44" s="1257" t="str">
        <f>IFERROR(IF((VLOOKUP(U44,Überblick!$M$125:$N$133,2))="ja","ja","nein"),"")</f>
        <v/>
      </c>
      <c r="U44" s="1338"/>
      <c r="V44" s="72">
        <f t="shared" si="1"/>
        <v>1</v>
      </c>
      <c r="W44" s="77">
        <f>IF(H44="ja",X44,0)</f>
        <v>3.3333333333333333E-2</v>
      </c>
      <c r="X44" s="74">
        <f>Z44/6</f>
        <v>3.3333333333333333E-2</v>
      </c>
      <c r="Y44" s="72"/>
      <c r="Z44" s="77">
        <v>0.2</v>
      </c>
      <c r="AA44" s="192"/>
      <c r="AB44" s="72">
        <f t="shared" si="0"/>
        <v>1</v>
      </c>
      <c r="AC44" s="68"/>
      <c r="AD44" s="68"/>
      <c r="AE44" s="68"/>
      <c r="AF44" s="68"/>
      <c r="AG44" s="68"/>
    </row>
    <row r="45" spans="1:33" ht="14.25" customHeight="1" x14ac:dyDescent="0.25">
      <c r="A45" s="1516"/>
      <c r="B45" s="1487" t="s">
        <v>513</v>
      </c>
      <c r="C45" s="1488"/>
      <c r="D45" s="1488"/>
      <c r="E45" s="1488"/>
      <c r="F45" s="1488"/>
      <c r="G45" s="1489"/>
      <c r="H45" s="981" t="s">
        <v>99</v>
      </c>
      <c r="I45" s="1017"/>
      <c r="J45" s="1046"/>
      <c r="K45" s="1047"/>
      <c r="L45" s="1749"/>
      <c r="M45" s="1750"/>
      <c r="N45" s="1750"/>
      <c r="O45" s="1750"/>
      <c r="P45" s="1750"/>
      <c r="Q45" s="1727"/>
      <c r="R45" s="1627"/>
      <c r="S45" s="1008"/>
      <c r="T45" s="1258"/>
      <c r="U45" s="1339"/>
      <c r="V45" s="72"/>
      <c r="W45" s="77">
        <f>IF(H45="ja",X45,0)</f>
        <v>3.3333333333333333E-2</v>
      </c>
      <c r="X45" s="74">
        <f>Z44/6</f>
        <v>3.3333333333333333E-2</v>
      </c>
      <c r="Y45" s="72"/>
      <c r="Z45" s="72"/>
      <c r="AA45" s="68"/>
      <c r="AB45" s="72">
        <f t="shared" si="0"/>
        <v>0</v>
      </c>
      <c r="AC45" s="68"/>
      <c r="AD45" s="68"/>
      <c r="AE45" s="68"/>
      <c r="AF45" s="68"/>
      <c r="AG45" s="68"/>
    </row>
    <row r="46" spans="1:33" ht="14.25" customHeight="1" x14ac:dyDescent="0.25">
      <c r="A46" s="1516"/>
      <c r="B46" s="1493"/>
      <c r="C46" s="1317"/>
      <c r="D46" s="1317"/>
      <c r="E46" s="1317"/>
      <c r="F46" s="1317"/>
      <c r="G46" s="1494"/>
      <c r="H46" s="982"/>
      <c r="I46" s="1017"/>
      <c r="J46" s="1046"/>
      <c r="K46" s="1047"/>
      <c r="L46" s="1751"/>
      <c r="M46" s="1752"/>
      <c r="N46" s="1752"/>
      <c r="O46" s="1752"/>
      <c r="P46" s="1752"/>
      <c r="Q46" s="1743"/>
      <c r="R46" s="1628"/>
      <c r="S46" s="1270"/>
      <c r="T46" s="1258"/>
      <c r="U46" s="1339"/>
      <c r="V46" s="72"/>
      <c r="W46" s="72"/>
      <c r="X46" s="74"/>
      <c r="Y46" s="72"/>
      <c r="Z46" s="72"/>
      <c r="AA46" s="68"/>
      <c r="AB46" s="72">
        <f t="shared" si="0"/>
        <v>0</v>
      </c>
      <c r="AC46" s="68"/>
      <c r="AD46" s="68"/>
      <c r="AE46" s="68"/>
      <c r="AF46" s="68"/>
      <c r="AG46" s="68"/>
    </row>
    <row r="47" spans="1:33" ht="14.25" customHeight="1" x14ac:dyDescent="0.25">
      <c r="A47" s="1516"/>
      <c r="B47" s="1490"/>
      <c r="C47" s="1491"/>
      <c r="D47" s="1491"/>
      <c r="E47" s="1491"/>
      <c r="F47" s="1491"/>
      <c r="G47" s="1492"/>
      <c r="H47" s="983"/>
      <c r="I47" s="1017"/>
      <c r="J47" s="1046"/>
      <c r="K47" s="1047"/>
      <c r="L47" s="1737" t="s">
        <v>514</v>
      </c>
      <c r="M47" s="1738"/>
      <c r="N47" s="1738"/>
      <c r="O47" s="1738"/>
      <c r="P47" s="1738"/>
      <c r="Q47" s="1726" t="s">
        <v>100</v>
      </c>
      <c r="R47" s="1764"/>
      <c r="S47" s="1006"/>
      <c r="T47" s="1258"/>
      <c r="U47" s="1339"/>
      <c r="V47" s="72">
        <f t="shared" si="1"/>
        <v>0</v>
      </c>
      <c r="W47" s="72"/>
      <c r="X47" s="74"/>
      <c r="Y47" s="72"/>
      <c r="Z47" s="72"/>
      <c r="AA47" s="68"/>
      <c r="AB47" s="72">
        <f t="shared" si="0"/>
        <v>0</v>
      </c>
      <c r="AC47" s="68"/>
      <c r="AD47" s="68"/>
      <c r="AE47" s="68"/>
      <c r="AF47" s="68"/>
      <c r="AG47" s="68"/>
    </row>
    <row r="48" spans="1:33" ht="14.25" customHeight="1" x14ac:dyDescent="0.25">
      <c r="A48" s="1516"/>
      <c r="B48" s="1103" t="s">
        <v>515</v>
      </c>
      <c r="C48" s="1104"/>
      <c r="D48" s="1104"/>
      <c r="E48" s="1104"/>
      <c r="F48" s="1104"/>
      <c r="G48" s="1105"/>
      <c r="H48" s="1190" t="s">
        <v>99</v>
      </c>
      <c r="I48" s="1017"/>
      <c r="J48" s="1046"/>
      <c r="K48" s="1047"/>
      <c r="L48" s="1739"/>
      <c r="M48" s="1740"/>
      <c r="N48" s="1740"/>
      <c r="O48" s="1740"/>
      <c r="P48" s="1740"/>
      <c r="Q48" s="1727"/>
      <c r="R48" s="1627"/>
      <c r="S48" s="1008"/>
      <c r="T48" s="1258"/>
      <c r="U48" s="1339"/>
      <c r="V48" s="72"/>
      <c r="W48" s="77">
        <f>IF(H48="ja",X48,0)</f>
        <v>3.3333333333333333E-2</v>
      </c>
      <c r="X48" s="74">
        <f>Z44/6</f>
        <v>3.3333333333333333E-2</v>
      </c>
      <c r="Y48" s="72"/>
      <c r="Z48" s="72"/>
      <c r="AA48" s="68"/>
      <c r="AB48" s="72">
        <f t="shared" si="0"/>
        <v>0</v>
      </c>
      <c r="AC48" s="68"/>
      <c r="AD48" s="68"/>
      <c r="AE48" s="68"/>
      <c r="AF48" s="68"/>
      <c r="AG48" s="68"/>
    </row>
    <row r="49" spans="1:42" ht="14.25" customHeight="1" x14ac:dyDescent="0.25">
      <c r="A49" s="1516"/>
      <c r="B49" s="1103"/>
      <c r="C49" s="1104"/>
      <c r="D49" s="1104"/>
      <c r="E49" s="1104"/>
      <c r="F49" s="1104"/>
      <c r="G49" s="1105"/>
      <c r="H49" s="1191"/>
      <c r="I49" s="1017"/>
      <c r="J49" s="1046"/>
      <c r="K49" s="1047"/>
      <c r="L49" s="1741"/>
      <c r="M49" s="1742"/>
      <c r="N49" s="1742"/>
      <c r="O49" s="1742"/>
      <c r="P49" s="1742"/>
      <c r="Q49" s="1743"/>
      <c r="R49" s="1628"/>
      <c r="S49" s="1270"/>
      <c r="T49" s="1258"/>
      <c r="U49" s="1339"/>
      <c r="V49" s="72"/>
      <c r="W49" s="72"/>
      <c r="X49" s="74"/>
      <c r="Y49" s="72"/>
      <c r="Z49" s="72"/>
      <c r="AA49" s="68"/>
      <c r="AB49" s="72">
        <f t="shared" si="0"/>
        <v>0</v>
      </c>
      <c r="AC49" s="68"/>
      <c r="AD49" s="68"/>
      <c r="AE49" s="68"/>
      <c r="AF49" s="68"/>
      <c r="AG49" s="68"/>
    </row>
    <row r="50" spans="1:42" ht="14.25" customHeight="1" x14ac:dyDescent="0.25">
      <c r="A50" s="1516"/>
      <c r="B50" s="1103" t="s">
        <v>516</v>
      </c>
      <c r="C50" s="1104"/>
      <c r="D50" s="1104"/>
      <c r="E50" s="1104"/>
      <c r="F50" s="1104"/>
      <c r="G50" s="1105"/>
      <c r="H50" s="1190" t="s">
        <v>99</v>
      </c>
      <c r="I50" s="1017"/>
      <c r="J50" s="1046"/>
      <c r="K50" s="1047"/>
      <c r="L50" s="1737" t="s">
        <v>517</v>
      </c>
      <c r="M50" s="1738"/>
      <c r="N50" s="1738"/>
      <c r="O50" s="1738"/>
      <c r="P50" s="1738"/>
      <c r="Q50" s="1726" t="s">
        <v>100</v>
      </c>
      <c r="R50" s="1764"/>
      <c r="S50" s="1006"/>
      <c r="T50" s="1258"/>
      <c r="U50" s="1339"/>
      <c r="V50" s="72">
        <f t="shared" si="1"/>
        <v>0</v>
      </c>
      <c r="W50" s="77">
        <f>IF(H50="ja",X50,0)</f>
        <v>3.3333333333333333E-2</v>
      </c>
      <c r="X50" s="74">
        <f>Z44/6</f>
        <v>3.3333333333333333E-2</v>
      </c>
      <c r="Y50" s="72"/>
      <c r="Z50" s="72"/>
      <c r="AA50" s="68"/>
      <c r="AB50" s="72">
        <f t="shared" si="0"/>
        <v>0</v>
      </c>
      <c r="AC50" s="68"/>
      <c r="AD50" s="68"/>
      <c r="AE50" s="68"/>
      <c r="AF50" s="68"/>
      <c r="AG50" s="68"/>
    </row>
    <row r="51" spans="1:42" ht="14.25" customHeight="1" x14ac:dyDescent="0.25">
      <c r="A51" s="1516"/>
      <c r="B51" s="1103"/>
      <c r="C51" s="1104"/>
      <c r="D51" s="1104"/>
      <c r="E51" s="1104"/>
      <c r="F51" s="1104"/>
      <c r="G51" s="1105"/>
      <c r="H51" s="1193"/>
      <c r="I51" s="1017"/>
      <c r="J51" s="1046"/>
      <c r="K51" s="1047"/>
      <c r="L51" s="1739"/>
      <c r="M51" s="1740"/>
      <c r="N51" s="1740"/>
      <c r="O51" s="1740"/>
      <c r="P51" s="1740"/>
      <c r="Q51" s="1727"/>
      <c r="R51" s="1627"/>
      <c r="S51" s="1008"/>
      <c r="T51" s="1258"/>
      <c r="U51" s="1339"/>
      <c r="V51" s="72"/>
      <c r="W51" s="72"/>
      <c r="X51" s="74"/>
      <c r="Y51" s="72"/>
      <c r="Z51" s="77"/>
      <c r="AA51" s="192"/>
      <c r="AB51" s="72">
        <f t="shared" si="0"/>
        <v>0</v>
      </c>
      <c r="AC51" s="68"/>
      <c r="AD51" s="68"/>
      <c r="AE51" s="68"/>
      <c r="AF51" s="68"/>
      <c r="AG51" s="68"/>
    </row>
    <row r="52" spans="1:42" ht="14.25" customHeight="1" x14ac:dyDescent="0.25">
      <c r="A52" s="1516"/>
      <c r="B52" s="1103" t="s">
        <v>518</v>
      </c>
      <c r="C52" s="1104"/>
      <c r="D52" s="1104"/>
      <c r="E52" s="1104"/>
      <c r="F52" s="1104"/>
      <c r="G52" s="1105"/>
      <c r="H52" s="1190" t="s">
        <v>99</v>
      </c>
      <c r="I52" s="1017"/>
      <c r="J52" s="1046"/>
      <c r="K52" s="1047"/>
      <c r="L52" s="1741"/>
      <c r="M52" s="1742"/>
      <c r="N52" s="1742"/>
      <c r="O52" s="1742"/>
      <c r="P52" s="1742"/>
      <c r="Q52" s="1743"/>
      <c r="R52" s="1628"/>
      <c r="S52" s="1270"/>
      <c r="T52" s="1258"/>
      <c r="U52" s="1339"/>
      <c r="V52" s="72"/>
      <c r="W52" s="77">
        <f>IF(H52="ja",X52,0)</f>
        <v>3.3333333333333333E-2</v>
      </c>
      <c r="X52" s="74">
        <f>Z44/6</f>
        <v>3.3333333333333333E-2</v>
      </c>
      <c r="Y52" s="72"/>
      <c r="Z52" s="72"/>
      <c r="AA52" s="68"/>
      <c r="AB52" s="72">
        <f t="shared" si="0"/>
        <v>0</v>
      </c>
      <c r="AC52" s="68"/>
      <c r="AD52" s="68"/>
      <c r="AE52" s="68"/>
      <c r="AF52" s="68"/>
      <c r="AG52" s="68"/>
    </row>
    <row r="53" spans="1:42" ht="14.25" customHeight="1" x14ac:dyDescent="0.25">
      <c r="A53" s="1516"/>
      <c r="B53" s="1103"/>
      <c r="C53" s="1104"/>
      <c r="D53" s="1104"/>
      <c r="E53" s="1104"/>
      <c r="F53" s="1104"/>
      <c r="G53" s="1105"/>
      <c r="H53" s="1191"/>
      <c r="I53" s="1017"/>
      <c r="J53" s="1046"/>
      <c r="K53" s="1047"/>
      <c r="L53" s="1737"/>
      <c r="M53" s="1738"/>
      <c r="N53" s="1738"/>
      <c r="O53" s="1738"/>
      <c r="P53" s="1738"/>
      <c r="Q53" s="1726" t="s">
        <v>100</v>
      </c>
      <c r="R53" s="1764"/>
      <c r="S53" s="1006"/>
      <c r="T53" s="1258"/>
      <c r="U53" s="1339"/>
      <c r="V53" s="72">
        <f t="shared" si="1"/>
        <v>0</v>
      </c>
      <c r="W53" s="72"/>
      <c r="X53" s="74"/>
      <c r="Y53" s="72"/>
      <c r="Z53" s="77"/>
      <c r="AA53" s="192"/>
      <c r="AB53" s="72">
        <f t="shared" si="0"/>
        <v>0</v>
      </c>
      <c r="AC53" s="68"/>
      <c r="AD53" s="68"/>
      <c r="AE53" s="68"/>
      <c r="AF53" s="68"/>
      <c r="AG53" s="68"/>
    </row>
    <row r="54" spans="1:42" ht="14.25" customHeight="1" x14ac:dyDescent="0.25">
      <c r="A54" s="1516"/>
      <c r="B54" s="1103" t="s">
        <v>519</v>
      </c>
      <c r="C54" s="1104"/>
      <c r="D54" s="1104"/>
      <c r="E54" s="1104"/>
      <c r="F54" s="1104"/>
      <c r="G54" s="1105"/>
      <c r="H54" s="1190" t="s">
        <v>99</v>
      </c>
      <c r="I54" s="1017"/>
      <c r="J54" s="1046"/>
      <c r="K54" s="1047"/>
      <c r="L54" s="1739"/>
      <c r="M54" s="1740"/>
      <c r="N54" s="1740"/>
      <c r="O54" s="1740"/>
      <c r="P54" s="1740"/>
      <c r="Q54" s="1727"/>
      <c r="R54" s="1627"/>
      <c r="S54" s="1008"/>
      <c r="T54" s="1258"/>
      <c r="U54" s="1339"/>
      <c r="V54" s="72"/>
      <c r="W54" s="77">
        <f>IF(H54="ja",X54,0)</f>
        <v>3.3333333333333333E-2</v>
      </c>
      <c r="X54" s="74">
        <f>Z44/6</f>
        <v>3.3333333333333333E-2</v>
      </c>
      <c r="Y54" s="72"/>
      <c r="Z54" s="77"/>
      <c r="AA54" s="192"/>
      <c r="AB54" s="72">
        <f t="shared" si="0"/>
        <v>0</v>
      </c>
      <c r="AC54" s="68"/>
      <c r="AD54" s="68"/>
      <c r="AE54" s="68"/>
      <c r="AF54" s="68"/>
      <c r="AG54" s="68"/>
    </row>
    <row r="55" spans="1:42" ht="14.25" customHeight="1" thickBot="1" x14ac:dyDescent="0.3">
      <c r="A55" s="1516"/>
      <c r="B55" s="1103"/>
      <c r="C55" s="1104"/>
      <c r="D55" s="1104"/>
      <c r="E55" s="1104"/>
      <c r="F55" s="1104"/>
      <c r="G55" s="1105"/>
      <c r="H55" s="1191"/>
      <c r="I55" s="1018"/>
      <c r="J55" s="1048"/>
      <c r="K55" s="1049"/>
      <c r="L55" s="1741"/>
      <c r="M55" s="1742"/>
      <c r="N55" s="1742"/>
      <c r="O55" s="1742"/>
      <c r="P55" s="1742"/>
      <c r="Q55" s="1743"/>
      <c r="R55" s="1628"/>
      <c r="S55" s="1270"/>
      <c r="T55" s="1258"/>
      <c r="U55" s="1339"/>
      <c r="V55" s="72"/>
      <c r="W55" s="74"/>
      <c r="X55" s="74"/>
      <c r="Y55" s="72"/>
      <c r="Z55" s="77"/>
      <c r="AA55" s="192"/>
      <c r="AB55" s="72">
        <f t="shared" si="0"/>
        <v>0</v>
      </c>
      <c r="AC55" s="68"/>
      <c r="AD55" s="68"/>
      <c r="AE55" s="68"/>
      <c r="AF55" s="68"/>
      <c r="AG55" s="68"/>
    </row>
    <row r="56" spans="1:42" ht="14.25" customHeight="1" x14ac:dyDescent="0.25">
      <c r="A56" s="1516"/>
      <c r="B56" s="1035" t="s">
        <v>154</v>
      </c>
      <c r="C56" s="1036"/>
      <c r="D56" s="1036"/>
      <c r="E56" s="1036"/>
      <c r="F56" s="1036"/>
      <c r="G56" s="1036"/>
      <c r="H56" s="1161"/>
      <c r="I56" s="1035">
        <f>IF(J17="Kostenschätzung liegt noch nicht vor",I33,J17)</f>
        <v>0</v>
      </c>
      <c r="J56" s="1036"/>
      <c r="K56" s="1037"/>
      <c r="L56" s="1355">
        <f>SUM(R44:S55)</f>
        <v>0</v>
      </c>
      <c r="M56" s="1356"/>
      <c r="N56" s="1356"/>
      <c r="O56" s="1356"/>
      <c r="P56" s="1356"/>
      <c r="Q56" s="1795"/>
      <c r="R56" s="1356"/>
      <c r="S56" s="1798"/>
      <c r="T56" s="1260"/>
      <c r="U56" s="1257"/>
      <c r="V56" s="72"/>
      <c r="W56" s="74">
        <f>SUM(W44:W55)</f>
        <v>0.19999999999999998</v>
      </c>
      <c r="X56" s="75"/>
      <c r="Y56" s="75"/>
      <c r="Z56" s="72"/>
      <c r="AA56" s="68"/>
      <c r="AB56" s="72">
        <f t="shared" si="0"/>
        <v>0</v>
      </c>
      <c r="AC56" s="68"/>
      <c r="AD56" s="68"/>
      <c r="AE56" s="68"/>
      <c r="AF56" s="68"/>
      <c r="AG56" s="68"/>
    </row>
    <row r="57" spans="1:42" ht="14.25" customHeight="1" x14ac:dyDescent="0.25">
      <c r="A57" s="1516"/>
      <c r="B57" s="1038"/>
      <c r="C57" s="1039"/>
      <c r="D57" s="1039"/>
      <c r="E57" s="1039"/>
      <c r="F57" s="1039"/>
      <c r="G57" s="1039"/>
      <c r="H57" s="1162"/>
      <c r="I57" s="1038"/>
      <c r="J57" s="1039"/>
      <c r="K57" s="1040"/>
      <c r="L57" s="1357"/>
      <c r="M57" s="1358"/>
      <c r="N57" s="1358"/>
      <c r="O57" s="1358"/>
      <c r="P57" s="1358"/>
      <c r="Q57" s="1796"/>
      <c r="R57" s="1358"/>
      <c r="S57" s="1799"/>
      <c r="T57" s="1261"/>
      <c r="U57" s="1258"/>
      <c r="V57" s="72"/>
      <c r="W57" s="76"/>
      <c r="X57" s="74"/>
      <c r="Y57" s="72"/>
      <c r="Z57" s="72"/>
      <c r="AA57" s="68"/>
      <c r="AB57" s="72">
        <f t="shared" si="0"/>
        <v>0</v>
      </c>
      <c r="AC57" s="68"/>
      <c r="AD57" s="68"/>
      <c r="AE57" s="68"/>
      <c r="AF57" s="68"/>
      <c r="AG57" s="68"/>
    </row>
    <row r="58" spans="1:42" ht="14.25" customHeight="1" thickBot="1" x14ac:dyDescent="0.3">
      <c r="A58" s="1516"/>
      <c r="B58" s="1041"/>
      <c r="C58" s="1042"/>
      <c r="D58" s="1042"/>
      <c r="E58" s="1042"/>
      <c r="F58" s="1042"/>
      <c r="G58" s="1042"/>
      <c r="H58" s="1163"/>
      <c r="I58" s="1041"/>
      <c r="J58" s="1042"/>
      <c r="K58" s="1043"/>
      <c r="L58" s="1359"/>
      <c r="M58" s="1360"/>
      <c r="N58" s="1360"/>
      <c r="O58" s="1360"/>
      <c r="P58" s="1360"/>
      <c r="Q58" s="1797"/>
      <c r="R58" s="1360"/>
      <c r="S58" s="1800"/>
      <c r="T58" s="1262"/>
      <c r="U58" s="1259"/>
      <c r="V58" s="72"/>
      <c r="W58" s="76"/>
      <c r="X58" s="74"/>
      <c r="Y58" s="72"/>
      <c r="Z58" s="72"/>
      <c r="AA58" s="68"/>
      <c r="AB58" s="72">
        <f t="shared" si="0"/>
        <v>0</v>
      </c>
      <c r="AC58" s="68"/>
      <c r="AD58" s="68"/>
      <c r="AE58" s="68"/>
      <c r="AF58" s="68"/>
      <c r="AG58" s="68"/>
    </row>
    <row r="59" spans="1:42" ht="14.25" customHeight="1" thickBot="1" x14ac:dyDescent="0.3">
      <c r="A59" s="1516"/>
      <c r="B59" s="1082" t="s">
        <v>186</v>
      </c>
      <c r="C59" s="1083"/>
      <c r="D59" s="1083"/>
      <c r="E59" s="1083"/>
      <c r="F59" s="1083"/>
      <c r="G59" s="1084"/>
      <c r="H59" s="144"/>
      <c r="I59" s="1361"/>
      <c r="J59" s="1362"/>
      <c r="K59" s="1576"/>
      <c r="L59" s="1361"/>
      <c r="M59" s="1362"/>
      <c r="N59" s="1362"/>
      <c r="O59" s="1362"/>
      <c r="P59" s="1362"/>
      <c r="Q59" s="212"/>
      <c r="R59" s="1181"/>
      <c r="S59" s="1272"/>
      <c r="U59" s="335" t="s">
        <v>157</v>
      </c>
      <c r="V59" s="72"/>
      <c r="W59" s="74"/>
      <c r="X59" s="150"/>
      <c r="Y59" s="150"/>
      <c r="Z59" s="150"/>
      <c r="AA59" s="68"/>
      <c r="AB59" s="72">
        <f t="shared" si="0"/>
        <v>0</v>
      </c>
      <c r="AC59" s="68"/>
      <c r="AD59" s="68"/>
      <c r="AE59" s="68"/>
      <c r="AF59" s="68"/>
      <c r="AG59" s="68"/>
    </row>
    <row r="60" spans="1:42" ht="14.25" customHeight="1" x14ac:dyDescent="0.25">
      <c r="A60" s="1516"/>
      <c r="B60" s="1497" t="s">
        <v>520</v>
      </c>
      <c r="C60" s="1498"/>
      <c r="D60" s="1498"/>
      <c r="E60" s="1498"/>
      <c r="F60" s="1498"/>
      <c r="G60" s="1499"/>
      <c r="H60" s="1194" t="s">
        <v>99</v>
      </c>
      <c r="I60" s="1016">
        <f>W73</f>
        <v>0.4</v>
      </c>
      <c r="J60" s="1044">
        <f>I60*I56</f>
        <v>0</v>
      </c>
      <c r="K60" s="1045"/>
      <c r="L60" s="1739" t="s">
        <v>521</v>
      </c>
      <c r="M60" s="1740"/>
      <c r="N60" s="1740"/>
      <c r="O60" s="1740"/>
      <c r="P60" s="1740"/>
      <c r="Q60" s="1727" t="s">
        <v>100</v>
      </c>
      <c r="R60" s="1627"/>
      <c r="S60" s="1008"/>
      <c r="T60" s="1257" t="str">
        <f>IFERROR(IF((VLOOKUP(U60,Überblick!$M$125:$N$133,2))="ja","ja","nein"),"")</f>
        <v/>
      </c>
      <c r="U60" s="1338"/>
      <c r="V60" s="72">
        <f t="shared" si="1"/>
        <v>0</v>
      </c>
      <c r="W60" s="77">
        <f>IF(H60="ja",X60,0)</f>
        <v>0.1</v>
      </c>
      <c r="X60" s="74">
        <f>Z60/4</f>
        <v>0.1</v>
      </c>
      <c r="Y60" s="72"/>
      <c r="Z60" s="348">
        <v>0.4</v>
      </c>
      <c r="AA60" s="68"/>
      <c r="AB60" s="72">
        <f t="shared" si="0"/>
        <v>0</v>
      </c>
      <c r="AC60" s="68"/>
      <c r="AD60" s="68"/>
      <c r="AE60" s="68"/>
      <c r="AF60" s="68"/>
      <c r="AG60" s="68"/>
      <c r="AI60" s="192"/>
      <c r="AJ60" s="192"/>
      <c r="AK60" s="68"/>
      <c r="AL60" s="68"/>
      <c r="AM60" s="68"/>
      <c r="AN60" s="68"/>
      <c r="AO60" s="68"/>
      <c r="AP60" s="68"/>
    </row>
    <row r="61" spans="1:42" ht="14.25" customHeight="1" x14ac:dyDescent="0.25">
      <c r="A61" s="1516"/>
      <c r="B61" s="1493"/>
      <c r="C61" s="1317"/>
      <c r="D61" s="1317"/>
      <c r="E61" s="1317"/>
      <c r="F61" s="1317"/>
      <c r="G61" s="1494"/>
      <c r="H61" s="982"/>
      <c r="I61" s="1017"/>
      <c r="J61" s="1046"/>
      <c r="K61" s="1047"/>
      <c r="L61" s="1739"/>
      <c r="M61" s="1740"/>
      <c r="N61" s="1740"/>
      <c r="O61" s="1740"/>
      <c r="P61" s="1740"/>
      <c r="Q61" s="1727"/>
      <c r="R61" s="1627"/>
      <c r="S61" s="1008"/>
      <c r="T61" s="1258"/>
      <c r="U61" s="1339"/>
      <c r="V61" s="72"/>
      <c r="W61" s="72"/>
      <c r="X61" s="74"/>
      <c r="Y61" s="72"/>
      <c r="Z61" s="72"/>
      <c r="AA61" s="68"/>
      <c r="AB61" s="72">
        <f t="shared" si="0"/>
        <v>0</v>
      </c>
      <c r="AC61" s="68"/>
      <c r="AD61" s="68"/>
      <c r="AE61" s="68"/>
      <c r="AF61" s="68"/>
      <c r="AG61" s="68"/>
      <c r="AI61" s="68"/>
      <c r="AJ61" s="68"/>
      <c r="AK61" s="68"/>
      <c r="AL61" s="68"/>
      <c r="AM61" s="68"/>
      <c r="AN61" s="68"/>
      <c r="AO61" s="68"/>
      <c r="AP61" s="68"/>
    </row>
    <row r="62" spans="1:42" ht="15" customHeight="1" x14ac:dyDescent="0.25">
      <c r="A62" s="1516"/>
      <c r="B62" s="1493"/>
      <c r="C62" s="1317"/>
      <c r="D62" s="1317"/>
      <c r="E62" s="1317"/>
      <c r="F62" s="1317"/>
      <c r="G62" s="1494"/>
      <c r="H62" s="983"/>
      <c r="I62" s="1017"/>
      <c r="J62" s="1046"/>
      <c r="K62" s="1047"/>
      <c r="L62" s="1741"/>
      <c r="M62" s="1742"/>
      <c r="N62" s="1742"/>
      <c r="O62" s="1742"/>
      <c r="P62" s="1742"/>
      <c r="Q62" s="1743"/>
      <c r="R62" s="1628"/>
      <c r="S62" s="1270"/>
      <c r="T62" s="1258"/>
      <c r="U62" s="1339"/>
      <c r="V62" s="72"/>
      <c r="W62" s="72"/>
      <c r="X62" s="74"/>
      <c r="Y62" s="72"/>
      <c r="Z62" s="72"/>
      <c r="AA62" s="68"/>
      <c r="AB62" s="72">
        <f t="shared" si="0"/>
        <v>0</v>
      </c>
      <c r="AC62" s="68"/>
      <c r="AD62" s="68"/>
      <c r="AE62" s="68"/>
      <c r="AF62" s="68"/>
      <c r="AG62" s="68"/>
      <c r="AI62" s="68"/>
      <c r="AJ62" s="68"/>
      <c r="AK62" s="68"/>
      <c r="AL62" s="68"/>
      <c r="AM62" s="68"/>
      <c r="AN62" s="68"/>
      <c r="AO62" s="68"/>
      <c r="AP62" s="68"/>
    </row>
    <row r="63" spans="1:42" ht="14.25" customHeight="1" x14ac:dyDescent="0.25">
      <c r="A63" s="1516"/>
      <c r="B63" s="1487" t="s">
        <v>522</v>
      </c>
      <c r="C63" s="1488"/>
      <c r="D63" s="1488"/>
      <c r="E63" s="1488"/>
      <c r="F63" s="1488"/>
      <c r="G63" s="1489"/>
      <c r="H63" s="981" t="s">
        <v>99</v>
      </c>
      <c r="I63" s="1017"/>
      <c r="J63" s="1046"/>
      <c r="K63" s="1047"/>
      <c r="L63" s="1737"/>
      <c r="M63" s="1738"/>
      <c r="N63" s="1738"/>
      <c r="O63" s="1738"/>
      <c r="P63" s="1738"/>
      <c r="Q63" s="1726" t="s">
        <v>100</v>
      </c>
      <c r="R63" s="1764"/>
      <c r="S63" s="1006"/>
      <c r="T63" s="1258"/>
      <c r="U63" s="1339"/>
      <c r="V63" s="72">
        <f t="shared" si="1"/>
        <v>0</v>
      </c>
      <c r="W63" s="77">
        <f>IF(H63="ja",X63,0)</f>
        <v>0.1</v>
      </c>
      <c r="X63" s="74">
        <f>Z60/4</f>
        <v>0.1</v>
      </c>
      <c r="Y63" s="72"/>
      <c r="Z63" s="72"/>
      <c r="AA63" s="68"/>
      <c r="AB63" s="72">
        <f t="shared" si="0"/>
        <v>0</v>
      </c>
      <c r="AC63" s="68"/>
      <c r="AD63" s="68"/>
      <c r="AE63" s="68"/>
      <c r="AF63" s="68"/>
      <c r="AG63" s="68"/>
      <c r="AI63" s="68"/>
      <c r="AJ63" s="68"/>
      <c r="AK63" s="68"/>
      <c r="AL63" s="68"/>
      <c r="AM63" s="68"/>
      <c r="AN63" s="68"/>
      <c r="AO63" s="68"/>
      <c r="AP63" s="68"/>
    </row>
    <row r="64" spans="1:42" ht="14.25" customHeight="1" x14ac:dyDescent="0.25">
      <c r="A64" s="1516"/>
      <c r="B64" s="1493"/>
      <c r="C64" s="1317"/>
      <c r="D64" s="1317"/>
      <c r="E64" s="1317"/>
      <c r="F64" s="1317"/>
      <c r="G64" s="1494"/>
      <c r="H64" s="982"/>
      <c r="I64" s="1017"/>
      <c r="J64" s="1046"/>
      <c r="K64" s="1047"/>
      <c r="L64" s="1739"/>
      <c r="M64" s="1740"/>
      <c r="N64" s="1740"/>
      <c r="O64" s="1740"/>
      <c r="P64" s="1740"/>
      <c r="Q64" s="1727"/>
      <c r="R64" s="1627"/>
      <c r="S64" s="1008"/>
      <c r="T64" s="1258"/>
      <c r="U64" s="1339"/>
      <c r="V64" s="72"/>
      <c r="W64" s="77"/>
      <c r="X64" s="74"/>
      <c r="Y64" s="72"/>
      <c r="Z64" s="72"/>
      <c r="AA64" s="68"/>
      <c r="AB64" s="72">
        <f t="shared" si="0"/>
        <v>0</v>
      </c>
      <c r="AC64" s="68"/>
      <c r="AD64" s="68"/>
      <c r="AE64" s="68"/>
      <c r="AF64" s="68"/>
      <c r="AG64" s="68"/>
      <c r="AI64" s="192"/>
      <c r="AJ64" s="192"/>
      <c r="AK64" s="68"/>
      <c r="AL64" s="68"/>
      <c r="AM64" s="68"/>
      <c r="AN64" s="68"/>
      <c r="AO64" s="68"/>
      <c r="AP64" s="68"/>
    </row>
    <row r="65" spans="1:42" ht="14.25" customHeight="1" x14ac:dyDescent="0.25">
      <c r="A65" s="1516"/>
      <c r="B65" s="1493"/>
      <c r="C65" s="1317"/>
      <c r="D65" s="1317"/>
      <c r="E65" s="1317"/>
      <c r="F65" s="1317"/>
      <c r="G65" s="1494"/>
      <c r="H65" s="982"/>
      <c r="I65" s="1017"/>
      <c r="J65" s="1046"/>
      <c r="K65" s="1047"/>
      <c r="L65" s="1741"/>
      <c r="M65" s="1742"/>
      <c r="N65" s="1742"/>
      <c r="O65" s="1742"/>
      <c r="P65" s="1742"/>
      <c r="Q65" s="1743"/>
      <c r="R65" s="1628"/>
      <c r="S65" s="1270"/>
      <c r="T65" s="1258"/>
      <c r="U65" s="1339"/>
      <c r="V65" s="72"/>
      <c r="W65" s="77"/>
      <c r="X65" s="74"/>
      <c r="Y65" s="72"/>
      <c r="Z65" s="72"/>
      <c r="AA65" s="68"/>
      <c r="AB65" s="72">
        <f t="shared" si="0"/>
        <v>0</v>
      </c>
      <c r="AC65" s="68"/>
      <c r="AD65" s="68"/>
      <c r="AE65" s="68"/>
      <c r="AF65" s="68"/>
      <c r="AG65" s="68"/>
      <c r="AI65" s="192"/>
      <c r="AJ65" s="192"/>
      <c r="AK65" s="68"/>
      <c r="AL65" s="68"/>
      <c r="AM65" s="68"/>
      <c r="AN65" s="68"/>
      <c r="AO65" s="68"/>
      <c r="AP65" s="68"/>
    </row>
    <row r="66" spans="1:42" ht="14.25" customHeight="1" x14ac:dyDescent="0.25">
      <c r="A66" s="1516"/>
      <c r="B66" s="1490"/>
      <c r="C66" s="1491"/>
      <c r="D66" s="1491"/>
      <c r="E66" s="1491"/>
      <c r="F66" s="1491"/>
      <c r="G66" s="1492"/>
      <c r="H66" s="983"/>
      <c r="I66" s="1017"/>
      <c r="J66" s="1046"/>
      <c r="K66" s="1047"/>
      <c r="L66" s="1737"/>
      <c r="M66" s="1738"/>
      <c r="N66" s="1738"/>
      <c r="O66" s="1738"/>
      <c r="P66" s="1738"/>
      <c r="Q66" s="1726" t="s">
        <v>100</v>
      </c>
      <c r="R66" s="1764"/>
      <c r="S66" s="1006"/>
      <c r="T66" s="1258"/>
      <c r="U66" s="1339"/>
      <c r="V66" s="72">
        <f t="shared" si="1"/>
        <v>0</v>
      </c>
      <c r="W66" s="72"/>
      <c r="X66" s="74"/>
      <c r="Y66" s="72"/>
      <c r="Z66" s="72"/>
      <c r="AA66" s="68"/>
      <c r="AB66" s="72">
        <f t="shared" si="0"/>
        <v>0</v>
      </c>
      <c r="AC66" s="68"/>
      <c r="AD66" s="68"/>
      <c r="AE66" s="68"/>
      <c r="AF66" s="68"/>
      <c r="AG66" s="68"/>
      <c r="AI66" s="192"/>
      <c r="AJ66" s="192"/>
      <c r="AK66" s="68"/>
      <c r="AL66" s="68"/>
      <c r="AM66" s="68"/>
      <c r="AN66" s="68"/>
      <c r="AO66" s="68"/>
      <c r="AP66" s="68"/>
    </row>
    <row r="67" spans="1:42" ht="14.25" customHeight="1" x14ac:dyDescent="0.25">
      <c r="A67" s="1516"/>
      <c r="B67" s="1784" t="s">
        <v>523</v>
      </c>
      <c r="C67" s="1785"/>
      <c r="D67" s="1785"/>
      <c r="E67" s="1785"/>
      <c r="F67" s="1785"/>
      <c r="G67" s="1786"/>
      <c r="H67" s="981" t="s">
        <v>99</v>
      </c>
      <c r="I67" s="1017"/>
      <c r="J67" s="1046"/>
      <c r="K67" s="1047"/>
      <c r="L67" s="1739"/>
      <c r="M67" s="1740"/>
      <c r="N67" s="1740"/>
      <c r="O67" s="1740"/>
      <c r="P67" s="1740"/>
      <c r="Q67" s="1727"/>
      <c r="R67" s="1627"/>
      <c r="S67" s="1008"/>
      <c r="T67" s="1258"/>
      <c r="U67" s="1339"/>
      <c r="V67" s="72"/>
      <c r="W67" s="77">
        <f>IF(H67="ja",X67,0)</f>
        <v>0.1</v>
      </c>
      <c r="X67" s="74">
        <f>Z60/4</f>
        <v>0.1</v>
      </c>
      <c r="Y67" s="72"/>
      <c r="Z67" s="72"/>
      <c r="AA67" s="68"/>
      <c r="AB67" s="72">
        <f t="shared" si="0"/>
        <v>0</v>
      </c>
      <c r="AC67" s="68"/>
      <c r="AD67" s="68"/>
      <c r="AE67" s="68"/>
      <c r="AF67" s="68"/>
      <c r="AG67" s="68"/>
      <c r="AI67" s="192"/>
      <c r="AJ67" s="192"/>
      <c r="AK67" s="68"/>
      <c r="AL67" s="68"/>
      <c r="AM67" s="68"/>
      <c r="AN67" s="68"/>
      <c r="AO67" s="68"/>
      <c r="AP67" s="68"/>
    </row>
    <row r="68" spans="1:42" ht="14.25" customHeight="1" x14ac:dyDescent="0.25">
      <c r="A68" s="1516"/>
      <c r="B68" s="1784"/>
      <c r="C68" s="1785"/>
      <c r="D68" s="1785"/>
      <c r="E68" s="1785"/>
      <c r="F68" s="1785"/>
      <c r="G68" s="1786"/>
      <c r="H68" s="982"/>
      <c r="I68" s="1017"/>
      <c r="J68" s="1046"/>
      <c r="K68" s="1047"/>
      <c r="L68" s="1741"/>
      <c r="M68" s="1742"/>
      <c r="N68" s="1742"/>
      <c r="O68" s="1742"/>
      <c r="P68" s="1742"/>
      <c r="Q68" s="1743"/>
      <c r="R68" s="1628"/>
      <c r="S68" s="1270"/>
      <c r="T68" s="1258"/>
      <c r="U68" s="1339"/>
      <c r="V68" s="72"/>
      <c r="W68" s="72"/>
      <c r="X68" s="74"/>
      <c r="Y68" s="72"/>
      <c r="Z68" s="72"/>
      <c r="AA68" s="68"/>
      <c r="AB68" s="72">
        <f t="shared" si="0"/>
        <v>0</v>
      </c>
      <c r="AC68" s="68"/>
      <c r="AD68" s="68"/>
      <c r="AE68" s="68"/>
      <c r="AF68" s="68"/>
      <c r="AG68" s="68"/>
      <c r="AI68" s="192"/>
      <c r="AJ68" s="192"/>
      <c r="AK68" s="68"/>
      <c r="AL68" s="68"/>
      <c r="AM68" s="68"/>
      <c r="AN68" s="68"/>
      <c r="AO68" s="68"/>
      <c r="AP68" s="68"/>
    </row>
    <row r="69" spans="1:42" ht="14.25" customHeight="1" x14ac:dyDescent="0.25">
      <c r="A69" s="1516"/>
      <c r="B69" s="1787"/>
      <c r="C69" s="1788"/>
      <c r="D69" s="1788"/>
      <c r="E69" s="1788"/>
      <c r="F69" s="1788"/>
      <c r="G69" s="1789"/>
      <c r="H69" s="983"/>
      <c r="I69" s="1017"/>
      <c r="J69" s="1046"/>
      <c r="K69" s="1047"/>
      <c r="L69" s="1737"/>
      <c r="M69" s="1738"/>
      <c r="N69" s="1738"/>
      <c r="O69" s="1738"/>
      <c r="P69" s="1738"/>
      <c r="Q69" s="1726" t="s">
        <v>100</v>
      </c>
      <c r="R69" s="1764"/>
      <c r="S69" s="1006"/>
      <c r="T69" s="1258"/>
      <c r="U69" s="1339"/>
      <c r="V69" s="72">
        <f t="shared" si="1"/>
        <v>0</v>
      </c>
      <c r="W69" s="72"/>
      <c r="X69" s="74"/>
      <c r="Y69" s="72"/>
      <c r="Z69" s="72"/>
      <c r="AA69" s="68"/>
      <c r="AB69" s="72">
        <f t="shared" si="0"/>
        <v>0</v>
      </c>
      <c r="AC69" s="68"/>
      <c r="AD69" s="68"/>
      <c r="AE69" s="68"/>
      <c r="AF69" s="68"/>
      <c r="AG69" s="68"/>
      <c r="AI69" s="192"/>
      <c r="AJ69" s="192"/>
      <c r="AK69" s="68"/>
      <c r="AL69" s="68"/>
      <c r="AM69" s="68"/>
      <c r="AN69" s="68"/>
      <c r="AO69" s="68"/>
      <c r="AP69" s="68"/>
    </row>
    <row r="70" spans="1:42" ht="14.25" customHeight="1" x14ac:dyDescent="0.25">
      <c r="A70" s="1516"/>
      <c r="B70" s="1077" t="s">
        <v>524</v>
      </c>
      <c r="C70" s="1078"/>
      <c r="D70" s="1078"/>
      <c r="E70" s="1078"/>
      <c r="F70" s="1078"/>
      <c r="G70" s="1078"/>
      <c r="H70" s="981" t="s">
        <v>99</v>
      </c>
      <c r="I70" s="1017"/>
      <c r="J70" s="1046"/>
      <c r="K70" s="1047"/>
      <c r="L70" s="1739"/>
      <c r="M70" s="1740"/>
      <c r="N70" s="1740"/>
      <c r="O70" s="1740"/>
      <c r="P70" s="1740"/>
      <c r="Q70" s="1727"/>
      <c r="R70" s="1627"/>
      <c r="S70" s="1008"/>
      <c r="T70" s="1258"/>
      <c r="U70" s="1339"/>
      <c r="V70" s="72"/>
      <c r="W70" s="77">
        <f>IF(H70="ja",X70,0)</f>
        <v>0.1</v>
      </c>
      <c r="X70" s="74">
        <f>Z60/4</f>
        <v>0.1</v>
      </c>
      <c r="Y70" s="72"/>
      <c r="Z70" s="72"/>
      <c r="AA70" s="68"/>
      <c r="AB70" s="72">
        <f t="shared" si="0"/>
        <v>0</v>
      </c>
      <c r="AC70" s="68"/>
      <c r="AD70" s="68"/>
      <c r="AE70" s="68"/>
      <c r="AF70" s="68"/>
      <c r="AG70" s="68"/>
      <c r="AI70" s="192"/>
      <c r="AJ70" s="192"/>
      <c r="AK70" s="68"/>
      <c r="AL70" s="68"/>
      <c r="AM70" s="68"/>
      <c r="AN70" s="68"/>
      <c r="AO70" s="68"/>
      <c r="AP70" s="68"/>
    </row>
    <row r="71" spans="1:42" ht="14.25" customHeight="1" x14ac:dyDescent="0.25">
      <c r="A71" s="1516"/>
      <c r="B71" s="1072"/>
      <c r="C71" s="913"/>
      <c r="D71" s="913"/>
      <c r="E71" s="913"/>
      <c r="F71" s="913"/>
      <c r="G71" s="913"/>
      <c r="H71" s="982"/>
      <c r="I71" s="1017"/>
      <c r="J71" s="1046"/>
      <c r="K71" s="1047"/>
      <c r="L71" s="1741"/>
      <c r="M71" s="1742"/>
      <c r="N71" s="1742"/>
      <c r="O71" s="1742"/>
      <c r="P71" s="1742"/>
      <c r="Q71" s="1743"/>
      <c r="R71" s="1628"/>
      <c r="S71" s="1270"/>
      <c r="T71" s="1258"/>
      <c r="U71" s="1339"/>
      <c r="V71" s="72"/>
      <c r="W71" s="72"/>
      <c r="X71" s="74"/>
      <c r="Y71" s="72"/>
      <c r="Z71" s="72"/>
      <c r="AA71" s="68"/>
      <c r="AB71" s="72">
        <f t="shared" si="0"/>
        <v>0</v>
      </c>
      <c r="AC71" s="68"/>
      <c r="AD71" s="68"/>
      <c r="AE71" s="68"/>
      <c r="AF71" s="68"/>
      <c r="AG71" s="68"/>
      <c r="AI71" s="192"/>
      <c r="AJ71" s="192"/>
      <c r="AK71" s="68"/>
      <c r="AL71" s="68"/>
      <c r="AM71" s="68"/>
      <c r="AN71" s="68"/>
      <c r="AO71" s="68"/>
      <c r="AP71" s="68"/>
    </row>
    <row r="72" spans="1:42" ht="14.25" customHeight="1" thickBot="1" x14ac:dyDescent="0.3">
      <c r="A72" s="1516"/>
      <c r="B72" s="1074"/>
      <c r="C72" s="1075"/>
      <c r="D72" s="1075"/>
      <c r="E72" s="1075"/>
      <c r="F72" s="1075"/>
      <c r="G72" s="1075"/>
      <c r="H72" s="983"/>
      <c r="I72" s="1017"/>
      <c r="J72" s="1046"/>
      <c r="K72" s="1047"/>
      <c r="L72" s="1765"/>
      <c r="M72" s="1766"/>
      <c r="N72" s="1766"/>
      <c r="O72" s="1766"/>
      <c r="P72" s="1766"/>
      <c r="Q72" s="353" t="s">
        <v>100</v>
      </c>
      <c r="R72" s="1767"/>
      <c r="S72" s="1624"/>
      <c r="T72" s="1258"/>
      <c r="U72" s="1339"/>
      <c r="V72" s="72">
        <f t="shared" si="1"/>
        <v>0</v>
      </c>
      <c r="W72" s="72"/>
      <c r="X72" s="74"/>
      <c r="Y72" s="72"/>
      <c r="Z72" s="72"/>
      <c r="AA72" s="68"/>
      <c r="AB72" s="72">
        <f t="shared" si="0"/>
        <v>0</v>
      </c>
      <c r="AC72" s="68"/>
      <c r="AD72" s="68"/>
      <c r="AE72" s="68"/>
      <c r="AF72" s="68"/>
      <c r="AG72" s="68"/>
      <c r="AI72" s="192"/>
      <c r="AJ72" s="192"/>
      <c r="AK72" s="68"/>
      <c r="AL72" s="68"/>
      <c r="AM72" s="68"/>
      <c r="AN72" s="68"/>
      <c r="AO72" s="68"/>
      <c r="AP72" s="68"/>
    </row>
    <row r="73" spans="1:42" ht="14.25" customHeight="1" x14ac:dyDescent="0.25">
      <c r="A73" s="1516"/>
      <c r="B73" s="1035" t="s">
        <v>154</v>
      </c>
      <c r="C73" s="1036"/>
      <c r="D73" s="1036"/>
      <c r="E73" s="1036"/>
      <c r="F73" s="1036"/>
      <c r="G73" s="1036"/>
      <c r="H73" s="1161"/>
      <c r="I73" s="1035">
        <f>IF(N17="Kostenberechnung liegt noch nicht vor",I56,N17)</f>
        <v>0</v>
      </c>
      <c r="J73" s="1036"/>
      <c r="K73" s="1037"/>
      <c r="L73" s="1355">
        <f>SUM(R60:S72)</f>
        <v>0</v>
      </c>
      <c r="M73" s="1356"/>
      <c r="N73" s="1356"/>
      <c r="O73" s="1356"/>
      <c r="P73" s="1356"/>
      <c r="Q73" s="1795"/>
      <c r="R73" s="1356"/>
      <c r="S73" s="1798"/>
      <c r="T73" s="1260"/>
      <c r="U73" s="1257"/>
      <c r="V73" s="72"/>
      <c r="W73" s="77">
        <f>SUM(W60:W72)</f>
        <v>0.4</v>
      </c>
      <c r="X73" s="75"/>
      <c r="Y73" s="75"/>
      <c r="Z73" s="72"/>
      <c r="AA73" s="68"/>
      <c r="AB73" s="72">
        <f t="shared" si="0"/>
        <v>0</v>
      </c>
      <c r="AC73" s="68"/>
      <c r="AD73" s="68"/>
      <c r="AE73" s="68"/>
      <c r="AF73" s="68"/>
      <c r="AG73" s="68"/>
    </row>
    <row r="74" spans="1:42" ht="14.25" customHeight="1" x14ac:dyDescent="0.25">
      <c r="A74" s="1516"/>
      <c r="B74" s="1038"/>
      <c r="C74" s="1039"/>
      <c r="D74" s="1039"/>
      <c r="E74" s="1039"/>
      <c r="F74" s="1039"/>
      <c r="G74" s="1039"/>
      <c r="H74" s="1162"/>
      <c r="I74" s="1038"/>
      <c r="J74" s="1039"/>
      <c r="K74" s="1040"/>
      <c r="L74" s="1357"/>
      <c r="M74" s="1358"/>
      <c r="N74" s="1358"/>
      <c r="O74" s="1358"/>
      <c r="P74" s="1358"/>
      <c r="Q74" s="1796"/>
      <c r="R74" s="1358"/>
      <c r="S74" s="1799"/>
      <c r="T74" s="1261"/>
      <c r="U74" s="1258"/>
      <c r="V74" s="72"/>
      <c r="W74" s="76"/>
      <c r="X74" s="74"/>
      <c r="Y74" s="72"/>
      <c r="Z74" s="72"/>
      <c r="AA74" s="68"/>
      <c r="AB74" s="72">
        <f t="shared" si="0"/>
        <v>0</v>
      </c>
      <c r="AC74" s="68"/>
      <c r="AD74" s="68"/>
      <c r="AE74" s="68"/>
      <c r="AF74" s="68"/>
      <c r="AG74" s="68"/>
      <c r="AN74" s="68"/>
    </row>
    <row r="75" spans="1:42" ht="14.25" customHeight="1" thickBot="1" x14ac:dyDescent="0.3">
      <c r="A75" s="1516"/>
      <c r="B75" s="1041"/>
      <c r="C75" s="1042"/>
      <c r="D75" s="1042"/>
      <c r="E75" s="1042"/>
      <c r="F75" s="1042"/>
      <c r="G75" s="1042"/>
      <c r="H75" s="1163"/>
      <c r="I75" s="1041"/>
      <c r="J75" s="1042"/>
      <c r="K75" s="1043"/>
      <c r="L75" s="1359"/>
      <c r="M75" s="1360"/>
      <c r="N75" s="1360"/>
      <c r="O75" s="1360"/>
      <c r="P75" s="1360"/>
      <c r="Q75" s="1797"/>
      <c r="R75" s="1360"/>
      <c r="S75" s="1800"/>
      <c r="T75" s="1262"/>
      <c r="U75" s="1259"/>
      <c r="V75" s="72"/>
      <c r="W75" s="76"/>
      <c r="X75" s="74"/>
      <c r="Y75" s="72"/>
      <c r="Z75" s="72"/>
      <c r="AA75" s="68"/>
      <c r="AB75" s="72">
        <f t="shared" si="0"/>
        <v>0</v>
      </c>
      <c r="AC75" s="68"/>
      <c r="AD75" s="68"/>
      <c r="AE75" s="68"/>
      <c r="AF75" s="68"/>
      <c r="AG75" s="68"/>
      <c r="AN75" s="68"/>
    </row>
    <row r="76" spans="1:42" ht="14.25" customHeight="1" thickBot="1" x14ac:dyDescent="0.3">
      <c r="A76" s="1516"/>
      <c r="B76" s="1082" t="s">
        <v>198</v>
      </c>
      <c r="C76" s="1083"/>
      <c r="D76" s="1083"/>
      <c r="E76" s="1083"/>
      <c r="F76" s="1083"/>
      <c r="G76" s="1084"/>
      <c r="H76" s="144"/>
      <c r="I76" s="1361"/>
      <c r="J76" s="1362"/>
      <c r="K76" s="1576"/>
      <c r="L76" s="1361"/>
      <c r="M76" s="1362"/>
      <c r="N76" s="1362"/>
      <c r="O76" s="1362"/>
      <c r="P76" s="1362"/>
      <c r="Q76" s="212"/>
      <c r="R76" s="1181"/>
      <c r="S76" s="1272"/>
      <c r="T76" s="524"/>
      <c r="U76" s="335" t="s">
        <v>157</v>
      </c>
      <c r="V76" s="72"/>
      <c r="W76" s="77"/>
      <c r="X76" s="74"/>
      <c r="Y76" s="150"/>
      <c r="Z76" s="150"/>
      <c r="AA76" s="68"/>
      <c r="AB76" s="72">
        <f t="shared" si="0"/>
        <v>0</v>
      </c>
      <c r="AC76" s="68"/>
      <c r="AD76" s="68"/>
      <c r="AE76" s="68"/>
      <c r="AF76" s="68"/>
      <c r="AG76" s="68"/>
      <c r="AN76" s="68"/>
    </row>
    <row r="77" spans="1:42" ht="14.25" customHeight="1" x14ac:dyDescent="0.25">
      <c r="A77" s="1516"/>
      <c r="B77" s="1497" t="s">
        <v>525</v>
      </c>
      <c r="C77" s="1498"/>
      <c r="D77" s="1498"/>
      <c r="E77" s="1498"/>
      <c r="F77" s="1498"/>
      <c r="G77" s="1499"/>
      <c r="H77" s="1194" t="s">
        <v>99</v>
      </c>
      <c r="I77" s="1016">
        <f>W88</f>
        <v>0.06</v>
      </c>
      <c r="J77" s="1044">
        <f>I77*$I$73</f>
        <v>0</v>
      </c>
      <c r="K77" s="1045"/>
      <c r="L77" s="1749" t="s">
        <v>526</v>
      </c>
      <c r="M77" s="1750"/>
      <c r="N77" s="1750"/>
      <c r="O77" s="1750"/>
      <c r="P77" s="1750"/>
      <c r="Q77" s="1727" t="s">
        <v>99</v>
      </c>
      <c r="R77" s="1627"/>
      <c r="S77" s="1008"/>
      <c r="T77" s="1257" t="str">
        <f>IFERROR(IF((VLOOKUP(U77,Überblick!$M$125:$N$133,2))="ja","ja","nein"),"")</f>
        <v/>
      </c>
      <c r="U77" s="1338"/>
      <c r="V77" s="72">
        <f t="shared" si="1"/>
        <v>1</v>
      </c>
      <c r="W77" s="74">
        <f>IF(H77="ja",X77,0)</f>
        <v>0.02</v>
      </c>
      <c r="X77" s="74">
        <f>$Z$77/3</f>
        <v>0.02</v>
      </c>
      <c r="Y77" s="72"/>
      <c r="Z77" s="77">
        <v>0.06</v>
      </c>
      <c r="AA77" s="68"/>
      <c r="AB77" s="72">
        <f t="shared" si="0"/>
        <v>1</v>
      </c>
      <c r="AC77" s="68"/>
      <c r="AD77" s="68"/>
      <c r="AE77" s="68"/>
      <c r="AF77" s="68"/>
      <c r="AG77" s="68"/>
      <c r="AN77" s="193"/>
    </row>
    <row r="78" spans="1:42" ht="14.25" customHeight="1" x14ac:dyDescent="0.25">
      <c r="A78" s="1516"/>
      <c r="B78" s="1493"/>
      <c r="C78" s="1317"/>
      <c r="D78" s="1317"/>
      <c r="E78" s="1317"/>
      <c r="F78" s="1317"/>
      <c r="G78" s="1494"/>
      <c r="H78" s="982"/>
      <c r="I78" s="1017"/>
      <c r="J78" s="1046"/>
      <c r="K78" s="1047"/>
      <c r="L78" s="1749"/>
      <c r="M78" s="1750"/>
      <c r="N78" s="1750"/>
      <c r="O78" s="1750"/>
      <c r="P78" s="1750"/>
      <c r="Q78" s="1727"/>
      <c r="R78" s="1627"/>
      <c r="S78" s="1008"/>
      <c r="T78" s="1258"/>
      <c r="U78" s="1339"/>
      <c r="V78" s="72"/>
      <c r="W78" s="76"/>
      <c r="X78" s="74"/>
      <c r="Y78" s="72"/>
      <c r="Z78" s="72"/>
      <c r="AA78" s="68"/>
      <c r="AB78" s="72">
        <f t="shared" si="0"/>
        <v>0</v>
      </c>
      <c r="AC78" s="68"/>
      <c r="AD78" s="68"/>
      <c r="AE78" s="68"/>
      <c r="AF78" s="68"/>
      <c r="AG78" s="68"/>
      <c r="AN78" s="192"/>
    </row>
    <row r="79" spans="1:42" ht="14.25" customHeight="1" x14ac:dyDescent="0.25">
      <c r="A79" s="1516"/>
      <c r="B79" s="1493"/>
      <c r="C79" s="1317"/>
      <c r="D79" s="1317"/>
      <c r="E79" s="1317"/>
      <c r="F79" s="1317"/>
      <c r="G79" s="1494"/>
      <c r="H79" s="982"/>
      <c r="I79" s="1017"/>
      <c r="J79" s="1046"/>
      <c r="K79" s="1047"/>
      <c r="L79" s="1751"/>
      <c r="M79" s="1752"/>
      <c r="N79" s="1752"/>
      <c r="O79" s="1752"/>
      <c r="P79" s="1752"/>
      <c r="Q79" s="1743"/>
      <c r="R79" s="1628"/>
      <c r="S79" s="1270"/>
      <c r="T79" s="1258"/>
      <c r="U79" s="1339"/>
      <c r="V79" s="72"/>
      <c r="W79" s="76"/>
      <c r="X79" s="74"/>
      <c r="Y79" s="72"/>
      <c r="Z79" s="72"/>
      <c r="AA79" s="68"/>
      <c r="AB79" s="72">
        <f t="shared" si="0"/>
        <v>0</v>
      </c>
      <c r="AC79" s="68"/>
      <c r="AD79" s="68"/>
      <c r="AE79" s="68"/>
      <c r="AF79" s="68"/>
      <c r="AG79" s="68"/>
      <c r="AN79" s="68"/>
    </row>
    <row r="80" spans="1:42" ht="14.25" customHeight="1" x14ac:dyDescent="0.25">
      <c r="A80" s="1516"/>
      <c r="B80" s="1490"/>
      <c r="C80" s="1491"/>
      <c r="D80" s="1491"/>
      <c r="E80" s="1491"/>
      <c r="F80" s="1491"/>
      <c r="G80" s="1492"/>
      <c r="H80" s="983"/>
      <c r="I80" s="1017"/>
      <c r="J80" s="1046"/>
      <c r="K80" s="1047"/>
      <c r="L80" s="1737" t="s">
        <v>527</v>
      </c>
      <c r="M80" s="1738"/>
      <c r="N80" s="1738"/>
      <c r="O80" s="1738"/>
      <c r="P80" s="1738"/>
      <c r="Q80" s="1726" t="s">
        <v>100</v>
      </c>
      <c r="R80" s="1764"/>
      <c r="S80" s="1006"/>
      <c r="T80" s="1258"/>
      <c r="U80" s="1339"/>
      <c r="V80" s="72">
        <f>IF(AND(Q80="ja",R80=""),1,0)</f>
        <v>0</v>
      </c>
      <c r="W80" s="72"/>
      <c r="X80" s="72"/>
      <c r="Y80" s="72"/>
      <c r="Z80" s="77"/>
      <c r="AA80" s="68"/>
      <c r="AB80" s="72">
        <f t="shared" si="0"/>
        <v>0</v>
      </c>
      <c r="AC80" s="68"/>
      <c r="AD80" s="68"/>
      <c r="AE80" s="68"/>
      <c r="AF80" s="68"/>
      <c r="AG80" s="68"/>
      <c r="AN80" s="192"/>
    </row>
    <row r="81" spans="1:40" ht="14.25" customHeight="1" x14ac:dyDescent="0.25">
      <c r="A81" s="1516"/>
      <c r="B81" s="1487" t="s">
        <v>528</v>
      </c>
      <c r="C81" s="1488"/>
      <c r="D81" s="1488"/>
      <c r="E81" s="1488"/>
      <c r="F81" s="1488"/>
      <c r="G81" s="1489"/>
      <c r="H81" s="981" t="s">
        <v>99</v>
      </c>
      <c r="I81" s="1017"/>
      <c r="J81" s="1046"/>
      <c r="K81" s="1047"/>
      <c r="L81" s="1739"/>
      <c r="M81" s="1740"/>
      <c r="N81" s="1740"/>
      <c r="O81" s="1740"/>
      <c r="P81" s="1740"/>
      <c r="Q81" s="1727"/>
      <c r="R81" s="1627"/>
      <c r="S81" s="1008"/>
      <c r="T81" s="1258"/>
      <c r="U81" s="1339"/>
      <c r="V81" s="72"/>
      <c r="W81" s="74">
        <f>IF(H81="ja",X81,0)</f>
        <v>0.02</v>
      </c>
      <c r="X81" s="74">
        <f>$Z$77/3</f>
        <v>0.02</v>
      </c>
      <c r="Y81" s="72"/>
      <c r="Z81" s="77"/>
      <c r="AA81" s="68"/>
      <c r="AB81" s="72">
        <f t="shared" si="0"/>
        <v>0</v>
      </c>
      <c r="AC81" s="68"/>
      <c r="AD81" s="68"/>
      <c r="AE81" s="68"/>
      <c r="AF81" s="68"/>
      <c r="AG81" s="68"/>
      <c r="AN81" s="192"/>
    </row>
    <row r="82" spans="1:40" ht="14.25" customHeight="1" x14ac:dyDescent="0.25">
      <c r="A82" s="1516"/>
      <c r="B82" s="1493"/>
      <c r="C82" s="1317"/>
      <c r="D82" s="1317"/>
      <c r="E82" s="1317"/>
      <c r="F82" s="1317"/>
      <c r="G82" s="1494"/>
      <c r="H82" s="982"/>
      <c r="I82" s="1017"/>
      <c r="J82" s="1046"/>
      <c r="K82" s="1047"/>
      <c r="L82" s="1741"/>
      <c r="M82" s="1742"/>
      <c r="N82" s="1742"/>
      <c r="O82" s="1742"/>
      <c r="P82" s="1742"/>
      <c r="Q82" s="1743"/>
      <c r="R82" s="1628"/>
      <c r="S82" s="1270"/>
      <c r="T82" s="1258"/>
      <c r="U82" s="1339"/>
      <c r="V82" s="72"/>
      <c r="W82" s="74"/>
      <c r="X82" s="74"/>
      <c r="Y82" s="72"/>
      <c r="Z82" s="77"/>
      <c r="AA82" s="68"/>
      <c r="AB82" s="72">
        <f t="shared" si="0"/>
        <v>0</v>
      </c>
      <c r="AC82" s="68"/>
      <c r="AD82" s="68"/>
      <c r="AE82" s="68"/>
      <c r="AF82" s="68"/>
      <c r="AG82" s="68"/>
      <c r="AN82" s="192"/>
    </row>
    <row r="83" spans="1:40" ht="14.25" customHeight="1" x14ac:dyDescent="0.25">
      <c r="A83" s="1516"/>
      <c r="B83" s="1493"/>
      <c r="C83" s="1317"/>
      <c r="D83" s="1317"/>
      <c r="E83" s="1317"/>
      <c r="F83" s="1317"/>
      <c r="G83" s="1494"/>
      <c r="H83" s="982"/>
      <c r="I83" s="1017"/>
      <c r="J83" s="1046"/>
      <c r="K83" s="1047"/>
      <c r="L83" s="1737"/>
      <c r="M83" s="1738"/>
      <c r="N83" s="1738"/>
      <c r="O83" s="1738"/>
      <c r="P83" s="1738"/>
      <c r="Q83" s="1726" t="s">
        <v>100</v>
      </c>
      <c r="R83" s="1764"/>
      <c r="S83" s="1006"/>
      <c r="T83" s="1258"/>
      <c r="U83" s="1339"/>
      <c r="V83" s="72">
        <f t="shared" si="1"/>
        <v>0</v>
      </c>
      <c r="W83" s="74"/>
      <c r="X83" s="74"/>
      <c r="Y83" s="72"/>
      <c r="Z83" s="77"/>
      <c r="AA83" s="68"/>
      <c r="AB83" s="72">
        <f t="shared" si="0"/>
        <v>0</v>
      </c>
      <c r="AC83" s="68"/>
      <c r="AD83" s="68"/>
      <c r="AE83" s="68"/>
      <c r="AF83" s="68"/>
      <c r="AG83" s="68"/>
      <c r="AN83" s="192"/>
    </row>
    <row r="84" spans="1:40" ht="14.25" customHeight="1" x14ac:dyDescent="0.25">
      <c r="A84" s="1516"/>
      <c r="B84" s="1490"/>
      <c r="C84" s="1491"/>
      <c r="D84" s="1491"/>
      <c r="E84" s="1491"/>
      <c r="F84" s="1491"/>
      <c r="G84" s="1492"/>
      <c r="H84" s="983"/>
      <c r="I84" s="1017"/>
      <c r="J84" s="1046"/>
      <c r="K84" s="1047"/>
      <c r="L84" s="1739"/>
      <c r="M84" s="1740"/>
      <c r="N84" s="1740"/>
      <c r="O84" s="1740"/>
      <c r="P84" s="1740"/>
      <c r="Q84" s="1727"/>
      <c r="R84" s="1627"/>
      <c r="S84" s="1008"/>
      <c r="T84" s="1258"/>
      <c r="U84" s="1339"/>
      <c r="V84" s="72"/>
      <c r="W84" s="74"/>
      <c r="X84" s="74"/>
      <c r="Y84" s="72"/>
      <c r="Z84" s="77"/>
      <c r="AA84" s="68"/>
      <c r="AB84" s="72">
        <f t="shared" si="0"/>
        <v>0</v>
      </c>
      <c r="AC84" s="68"/>
      <c r="AD84" s="68"/>
      <c r="AE84" s="68"/>
      <c r="AF84" s="68"/>
      <c r="AG84" s="68"/>
      <c r="AN84" s="192"/>
    </row>
    <row r="85" spans="1:40" ht="14.25" customHeight="1" x14ac:dyDescent="0.25">
      <c r="A85" s="1516"/>
      <c r="B85" s="1487" t="s">
        <v>529</v>
      </c>
      <c r="C85" s="1488"/>
      <c r="D85" s="1488"/>
      <c r="E85" s="1488"/>
      <c r="F85" s="1488"/>
      <c r="G85" s="1489"/>
      <c r="H85" s="981" t="s">
        <v>99</v>
      </c>
      <c r="I85" s="1017"/>
      <c r="J85" s="1046"/>
      <c r="K85" s="1047"/>
      <c r="L85" s="1741"/>
      <c r="M85" s="1742"/>
      <c r="N85" s="1742"/>
      <c r="O85" s="1742"/>
      <c r="P85" s="1742"/>
      <c r="Q85" s="1743"/>
      <c r="R85" s="1628"/>
      <c r="S85" s="1270"/>
      <c r="T85" s="1258"/>
      <c r="U85" s="1339"/>
      <c r="V85" s="72"/>
      <c r="W85" s="74">
        <f>IF(H85="ja",X85,0)</f>
        <v>0.02</v>
      </c>
      <c r="X85" s="74">
        <f>$Z$77/3</f>
        <v>0.02</v>
      </c>
      <c r="Y85" s="72"/>
      <c r="Z85" s="77"/>
      <c r="AA85" s="68"/>
      <c r="AB85" s="72">
        <f t="shared" si="0"/>
        <v>0</v>
      </c>
      <c r="AC85" s="68"/>
      <c r="AD85" s="68"/>
      <c r="AE85" s="68"/>
      <c r="AF85" s="68"/>
      <c r="AG85" s="68"/>
      <c r="AN85" s="192"/>
    </row>
    <row r="86" spans="1:40" ht="14.25" customHeight="1" x14ac:dyDescent="0.25">
      <c r="A86" s="1516"/>
      <c r="B86" s="1493"/>
      <c r="C86" s="1317"/>
      <c r="D86" s="1317"/>
      <c r="E86" s="1317"/>
      <c r="F86" s="1317"/>
      <c r="G86" s="1494"/>
      <c r="H86" s="982"/>
      <c r="I86" s="1017"/>
      <c r="J86" s="1046"/>
      <c r="K86" s="1047"/>
      <c r="L86" s="1737"/>
      <c r="M86" s="1738"/>
      <c r="N86" s="1738"/>
      <c r="O86" s="1738"/>
      <c r="P86" s="1738"/>
      <c r="Q86" s="1726" t="s">
        <v>100</v>
      </c>
      <c r="R86" s="1764"/>
      <c r="S86" s="1006"/>
      <c r="T86" s="1258"/>
      <c r="U86" s="1339"/>
      <c r="V86" s="72">
        <f t="shared" si="1"/>
        <v>0</v>
      </c>
      <c r="W86" s="74"/>
      <c r="X86" s="74"/>
      <c r="Y86" s="72"/>
      <c r="Z86" s="77"/>
      <c r="AA86" s="68"/>
      <c r="AB86" s="72">
        <f t="shared" si="0"/>
        <v>0</v>
      </c>
      <c r="AC86" s="68"/>
      <c r="AD86" s="68"/>
      <c r="AE86" s="68"/>
      <c r="AF86" s="68"/>
      <c r="AG86" s="68"/>
      <c r="AN86" s="192"/>
    </row>
    <row r="87" spans="1:40" ht="14.25" customHeight="1" thickBot="1" x14ac:dyDescent="0.3">
      <c r="A87" s="1516"/>
      <c r="B87" s="1592"/>
      <c r="C87" s="1593"/>
      <c r="D87" s="1593"/>
      <c r="E87" s="1593"/>
      <c r="F87" s="1593"/>
      <c r="G87" s="1594"/>
      <c r="H87" s="1304"/>
      <c r="I87" s="1017"/>
      <c r="J87" s="1046"/>
      <c r="K87" s="1047"/>
      <c r="L87" s="1770"/>
      <c r="M87" s="1771"/>
      <c r="N87" s="1771"/>
      <c r="O87" s="1771"/>
      <c r="P87" s="1771"/>
      <c r="Q87" s="1769"/>
      <c r="R87" s="1768"/>
      <c r="S87" s="1010"/>
      <c r="T87" s="1258"/>
      <c r="U87" s="1339"/>
      <c r="V87" s="72"/>
      <c r="W87" s="76"/>
      <c r="X87" s="74"/>
      <c r="Y87" s="72"/>
      <c r="Z87" s="72"/>
      <c r="AA87" s="68"/>
      <c r="AB87" s="72">
        <f t="shared" si="0"/>
        <v>0</v>
      </c>
      <c r="AC87" s="68"/>
      <c r="AD87" s="68"/>
      <c r="AE87" s="68"/>
      <c r="AF87" s="68"/>
      <c r="AG87" s="68"/>
      <c r="AN87" s="192"/>
    </row>
    <row r="88" spans="1:40" ht="14.25" customHeight="1" thickBot="1" x14ac:dyDescent="0.3">
      <c r="A88" s="1730"/>
      <c r="B88" s="1082" t="s">
        <v>204</v>
      </c>
      <c r="C88" s="1083"/>
      <c r="D88" s="1083"/>
      <c r="E88" s="1083"/>
      <c r="F88" s="1083"/>
      <c r="G88" s="1084"/>
      <c r="H88" s="144"/>
      <c r="I88" s="1238"/>
      <c r="J88" s="1239"/>
      <c r="K88" s="1240"/>
      <c r="L88" s="1331">
        <f>SUM(R77:S87)</f>
        <v>0</v>
      </c>
      <c r="M88" s="1332"/>
      <c r="N88" s="1332"/>
      <c r="O88" s="1332"/>
      <c r="P88" s="1332"/>
      <c r="Q88" s="355"/>
      <c r="R88" s="1181"/>
      <c r="S88" s="1272"/>
      <c r="T88" s="334"/>
      <c r="U88" s="335" t="s">
        <v>157</v>
      </c>
      <c r="V88" s="72"/>
      <c r="W88" s="74">
        <f>SUM(W77:W87)</f>
        <v>0.06</v>
      </c>
      <c r="X88" s="75"/>
      <c r="Y88" s="75"/>
      <c r="Z88" s="150"/>
      <c r="AA88" s="68"/>
      <c r="AB88" s="72">
        <f t="shared" si="0"/>
        <v>0</v>
      </c>
      <c r="AC88" s="68"/>
      <c r="AD88" s="68"/>
      <c r="AE88" s="68"/>
      <c r="AF88" s="68"/>
      <c r="AG88" s="68"/>
      <c r="AN88" s="68"/>
    </row>
    <row r="89" spans="1:40" ht="14.25" customHeight="1" x14ac:dyDescent="0.25">
      <c r="A89" s="1778" t="s">
        <v>206</v>
      </c>
      <c r="B89" s="1497" t="s">
        <v>530</v>
      </c>
      <c r="C89" s="1498"/>
      <c r="D89" s="1498"/>
      <c r="E89" s="1498"/>
      <c r="F89" s="1498"/>
      <c r="G89" s="1499"/>
      <c r="H89" s="1194" t="s">
        <v>99</v>
      </c>
      <c r="I89" s="1662">
        <f>W89</f>
        <v>0.13500000000000001</v>
      </c>
      <c r="J89" s="1780">
        <f>I89*$I$73</f>
        <v>0</v>
      </c>
      <c r="K89" s="1781"/>
      <c r="L89" s="1739" t="s">
        <v>531</v>
      </c>
      <c r="M89" s="1740"/>
      <c r="N89" s="1740"/>
      <c r="O89" s="1740"/>
      <c r="P89" s="1740"/>
      <c r="Q89" s="1727" t="s">
        <v>100</v>
      </c>
      <c r="R89" s="1627"/>
      <c r="S89" s="1008"/>
      <c r="T89" s="1376" t="str">
        <f>IFERROR(IF((VLOOKUP(U89,Überblick!$M$125:$N$133,2))="ja","ja","nein"),"")</f>
        <v/>
      </c>
      <c r="U89" s="1338"/>
      <c r="V89" s="72">
        <f t="shared" ref="V89:V103" si="2">IF(AND(Q89="ja",R89=""),1,0)</f>
        <v>0</v>
      </c>
      <c r="W89" s="74">
        <f>IF(H89="ja",X89,0)</f>
        <v>0.13500000000000001</v>
      </c>
      <c r="X89" s="74">
        <f>Z89/2</f>
        <v>0.13500000000000001</v>
      </c>
      <c r="Y89" s="77"/>
      <c r="Z89" s="77">
        <v>0.27</v>
      </c>
      <c r="AA89" s="68"/>
      <c r="AB89" s="72">
        <f t="shared" si="0"/>
        <v>0</v>
      </c>
      <c r="AC89" s="68"/>
      <c r="AD89" s="68"/>
      <c r="AE89" s="68"/>
      <c r="AF89" s="68"/>
      <c r="AG89" s="68"/>
      <c r="AI89" s="68"/>
      <c r="AN89" s="193"/>
    </row>
    <row r="90" spans="1:40" ht="14.25" customHeight="1" x14ac:dyDescent="0.25">
      <c r="A90" s="1779"/>
      <c r="B90" s="1493"/>
      <c r="C90" s="1317"/>
      <c r="D90" s="1317"/>
      <c r="E90" s="1317"/>
      <c r="F90" s="1317"/>
      <c r="G90" s="1494"/>
      <c r="H90" s="982"/>
      <c r="I90" s="1663"/>
      <c r="J90" s="1782"/>
      <c r="K90" s="1783"/>
      <c r="L90" s="1739"/>
      <c r="M90" s="1740"/>
      <c r="N90" s="1740"/>
      <c r="O90" s="1740"/>
      <c r="P90" s="1740"/>
      <c r="Q90" s="1727"/>
      <c r="R90" s="1627"/>
      <c r="S90" s="1008"/>
      <c r="T90" s="1377"/>
      <c r="U90" s="1339"/>
      <c r="V90" s="72"/>
      <c r="W90" s="76"/>
      <c r="X90" s="74"/>
      <c r="Y90" s="72"/>
      <c r="Z90" s="72"/>
      <c r="AA90" s="68"/>
      <c r="AB90" s="72">
        <f t="shared" si="0"/>
        <v>0</v>
      </c>
      <c r="AC90" s="68"/>
      <c r="AD90" s="68"/>
      <c r="AE90" s="68"/>
      <c r="AF90" s="68"/>
      <c r="AG90" s="68"/>
      <c r="AI90" s="68"/>
    </row>
    <row r="91" spans="1:40" ht="14.25" customHeight="1" x14ac:dyDescent="0.25">
      <c r="A91" s="1779"/>
      <c r="B91" s="1493"/>
      <c r="C91" s="1317"/>
      <c r="D91" s="1317"/>
      <c r="E91" s="1317"/>
      <c r="F91" s="1317"/>
      <c r="G91" s="1494"/>
      <c r="H91" s="983"/>
      <c r="I91" s="1663"/>
      <c r="J91" s="1782"/>
      <c r="K91" s="1783"/>
      <c r="L91" s="1741"/>
      <c r="M91" s="1742"/>
      <c r="N91" s="1742"/>
      <c r="O91" s="1742"/>
      <c r="P91" s="1742"/>
      <c r="Q91" s="1743"/>
      <c r="R91" s="1628"/>
      <c r="S91" s="1270"/>
      <c r="T91" s="1377"/>
      <c r="U91" s="1375"/>
      <c r="V91" s="72"/>
      <c r="W91" s="76"/>
      <c r="X91" s="74"/>
      <c r="Y91" s="72"/>
      <c r="Z91" s="72"/>
      <c r="AA91" s="68"/>
      <c r="AB91" s="72">
        <f t="shared" si="0"/>
        <v>0</v>
      </c>
      <c r="AC91" s="68"/>
      <c r="AD91" s="68"/>
      <c r="AE91" s="68"/>
      <c r="AF91" s="68"/>
      <c r="AG91" s="68"/>
      <c r="AI91" s="68"/>
    </row>
    <row r="92" spans="1:40" ht="14.25" customHeight="1" x14ac:dyDescent="0.25">
      <c r="A92" s="1779" t="s">
        <v>208</v>
      </c>
      <c r="B92" s="1487" t="s">
        <v>532</v>
      </c>
      <c r="C92" s="1488"/>
      <c r="D92" s="1488"/>
      <c r="E92" s="1488"/>
      <c r="F92" s="1488"/>
      <c r="G92" s="1489"/>
      <c r="H92" s="1080" t="s">
        <v>100</v>
      </c>
      <c r="I92" s="1663">
        <f>W92</f>
        <v>0</v>
      </c>
      <c r="J92" s="1782">
        <f>I73*I92</f>
        <v>0</v>
      </c>
      <c r="K92" s="1783"/>
      <c r="L92" s="1757"/>
      <c r="M92" s="1758"/>
      <c r="N92" s="1758"/>
      <c r="O92" s="1758"/>
      <c r="P92" s="1758"/>
      <c r="Q92" s="1775" t="s">
        <v>100</v>
      </c>
      <c r="R92" s="1777"/>
      <c r="S92" s="1725"/>
      <c r="T92" s="1011" t="str">
        <f>IFERROR(IF((VLOOKUP(U92,Überblick!$M$125:$N$133,2))="ja","ja","nein"),"")</f>
        <v/>
      </c>
      <c r="U92" s="1372"/>
      <c r="V92" s="72">
        <f t="shared" si="2"/>
        <v>0</v>
      </c>
      <c r="W92" s="74">
        <f>IF(H92="ja",X92,0)</f>
        <v>0</v>
      </c>
      <c r="X92" s="74">
        <f>Z89/2</f>
        <v>0.13500000000000001</v>
      </c>
      <c r="Y92" s="77"/>
      <c r="Z92" s="77"/>
      <c r="AA92" s="68"/>
      <c r="AB92" s="72">
        <f t="shared" si="0"/>
        <v>0</v>
      </c>
      <c r="AC92" s="68"/>
      <c r="AD92" s="68"/>
      <c r="AE92" s="68"/>
      <c r="AF92" s="68"/>
      <c r="AG92" s="68"/>
      <c r="AI92" s="68"/>
    </row>
    <row r="93" spans="1:40" ht="14.25" customHeight="1" x14ac:dyDescent="0.25">
      <c r="A93" s="1779"/>
      <c r="B93" s="1493"/>
      <c r="C93" s="1317"/>
      <c r="D93" s="1317"/>
      <c r="E93" s="1317"/>
      <c r="F93" s="1317"/>
      <c r="G93" s="1494"/>
      <c r="H93" s="1080"/>
      <c r="I93" s="1663"/>
      <c r="J93" s="1782"/>
      <c r="K93" s="1783"/>
      <c r="L93" s="1757"/>
      <c r="M93" s="1758"/>
      <c r="N93" s="1758"/>
      <c r="O93" s="1758"/>
      <c r="P93" s="1758"/>
      <c r="Q93" s="1775"/>
      <c r="R93" s="1777"/>
      <c r="S93" s="1725"/>
      <c r="T93" s="1377"/>
      <c r="U93" s="1372"/>
      <c r="V93" s="72"/>
      <c r="W93" s="74"/>
      <c r="X93" s="74"/>
      <c r="Y93" s="77"/>
      <c r="Z93" s="77"/>
      <c r="AA93" s="68"/>
      <c r="AB93" s="72">
        <f t="shared" si="0"/>
        <v>0</v>
      </c>
      <c r="AC93" s="68"/>
      <c r="AD93" s="68"/>
      <c r="AE93" s="68"/>
      <c r="AF93" s="68"/>
      <c r="AG93" s="68"/>
      <c r="AI93" s="68"/>
    </row>
    <row r="94" spans="1:40" ht="14.25" customHeight="1" thickBot="1" x14ac:dyDescent="0.3">
      <c r="A94" s="1779"/>
      <c r="B94" s="1493"/>
      <c r="C94" s="1317"/>
      <c r="D94" s="1317"/>
      <c r="E94" s="1317"/>
      <c r="F94" s="1317"/>
      <c r="G94" s="1494"/>
      <c r="H94" s="1080"/>
      <c r="I94" s="1663"/>
      <c r="J94" s="1782"/>
      <c r="K94" s="1783"/>
      <c r="L94" s="1757"/>
      <c r="M94" s="1758"/>
      <c r="N94" s="1758"/>
      <c r="O94" s="1758"/>
      <c r="P94" s="1758"/>
      <c r="Q94" s="1775"/>
      <c r="R94" s="1777"/>
      <c r="S94" s="1725"/>
      <c r="T94" s="1794"/>
      <c r="U94" s="1372"/>
      <c r="V94" s="72"/>
      <c r="W94" s="76"/>
      <c r="X94" s="74"/>
      <c r="Y94" s="77"/>
      <c r="Z94" s="72"/>
      <c r="AA94" s="68"/>
      <c r="AB94" s="72">
        <f t="shared" si="0"/>
        <v>0</v>
      </c>
      <c r="AC94" s="68"/>
      <c r="AD94" s="68"/>
      <c r="AE94" s="68"/>
      <c r="AF94" s="68"/>
      <c r="AG94" s="68"/>
      <c r="AI94" s="68"/>
    </row>
    <row r="95" spans="1:40" ht="14.25" customHeight="1" thickBot="1" x14ac:dyDescent="0.3">
      <c r="A95" s="1772" t="s">
        <v>533</v>
      </c>
      <c r="B95" s="1082" t="s">
        <v>218</v>
      </c>
      <c r="C95" s="1083"/>
      <c r="D95" s="1083"/>
      <c r="E95" s="1083"/>
      <c r="F95" s="1083"/>
      <c r="G95" s="1084"/>
      <c r="H95" s="144"/>
      <c r="I95" s="1361"/>
      <c r="J95" s="1362"/>
      <c r="K95" s="1576"/>
      <c r="L95" s="1180">
        <f>SUM(R89:S94)</f>
        <v>0</v>
      </c>
      <c r="M95" s="1181"/>
      <c r="N95" s="1181"/>
      <c r="O95" s="1181"/>
      <c r="P95" s="1181"/>
      <c r="Q95" s="211"/>
      <c r="R95" s="1181"/>
      <c r="S95" s="1272"/>
      <c r="T95" s="334"/>
      <c r="U95" s="335" t="s">
        <v>157</v>
      </c>
      <c r="V95" s="72"/>
      <c r="W95" s="77">
        <f>SUM(W89:W94)</f>
        <v>0.13500000000000001</v>
      </c>
      <c r="X95" s="75"/>
      <c r="Y95" s="150"/>
      <c r="Z95" s="150"/>
      <c r="AA95" s="68"/>
      <c r="AB95" s="72">
        <f t="shared" si="0"/>
        <v>0</v>
      </c>
      <c r="AC95" s="68"/>
      <c r="AD95" s="68"/>
      <c r="AE95" s="68"/>
      <c r="AF95" s="68"/>
      <c r="AG95" s="68"/>
    </row>
    <row r="96" spans="1:40" ht="14.25" customHeight="1" x14ac:dyDescent="0.25">
      <c r="A96" s="1516"/>
      <c r="B96" s="1394" t="s">
        <v>534</v>
      </c>
      <c r="C96" s="1395"/>
      <c r="D96" s="1395"/>
      <c r="E96" s="1395"/>
      <c r="F96" s="1395"/>
      <c r="G96" s="1396"/>
      <c r="H96" s="1194" t="s">
        <v>100</v>
      </c>
      <c r="I96" s="1016">
        <f>W96</f>
        <v>0</v>
      </c>
      <c r="J96" s="1790">
        <f>I96*$I$73</f>
        <v>0</v>
      </c>
      <c r="K96" s="1791"/>
      <c r="L96" s="1739"/>
      <c r="M96" s="1740"/>
      <c r="N96" s="1740"/>
      <c r="O96" s="1740"/>
      <c r="P96" s="1740"/>
      <c r="Q96" s="1727" t="s">
        <v>100</v>
      </c>
      <c r="R96" s="1627"/>
      <c r="S96" s="1008"/>
      <c r="T96" s="1257" t="str">
        <f>IFERROR(IF((VLOOKUP(U96,Überblick!$M$125:$N$133,2))="ja","ja","nein"),"")</f>
        <v/>
      </c>
      <c r="U96" s="1338"/>
      <c r="V96" s="72">
        <f t="shared" si="2"/>
        <v>0</v>
      </c>
      <c r="W96" s="74">
        <f>IF(H96="ja",X96,0)</f>
        <v>0</v>
      </c>
      <c r="X96" s="74">
        <v>0.02</v>
      </c>
      <c r="Y96" s="72"/>
      <c r="Z96" s="77">
        <v>0.02</v>
      </c>
      <c r="AA96" s="68"/>
      <c r="AB96" s="72">
        <f t="shared" si="0"/>
        <v>0</v>
      </c>
      <c r="AC96" s="68"/>
      <c r="AD96" s="68"/>
      <c r="AE96" s="68"/>
      <c r="AF96" s="68"/>
      <c r="AG96" s="68"/>
    </row>
    <row r="97" spans="1:33" ht="14.25" customHeight="1" x14ac:dyDescent="0.25">
      <c r="A97" s="1516"/>
      <c r="B97" s="1103"/>
      <c r="C97" s="1104"/>
      <c r="D97" s="1104"/>
      <c r="E97" s="1104"/>
      <c r="F97" s="1104"/>
      <c r="G97" s="1105"/>
      <c r="H97" s="982"/>
      <c r="I97" s="1017"/>
      <c r="J97" s="1060"/>
      <c r="K97" s="1061"/>
      <c r="L97" s="1739"/>
      <c r="M97" s="1740"/>
      <c r="N97" s="1740"/>
      <c r="O97" s="1740"/>
      <c r="P97" s="1740"/>
      <c r="Q97" s="1727"/>
      <c r="R97" s="1627"/>
      <c r="S97" s="1008"/>
      <c r="T97" s="1258"/>
      <c r="U97" s="1339"/>
      <c r="V97" s="72"/>
      <c r="W97" s="74"/>
      <c r="X97" s="74"/>
      <c r="Y97" s="72"/>
      <c r="Z97" s="72"/>
      <c r="AA97" s="68"/>
      <c r="AB97" s="72">
        <f t="shared" si="0"/>
        <v>0</v>
      </c>
      <c r="AC97" s="68"/>
      <c r="AD97" s="68"/>
      <c r="AE97" s="68"/>
      <c r="AF97" s="68"/>
      <c r="AG97" s="68"/>
    </row>
    <row r="98" spans="1:33" ht="14.25" customHeight="1" x14ac:dyDescent="0.25">
      <c r="A98" s="1516"/>
      <c r="B98" s="1103"/>
      <c r="C98" s="1104"/>
      <c r="D98" s="1104"/>
      <c r="E98" s="1104"/>
      <c r="F98" s="1104"/>
      <c r="G98" s="1105"/>
      <c r="H98" s="982"/>
      <c r="I98" s="1017"/>
      <c r="J98" s="1060"/>
      <c r="K98" s="1061"/>
      <c r="L98" s="1741"/>
      <c r="M98" s="1742"/>
      <c r="N98" s="1742"/>
      <c r="O98" s="1742"/>
      <c r="P98" s="1742"/>
      <c r="Q98" s="1743"/>
      <c r="R98" s="1628"/>
      <c r="S98" s="1270"/>
      <c r="T98" s="1258"/>
      <c r="U98" s="1339"/>
      <c r="V98" s="72"/>
      <c r="W98" s="74"/>
      <c r="X98" s="74"/>
      <c r="Y98" s="72"/>
      <c r="Z98" s="72"/>
      <c r="AA98" s="68"/>
      <c r="AB98" s="72">
        <f t="shared" si="0"/>
        <v>0</v>
      </c>
      <c r="AC98" s="68"/>
      <c r="AD98" s="68"/>
      <c r="AE98" s="68"/>
      <c r="AF98" s="68"/>
      <c r="AG98" s="68"/>
    </row>
    <row r="99" spans="1:33" ht="14.25" customHeight="1" x14ac:dyDescent="0.25">
      <c r="A99" s="1516"/>
      <c r="B99" s="1103"/>
      <c r="C99" s="1104"/>
      <c r="D99" s="1104"/>
      <c r="E99" s="1104"/>
      <c r="F99" s="1104"/>
      <c r="G99" s="1105"/>
      <c r="H99" s="982"/>
      <c r="I99" s="1017"/>
      <c r="J99" s="1060"/>
      <c r="K99" s="1061"/>
      <c r="L99" s="1757"/>
      <c r="M99" s="1758"/>
      <c r="N99" s="1758"/>
      <c r="O99" s="1758"/>
      <c r="P99" s="1758"/>
      <c r="Q99" s="1775" t="s">
        <v>100</v>
      </c>
      <c r="R99" s="1777"/>
      <c r="S99" s="1725"/>
      <c r="T99" s="1258"/>
      <c r="U99" s="1339"/>
      <c r="V99" s="72">
        <f t="shared" si="2"/>
        <v>0</v>
      </c>
      <c r="W99" s="74"/>
      <c r="X99" s="74"/>
      <c r="Y99" s="72"/>
      <c r="Z99" s="72"/>
      <c r="AA99" s="68"/>
      <c r="AB99" s="72">
        <f t="shared" si="0"/>
        <v>0</v>
      </c>
      <c r="AC99" s="68"/>
      <c r="AD99" s="68"/>
      <c r="AE99" s="68"/>
      <c r="AF99" s="68"/>
      <c r="AG99" s="68"/>
    </row>
    <row r="100" spans="1:33" ht="14.25" customHeight="1" x14ac:dyDescent="0.25">
      <c r="A100" s="1516"/>
      <c r="B100" s="1103"/>
      <c r="C100" s="1104"/>
      <c r="D100" s="1104"/>
      <c r="E100" s="1104"/>
      <c r="F100" s="1104"/>
      <c r="G100" s="1105"/>
      <c r="H100" s="982"/>
      <c r="I100" s="1017"/>
      <c r="J100" s="1060"/>
      <c r="K100" s="1061"/>
      <c r="L100" s="1757"/>
      <c r="M100" s="1758"/>
      <c r="N100" s="1758"/>
      <c r="O100" s="1758"/>
      <c r="P100" s="1758"/>
      <c r="Q100" s="1775"/>
      <c r="R100" s="1777"/>
      <c r="S100" s="1725"/>
      <c r="T100" s="1258"/>
      <c r="U100" s="1339"/>
      <c r="V100" s="72"/>
      <c r="W100" s="74"/>
      <c r="X100" s="74"/>
      <c r="Y100" s="72"/>
      <c r="Z100" s="72"/>
      <c r="AA100" s="68"/>
      <c r="AB100" s="72">
        <f t="shared" si="0"/>
        <v>0</v>
      </c>
      <c r="AC100" s="68"/>
      <c r="AD100" s="68"/>
      <c r="AE100" s="68"/>
      <c r="AF100" s="68"/>
      <c r="AG100" s="68"/>
    </row>
    <row r="101" spans="1:33" ht="14.25" customHeight="1" thickBot="1" x14ac:dyDescent="0.3">
      <c r="A101" s="1516"/>
      <c r="B101" s="1103"/>
      <c r="C101" s="1104"/>
      <c r="D101" s="1104"/>
      <c r="E101" s="1104"/>
      <c r="F101" s="1104"/>
      <c r="G101" s="1105"/>
      <c r="H101" s="982"/>
      <c r="I101" s="1017"/>
      <c r="J101" s="1792"/>
      <c r="K101" s="1793"/>
      <c r="L101" s="1757"/>
      <c r="M101" s="1758"/>
      <c r="N101" s="1758"/>
      <c r="O101" s="1758"/>
      <c r="P101" s="1758"/>
      <c r="Q101" s="1775"/>
      <c r="R101" s="1777"/>
      <c r="S101" s="1725"/>
      <c r="T101" s="1258"/>
      <c r="U101" s="1340"/>
      <c r="V101" s="72"/>
      <c r="W101" s="74"/>
      <c r="X101" s="74"/>
      <c r="Y101" s="72"/>
      <c r="Z101" s="72"/>
      <c r="AA101" s="68"/>
      <c r="AB101" s="72">
        <f t="shared" si="0"/>
        <v>0</v>
      </c>
      <c r="AC101" s="68"/>
      <c r="AD101" s="68"/>
      <c r="AE101" s="68"/>
      <c r="AF101" s="68"/>
      <c r="AG101" s="68"/>
    </row>
    <row r="102" spans="1:33" ht="14.25" customHeight="1" thickBot="1" x14ac:dyDescent="0.3">
      <c r="A102" s="1516"/>
      <c r="B102" s="1082" t="s">
        <v>229</v>
      </c>
      <c r="C102" s="1083"/>
      <c r="D102" s="1083"/>
      <c r="E102" s="1083"/>
      <c r="F102" s="1083"/>
      <c r="G102" s="1084"/>
      <c r="H102" s="144"/>
      <c r="I102" s="1361"/>
      <c r="J102" s="1362"/>
      <c r="K102" s="1576"/>
      <c r="L102" s="1180">
        <f>SUM(R95:S101)</f>
        <v>0</v>
      </c>
      <c r="M102" s="1181"/>
      <c r="N102" s="1181"/>
      <c r="O102" s="1181"/>
      <c r="P102" s="1181"/>
      <c r="Q102" s="211"/>
      <c r="R102" s="1181"/>
      <c r="S102" s="1272"/>
      <c r="T102" s="334"/>
      <c r="U102" s="335" t="s">
        <v>157</v>
      </c>
      <c r="V102" s="72"/>
      <c r="W102" s="74"/>
      <c r="X102" s="74"/>
      <c r="Y102" s="72"/>
      <c r="Z102" s="72"/>
      <c r="AA102" s="68"/>
      <c r="AB102" s="72">
        <f t="shared" ref="AB102:AB108" si="3">IF(Q102="ja",1,0)</f>
        <v>0</v>
      </c>
      <c r="AC102" s="68"/>
      <c r="AD102" s="68"/>
      <c r="AE102" s="68"/>
      <c r="AF102" s="68"/>
      <c r="AG102" s="68"/>
    </row>
    <row r="103" spans="1:33" ht="14.25" customHeight="1" x14ac:dyDescent="0.25">
      <c r="A103" s="1516"/>
      <c r="B103" s="1493" t="s">
        <v>535</v>
      </c>
      <c r="C103" s="1317"/>
      <c r="D103" s="1317"/>
      <c r="E103" s="1317"/>
      <c r="F103" s="1317"/>
      <c r="G103" s="1494"/>
      <c r="H103" s="986" t="s">
        <v>100</v>
      </c>
      <c r="I103" s="1016">
        <f>W103</f>
        <v>0</v>
      </c>
      <c r="J103" s="1790">
        <f>I103*I73</f>
        <v>0</v>
      </c>
      <c r="K103" s="1791"/>
      <c r="L103" s="1739" t="s">
        <v>536</v>
      </c>
      <c r="M103" s="1740"/>
      <c r="N103" s="1740"/>
      <c r="O103" s="1740"/>
      <c r="P103" s="1740"/>
      <c r="Q103" s="1727" t="s">
        <v>100</v>
      </c>
      <c r="R103" s="1627"/>
      <c r="S103" s="1008"/>
      <c r="T103" s="1257" t="str">
        <f>IFERROR(IF((VLOOKUP(U103,Überblick!$M$125:$N$133,2))="ja","ja","nein"),"")</f>
        <v/>
      </c>
      <c r="U103" s="1338"/>
      <c r="V103" s="72">
        <f t="shared" si="2"/>
        <v>0</v>
      </c>
      <c r="W103" s="74">
        <f>IF(H103="ja",X103,0)</f>
        <v>0</v>
      </c>
      <c r="X103" s="74">
        <v>0.02</v>
      </c>
      <c r="Y103" s="72"/>
      <c r="Z103" s="77">
        <v>0.02</v>
      </c>
      <c r="AA103" s="68"/>
      <c r="AB103" s="72">
        <f t="shared" si="3"/>
        <v>0</v>
      </c>
      <c r="AC103" s="68"/>
      <c r="AD103" s="68"/>
      <c r="AE103" s="68"/>
      <c r="AF103" s="68"/>
      <c r="AG103" s="68"/>
    </row>
    <row r="104" spans="1:33" ht="14.25" customHeight="1" x14ac:dyDescent="0.25">
      <c r="A104" s="1516"/>
      <c r="B104" s="1493"/>
      <c r="C104" s="1317"/>
      <c r="D104" s="1317"/>
      <c r="E104" s="1317"/>
      <c r="F104" s="1317"/>
      <c r="G104" s="1494"/>
      <c r="H104" s="986"/>
      <c r="I104" s="1017"/>
      <c r="J104" s="1060"/>
      <c r="K104" s="1061"/>
      <c r="L104" s="1739"/>
      <c r="M104" s="1740"/>
      <c r="N104" s="1740"/>
      <c r="O104" s="1740"/>
      <c r="P104" s="1740"/>
      <c r="Q104" s="1727"/>
      <c r="R104" s="1627"/>
      <c r="S104" s="1008"/>
      <c r="T104" s="1258"/>
      <c r="U104" s="1339"/>
      <c r="V104" s="72"/>
      <c r="W104" s="74"/>
      <c r="X104" s="74"/>
      <c r="Y104" s="72"/>
      <c r="Z104" s="72"/>
      <c r="AA104" s="68"/>
      <c r="AB104" s="72">
        <f t="shared" si="3"/>
        <v>0</v>
      </c>
      <c r="AC104" s="68"/>
      <c r="AD104" s="68"/>
      <c r="AE104" s="68"/>
      <c r="AF104" s="68"/>
      <c r="AG104" s="68"/>
    </row>
    <row r="105" spans="1:33" ht="14.25" customHeight="1" x14ac:dyDescent="0.25">
      <c r="A105" s="1516"/>
      <c r="B105" s="1493"/>
      <c r="C105" s="1317"/>
      <c r="D105" s="1317"/>
      <c r="E105" s="1317"/>
      <c r="F105" s="1317"/>
      <c r="G105" s="1494"/>
      <c r="H105" s="986"/>
      <c r="I105" s="1017"/>
      <c r="J105" s="1060"/>
      <c r="K105" s="1061"/>
      <c r="L105" s="1741"/>
      <c r="M105" s="1742"/>
      <c r="N105" s="1742"/>
      <c r="O105" s="1742"/>
      <c r="P105" s="1742"/>
      <c r="Q105" s="1743"/>
      <c r="R105" s="1628"/>
      <c r="S105" s="1270"/>
      <c r="T105" s="1258"/>
      <c r="U105" s="1339"/>
      <c r="V105" s="72"/>
      <c r="W105" s="74"/>
      <c r="X105" s="74"/>
      <c r="Y105" s="72"/>
      <c r="Z105" s="72"/>
      <c r="AA105" s="68"/>
      <c r="AB105" s="72">
        <f t="shared" si="3"/>
        <v>0</v>
      </c>
      <c r="AC105" s="68"/>
      <c r="AD105" s="68"/>
      <c r="AE105" s="68"/>
      <c r="AF105" s="68"/>
      <c r="AG105" s="68"/>
    </row>
    <row r="106" spans="1:33" ht="14.25" customHeight="1" x14ac:dyDescent="0.25">
      <c r="A106" s="1516"/>
      <c r="B106" s="1493"/>
      <c r="C106" s="1317"/>
      <c r="D106" s="1317"/>
      <c r="E106" s="1317"/>
      <c r="F106" s="1317"/>
      <c r="G106" s="1494"/>
      <c r="H106" s="986"/>
      <c r="I106" s="1017"/>
      <c r="J106" s="1060"/>
      <c r="K106" s="1061"/>
      <c r="L106" s="1757"/>
      <c r="M106" s="1758"/>
      <c r="N106" s="1758"/>
      <c r="O106" s="1758"/>
      <c r="P106" s="1758"/>
      <c r="Q106" s="1775" t="s">
        <v>100</v>
      </c>
      <c r="R106" s="1777"/>
      <c r="S106" s="1725"/>
      <c r="T106" s="1258"/>
      <c r="U106" s="1339"/>
      <c r="V106" s="72">
        <f t="shared" ref="V106" si="4">IF(AND(Q106="ja",R106=""),1,0)</f>
        <v>0</v>
      </c>
      <c r="W106" s="74"/>
      <c r="X106" s="74"/>
      <c r="Y106" s="72"/>
      <c r="Z106" s="72"/>
      <c r="AA106" s="68"/>
      <c r="AB106" s="72">
        <f t="shared" si="3"/>
        <v>0</v>
      </c>
      <c r="AC106" s="68"/>
      <c r="AD106" s="68"/>
      <c r="AE106" s="68"/>
      <c r="AF106" s="68"/>
      <c r="AG106" s="68"/>
    </row>
    <row r="107" spans="1:33" ht="14.25" customHeight="1" x14ac:dyDescent="0.25">
      <c r="A107" s="1516"/>
      <c r="B107" s="1493"/>
      <c r="C107" s="1317"/>
      <c r="D107" s="1317"/>
      <c r="E107" s="1317"/>
      <c r="F107" s="1317"/>
      <c r="G107" s="1494"/>
      <c r="H107" s="986"/>
      <c r="I107" s="1017"/>
      <c r="J107" s="1060"/>
      <c r="K107" s="1061"/>
      <c r="L107" s="1757"/>
      <c r="M107" s="1758"/>
      <c r="N107" s="1758"/>
      <c r="O107" s="1758"/>
      <c r="P107" s="1758"/>
      <c r="Q107" s="1775"/>
      <c r="R107" s="1777"/>
      <c r="S107" s="1725"/>
      <c r="T107" s="1258"/>
      <c r="U107" s="1339"/>
      <c r="V107" s="72"/>
      <c r="W107" s="74"/>
      <c r="X107" s="74"/>
      <c r="Y107" s="72"/>
      <c r="Z107" s="72"/>
      <c r="AA107" s="68"/>
      <c r="AB107" s="72">
        <f t="shared" si="3"/>
        <v>0</v>
      </c>
      <c r="AC107" s="68"/>
      <c r="AD107" s="68"/>
      <c r="AE107" s="68"/>
      <c r="AF107" s="68"/>
      <c r="AG107" s="68"/>
    </row>
    <row r="108" spans="1:33" ht="14.25" customHeight="1" thickBot="1" x14ac:dyDescent="0.3">
      <c r="A108" s="1516"/>
      <c r="B108" s="1490"/>
      <c r="C108" s="1491"/>
      <c r="D108" s="1491"/>
      <c r="E108" s="1491"/>
      <c r="F108" s="1491"/>
      <c r="G108" s="1492"/>
      <c r="H108" s="986"/>
      <c r="I108" s="1018"/>
      <c r="J108" s="1792"/>
      <c r="K108" s="1793"/>
      <c r="L108" s="1757"/>
      <c r="M108" s="1758"/>
      <c r="N108" s="1758"/>
      <c r="O108" s="1758"/>
      <c r="P108" s="1758"/>
      <c r="Q108" s="1776"/>
      <c r="R108" s="1777"/>
      <c r="S108" s="1725"/>
      <c r="T108" s="1258"/>
      <c r="U108" s="1340"/>
      <c r="V108" s="72"/>
      <c r="W108" s="76"/>
      <c r="X108" s="74"/>
      <c r="Y108" s="72"/>
      <c r="Z108" s="72"/>
      <c r="AA108" s="68"/>
      <c r="AB108" s="72">
        <f t="shared" si="3"/>
        <v>0</v>
      </c>
      <c r="AC108" s="68"/>
      <c r="AD108" s="68"/>
      <c r="AE108" s="68"/>
      <c r="AF108" s="68"/>
      <c r="AG108" s="68"/>
    </row>
    <row r="109" spans="1:33" ht="14.25" customHeight="1" x14ac:dyDescent="0.25">
      <c r="A109" s="1516"/>
      <c r="B109" s="1502" t="s">
        <v>277</v>
      </c>
      <c r="C109" s="1503"/>
      <c r="D109" s="1503"/>
      <c r="E109" s="1503"/>
      <c r="F109" s="1503"/>
      <c r="G109" s="1503"/>
      <c r="H109" s="1503"/>
      <c r="I109" s="1500">
        <f>I37+I44+I60+I77+I89+I92+I96+I103</f>
        <v>0.82499999999999996</v>
      </c>
      <c r="J109" s="1506">
        <f>J103+J96+J92+J89+J77+J60+J44+J37</f>
        <v>0</v>
      </c>
      <c r="K109" s="1161"/>
      <c r="L109" s="1323">
        <f>SUM(R103:S108)</f>
        <v>0</v>
      </c>
      <c r="M109" s="1323"/>
      <c r="N109" s="1323"/>
      <c r="O109" s="1323"/>
      <c r="P109" s="1355"/>
      <c r="Q109" s="1329"/>
      <c r="R109" s="1036">
        <f>SUM(R96:S108)+SUM(R89:S94)+SUM(R77:S87)+SUM(R60:S72)+SUM(R44:S55)+SUM(R37:S42)</f>
        <v>0</v>
      </c>
      <c r="S109" s="1037"/>
      <c r="T109" s="1257"/>
      <c r="U109" s="1773"/>
      <c r="V109" s="72"/>
      <c r="W109" s="74"/>
      <c r="X109" s="78"/>
      <c r="Y109" s="78"/>
      <c r="Z109" s="78"/>
      <c r="AA109" s="68"/>
      <c r="AC109" s="68"/>
      <c r="AD109" s="68"/>
      <c r="AE109" s="68"/>
      <c r="AF109" s="68"/>
      <c r="AG109" s="68"/>
    </row>
    <row r="110" spans="1:33" ht="15" customHeight="1" thickBot="1" x14ac:dyDescent="0.3">
      <c r="A110" s="1516"/>
      <c r="B110" s="1504"/>
      <c r="C110" s="1505"/>
      <c r="D110" s="1505"/>
      <c r="E110" s="1505"/>
      <c r="F110" s="1505"/>
      <c r="G110" s="1505"/>
      <c r="H110" s="1505"/>
      <c r="I110" s="1501"/>
      <c r="J110" s="1507"/>
      <c r="K110" s="1163"/>
      <c r="L110" s="1325"/>
      <c r="M110" s="1325"/>
      <c r="N110" s="1325"/>
      <c r="O110" s="1325"/>
      <c r="P110" s="1359"/>
      <c r="Q110" s="1330"/>
      <c r="R110" s="1042"/>
      <c r="S110" s="1043"/>
      <c r="T110" s="1259"/>
      <c r="U110" s="1774"/>
      <c r="V110" s="206">
        <f>SUM(V33:V108)+R21</f>
        <v>2</v>
      </c>
      <c r="W110" s="207"/>
      <c r="X110" s="207"/>
      <c r="Y110" s="72"/>
      <c r="Z110" s="72"/>
      <c r="AA110" s="68"/>
      <c r="AB110" s="72">
        <f>SUM(AB37:AB108)</f>
        <v>3</v>
      </c>
      <c r="AC110" s="68"/>
      <c r="AD110" s="68"/>
      <c r="AE110" s="68"/>
      <c r="AF110" s="68"/>
      <c r="AG110" s="68"/>
    </row>
    <row r="111" spans="1:33" ht="15" customHeight="1" x14ac:dyDescent="0.25">
      <c r="B111" s="136"/>
      <c r="C111" s="136"/>
      <c r="D111" s="136"/>
      <c r="E111" s="136"/>
      <c r="F111" s="136"/>
      <c r="G111" s="136"/>
      <c r="H111" s="136"/>
      <c r="I111" s="137"/>
      <c r="J111" s="138"/>
      <c r="K111" s="138"/>
      <c r="L111" s="139"/>
      <c r="M111" s="137"/>
      <c r="N111" s="137"/>
      <c r="O111" s="137"/>
      <c r="P111" s="138"/>
      <c r="Q111" s="138"/>
      <c r="R111" s="140"/>
      <c r="S111" s="79"/>
      <c r="T111" s="80"/>
      <c r="U111" s="195"/>
      <c r="V111" s="68"/>
      <c r="W111" s="68"/>
      <c r="X111" s="68"/>
      <c r="Y111" s="68"/>
      <c r="Z111" s="68"/>
      <c r="AA111" s="68"/>
      <c r="AC111" s="68"/>
      <c r="AD111" s="68"/>
      <c r="AE111" s="68"/>
      <c r="AF111" s="68"/>
    </row>
    <row r="112" spans="1:33" ht="15" customHeight="1" x14ac:dyDescent="0.25">
      <c r="B112" s="1317" t="s">
        <v>278</v>
      </c>
      <c r="C112" s="1318"/>
      <c r="D112" s="1318"/>
      <c r="E112" s="1318"/>
      <c r="F112" s="1318"/>
      <c r="G112" s="1318"/>
      <c r="H112" s="1318"/>
      <c r="I112" s="1318"/>
      <c r="J112" s="1318"/>
      <c r="K112" s="1318"/>
      <c r="L112" s="1318"/>
      <c r="M112" s="1318"/>
      <c r="N112" s="1318"/>
      <c r="O112" s="1318"/>
      <c r="P112" s="1318"/>
      <c r="Q112" s="1318"/>
      <c r="R112" s="1318"/>
      <c r="S112" s="79"/>
      <c r="T112" s="80"/>
      <c r="U112" s="195"/>
      <c r="V112" s="68"/>
      <c r="W112" s="68"/>
      <c r="X112" s="68"/>
      <c r="Y112" s="68"/>
      <c r="Z112" s="68"/>
      <c r="AA112" s="68"/>
      <c r="AC112" s="68"/>
      <c r="AD112" s="68"/>
      <c r="AE112" s="68"/>
      <c r="AF112" s="68"/>
    </row>
    <row r="113" spans="1:27" ht="15" customHeight="1" x14ac:dyDescent="0.25">
      <c r="B113" s="1318"/>
      <c r="C113" s="1318"/>
      <c r="D113" s="1318"/>
      <c r="E113" s="1318"/>
      <c r="F113" s="1318"/>
      <c r="G113" s="1318"/>
      <c r="H113" s="1318"/>
      <c r="I113" s="1318"/>
      <c r="J113" s="1318"/>
      <c r="K113" s="1318"/>
      <c r="L113" s="1318"/>
      <c r="M113" s="1318"/>
      <c r="N113" s="1318"/>
      <c r="O113" s="1318"/>
      <c r="P113" s="1318"/>
      <c r="Q113" s="1318"/>
      <c r="R113" s="1318"/>
      <c r="S113" s="79"/>
      <c r="T113" s="80"/>
      <c r="U113" s="80"/>
    </row>
    <row r="114" spans="1:27" ht="15" customHeight="1" x14ac:dyDescent="0.25">
      <c r="B114" s="327"/>
      <c r="C114" s="327"/>
      <c r="D114" s="327"/>
      <c r="E114" s="327"/>
      <c r="F114" s="327"/>
      <c r="G114" s="327"/>
      <c r="H114" s="327"/>
      <c r="I114" s="327"/>
      <c r="J114" s="327"/>
      <c r="K114" s="327"/>
      <c r="L114" s="327"/>
      <c r="M114" s="327"/>
      <c r="N114" s="327"/>
      <c r="O114" s="327"/>
      <c r="P114" s="327"/>
      <c r="Q114" s="327"/>
      <c r="R114" s="327"/>
      <c r="S114" s="79"/>
      <c r="T114" s="80"/>
      <c r="U114" s="80"/>
    </row>
    <row r="116" spans="1:27" x14ac:dyDescent="0.25">
      <c r="A116" s="491" t="s">
        <v>279</v>
      </c>
      <c r="B116" s="40" t="str">
        <f>IF(B1=V2,"Honorarvereinbarung für die zunächst beauftragten und für die optionalen Leistungen ","Honorarangebot für die zunächst beauftragten und für die optionalen Leistungen")</f>
        <v>Honorarangebot für die zunächst beauftragten und für die optionalen Leistungen</v>
      </c>
      <c r="Q116" s="40"/>
      <c r="AA116" s="40"/>
    </row>
    <row r="117" spans="1:27" ht="14.55" thickBot="1" x14ac:dyDescent="0.3"/>
    <row r="118" spans="1:27" x14ac:dyDescent="0.25">
      <c r="B118" s="941" t="s">
        <v>55</v>
      </c>
      <c r="C118" s="942"/>
      <c r="D118" s="942"/>
      <c r="E118" s="942"/>
      <c r="F118" s="943"/>
      <c r="G118" s="99"/>
      <c r="H118" s="944">
        <f>J109</f>
        <v>0</v>
      </c>
      <c r="I118" s="944"/>
      <c r="J118" s="945"/>
    </row>
    <row r="119" spans="1:27" x14ac:dyDescent="0.25">
      <c r="B119" s="301"/>
      <c r="C119" s="41"/>
      <c r="D119" s="41"/>
      <c r="E119" s="41"/>
      <c r="F119" s="302"/>
      <c r="G119" s="101"/>
      <c r="H119" s="303"/>
      <c r="I119" s="303"/>
      <c r="J119" s="304"/>
    </row>
    <row r="120" spans="1:27" ht="15.95" customHeight="1" thickBot="1" x14ac:dyDescent="0.3">
      <c r="B120" s="1298" t="s">
        <v>280</v>
      </c>
      <c r="C120" s="1299"/>
      <c r="D120" s="1299"/>
      <c r="E120" s="1299"/>
      <c r="F120" s="1300"/>
      <c r="G120" s="102">
        <f>F21</f>
        <v>0</v>
      </c>
      <c r="H120" s="956">
        <f>H118*G120</f>
        <v>0</v>
      </c>
      <c r="I120" s="956"/>
      <c r="J120" s="957"/>
      <c r="K120" s="96">
        <f>H118+H120</f>
        <v>0</v>
      </c>
    </row>
    <row r="121" spans="1:27" x14ac:dyDescent="0.25">
      <c r="B121" s="90"/>
      <c r="C121" s="91"/>
      <c r="D121" s="91"/>
      <c r="E121" s="91"/>
      <c r="F121" s="92"/>
      <c r="G121" s="88"/>
      <c r="J121" s="89"/>
    </row>
    <row r="122" spans="1:27" x14ac:dyDescent="0.25">
      <c r="B122" s="926" t="s">
        <v>57</v>
      </c>
      <c r="C122" s="927"/>
      <c r="D122" s="927"/>
      <c r="E122" s="927"/>
      <c r="F122" s="928"/>
      <c r="G122" s="101"/>
      <c r="H122" s="954">
        <f>R109</f>
        <v>0</v>
      </c>
      <c r="I122" s="954"/>
      <c r="J122" s="955"/>
    </row>
    <row r="123" spans="1:27" ht="14.55" thickBot="1" x14ac:dyDescent="0.3">
      <c r="B123" s="296"/>
      <c r="C123" s="297"/>
      <c r="D123" s="297"/>
      <c r="E123" s="297"/>
      <c r="F123" s="298"/>
      <c r="G123" s="1333"/>
      <c r="H123" s="1334"/>
      <c r="I123" s="1334"/>
      <c r="J123" s="1335"/>
    </row>
    <row r="124" spans="1:27" ht="15.95" customHeight="1" thickBot="1" x14ac:dyDescent="0.3">
      <c r="B124" s="929" t="s">
        <v>59</v>
      </c>
      <c r="C124" s="930"/>
      <c r="D124" s="930"/>
      <c r="E124" s="930"/>
      <c r="F124" s="931"/>
      <c r="G124" s="107"/>
      <c r="H124" s="935">
        <f>SUM(H118:J122)</f>
        <v>0</v>
      </c>
      <c r="I124" s="935"/>
      <c r="J124" s="936"/>
    </row>
    <row r="125" spans="1:27" x14ac:dyDescent="0.25">
      <c r="B125" s="320"/>
      <c r="C125" s="321"/>
      <c r="D125" s="321"/>
      <c r="E125" s="321"/>
      <c r="F125" s="322"/>
      <c r="G125" s="45"/>
      <c r="H125" s="93"/>
      <c r="I125" s="93"/>
      <c r="J125" s="94"/>
    </row>
    <row r="126" spans="1:27" ht="15" customHeight="1" x14ac:dyDescent="0.25">
      <c r="B126" s="917" t="s">
        <v>60</v>
      </c>
      <c r="C126" s="918"/>
      <c r="D126" s="918"/>
      <c r="E126" s="918"/>
      <c r="F126" s="919"/>
      <c r="G126" s="100">
        <f>Überblick!$G$98</f>
        <v>0.19</v>
      </c>
      <c r="H126" s="954">
        <f>H124*G126</f>
        <v>0</v>
      </c>
      <c r="I126" s="954"/>
      <c r="J126" s="955"/>
    </row>
    <row r="127" spans="1:27" ht="14.55" thickBot="1" x14ac:dyDescent="0.3">
      <c r="B127" s="305"/>
      <c r="C127" s="306"/>
      <c r="D127" s="306"/>
      <c r="E127" s="306"/>
      <c r="F127" s="307"/>
      <c r="G127" s="102"/>
      <c r="H127" s="299"/>
      <c r="I127" s="299"/>
      <c r="J127" s="300"/>
    </row>
    <row r="128" spans="1:27" ht="15" customHeight="1" x14ac:dyDescent="0.25">
      <c r="B128" s="920" t="s">
        <v>281</v>
      </c>
      <c r="C128" s="921"/>
      <c r="D128" s="921"/>
      <c r="E128" s="921"/>
      <c r="F128" s="922"/>
      <c r="G128" s="97"/>
      <c r="H128" s="937">
        <f>H124+H126</f>
        <v>0</v>
      </c>
      <c r="I128" s="937"/>
      <c r="J128" s="938"/>
    </row>
    <row r="129" spans="1:26" ht="14.55" thickBot="1" x14ac:dyDescent="0.3">
      <c r="B129" s="923"/>
      <c r="C129" s="924"/>
      <c r="D129" s="924"/>
      <c r="E129" s="924"/>
      <c r="F129" s="925"/>
      <c r="G129" s="98"/>
      <c r="H129" s="939"/>
      <c r="I129" s="939"/>
      <c r="J129" s="940"/>
    </row>
    <row r="131" spans="1:26" x14ac:dyDescent="0.25">
      <c r="A131" s="491" t="s">
        <v>282</v>
      </c>
      <c r="B131" s="60" t="str">
        <f>IF(B1=V2,"Honorarvereinbarung für die zunächst beauftragenden Leistungen","Honorangebot für die zunächst beauftragenden Leistungen ")</f>
        <v xml:space="preserve">Honorangebot für die zunächst beauftragenden Leistungen </v>
      </c>
      <c r="C131" s="60"/>
      <c r="D131" s="60"/>
      <c r="E131" s="60"/>
      <c r="F131" s="65"/>
      <c r="G131" s="65"/>
      <c r="H131" s="65"/>
      <c r="I131" s="66"/>
      <c r="J131" s="66"/>
      <c r="K131" s="66"/>
      <c r="L131" s="66"/>
      <c r="M131" s="66"/>
      <c r="N131" s="66"/>
      <c r="O131" s="66"/>
      <c r="P131" s="67"/>
      <c r="Q131" s="60"/>
      <c r="R131" s="67"/>
      <c r="S131" s="67"/>
      <c r="T131" s="67"/>
      <c r="U131" s="67"/>
      <c r="Z131" s="60"/>
    </row>
    <row r="132" spans="1:26" ht="14.55" thickBot="1" x14ac:dyDescent="0.3">
      <c r="B132" s="60"/>
      <c r="C132" s="60"/>
      <c r="D132" s="60"/>
      <c r="E132" s="60"/>
      <c r="F132" s="65"/>
      <c r="G132" s="65"/>
      <c r="H132" s="65"/>
      <c r="I132" s="66"/>
      <c r="J132" s="66"/>
      <c r="K132" s="66"/>
      <c r="L132" s="66"/>
      <c r="M132" s="66"/>
      <c r="N132" s="66"/>
      <c r="O132" s="66"/>
      <c r="P132" s="67"/>
      <c r="Q132" s="67"/>
      <c r="R132" s="67"/>
      <c r="S132" s="67"/>
      <c r="T132" s="67"/>
      <c r="U132" s="67"/>
    </row>
    <row r="133" spans="1:26" x14ac:dyDescent="0.25">
      <c r="B133" s="941" t="s">
        <v>55</v>
      </c>
      <c r="C133" s="942"/>
      <c r="D133" s="942"/>
      <c r="E133" s="942"/>
      <c r="F133" s="943"/>
      <c r="G133" s="99"/>
      <c r="H133" s="944">
        <f>'Berechnung - Bauakustik'!H101</f>
        <v>0</v>
      </c>
      <c r="I133" s="944"/>
      <c r="J133" s="945"/>
      <c r="K133" s="66"/>
      <c r="L133" s="66"/>
      <c r="M133" s="66"/>
      <c r="N133" s="66"/>
      <c r="O133" s="66"/>
      <c r="P133" s="67"/>
      <c r="Q133" s="67"/>
      <c r="R133" s="67"/>
      <c r="S133" s="67"/>
      <c r="T133" s="67"/>
      <c r="U133" s="67"/>
    </row>
    <row r="134" spans="1:26" x14ac:dyDescent="0.25">
      <c r="B134" s="301"/>
      <c r="C134" s="41"/>
      <c r="D134" s="41"/>
      <c r="E134" s="41"/>
      <c r="F134" s="302"/>
      <c r="G134" s="101"/>
      <c r="H134" s="303"/>
      <c r="I134" s="303"/>
      <c r="J134" s="304"/>
      <c r="K134" s="66"/>
      <c r="L134" s="66"/>
      <c r="M134" s="66"/>
      <c r="N134" s="66"/>
      <c r="O134" s="66"/>
      <c r="P134" s="67"/>
      <c r="Q134" s="67"/>
      <c r="R134" s="67"/>
      <c r="S134" s="67"/>
      <c r="T134" s="67"/>
      <c r="U134" s="67"/>
    </row>
    <row r="135" spans="1:26" ht="15" customHeight="1" thickBot="1" x14ac:dyDescent="0.3">
      <c r="B135" s="1298" t="s">
        <v>280</v>
      </c>
      <c r="C135" s="1299"/>
      <c r="D135" s="1299"/>
      <c r="E135" s="1299"/>
      <c r="F135" s="1300"/>
      <c r="G135" s="102">
        <f>F21</f>
        <v>0</v>
      </c>
      <c r="H135" s="956">
        <f>H133*G135</f>
        <v>0</v>
      </c>
      <c r="I135" s="956"/>
      <c r="J135" s="957"/>
      <c r="K135" s="66"/>
      <c r="L135" s="66"/>
      <c r="M135" s="66"/>
      <c r="N135" s="66"/>
      <c r="O135" s="66"/>
      <c r="P135" s="67"/>
      <c r="Q135" s="67"/>
      <c r="R135" s="67"/>
      <c r="S135" s="67"/>
      <c r="T135" s="67"/>
      <c r="U135" s="67"/>
    </row>
    <row r="136" spans="1:26" x14ac:dyDescent="0.25">
      <c r="B136" s="90"/>
      <c r="C136" s="91"/>
      <c r="D136" s="91"/>
      <c r="E136" s="91"/>
      <c r="F136" s="92"/>
      <c r="G136" s="45"/>
      <c r="H136" s="46"/>
      <c r="I136" s="46"/>
      <c r="J136" s="105"/>
      <c r="K136" s="66"/>
      <c r="L136" s="66"/>
      <c r="M136" s="66"/>
      <c r="N136" s="66"/>
      <c r="O136" s="66"/>
      <c r="P136" s="67"/>
      <c r="Q136" s="67"/>
      <c r="R136" s="67"/>
      <c r="S136" s="67"/>
      <c r="T136" s="67"/>
      <c r="U136" s="67"/>
    </row>
    <row r="137" spans="1:26" x14ac:dyDescent="0.25">
      <c r="B137" s="926" t="s">
        <v>57</v>
      </c>
      <c r="C137" s="927"/>
      <c r="D137" s="927"/>
      <c r="E137" s="927"/>
      <c r="F137" s="928"/>
      <c r="G137" s="101"/>
      <c r="H137" s="954">
        <f>'Berechnung - Bauakustik'!J101</f>
        <v>0</v>
      </c>
      <c r="I137" s="954"/>
      <c r="J137" s="955"/>
      <c r="K137" s="66"/>
      <c r="L137" s="66"/>
      <c r="M137" s="66"/>
      <c r="N137" s="66"/>
      <c r="O137" s="66"/>
      <c r="P137" s="67"/>
      <c r="Q137" s="67"/>
      <c r="R137" s="67"/>
      <c r="S137" s="67"/>
      <c r="T137" s="67"/>
      <c r="U137" s="67"/>
    </row>
    <row r="138" spans="1:26" ht="14.55" thickBot="1" x14ac:dyDescent="0.3">
      <c r="B138" s="90"/>
      <c r="C138" s="91"/>
      <c r="D138" s="91"/>
      <c r="E138" s="91"/>
      <c r="F138" s="92"/>
      <c r="G138" s="1333"/>
      <c r="H138" s="1334"/>
      <c r="I138" s="1334"/>
      <c r="J138" s="1335"/>
      <c r="K138" s="66"/>
      <c r="L138" s="66"/>
      <c r="M138" s="66"/>
      <c r="N138" s="66"/>
      <c r="O138" s="66"/>
      <c r="P138" s="67"/>
      <c r="Q138" s="67"/>
      <c r="R138" s="67"/>
      <c r="S138" s="67"/>
      <c r="T138" s="67"/>
      <c r="U138" s="67"/>
    </row>
    <row r="139" spans="1:26" ht="15.95" customHeight="1" thickBot="1" x14ac:dyDescent="0.3">
      <c r="B139" s="929" t="s">
        <v>59</v>
      </c>
      <c r="C139" s="930"/>
      <c r="D139" s="930"/>
      <c r="E139" s="930"/>
      <c r="F139" s="931"/>
      <c r="G139" s="107"/>
      <c r="H139" s="935">
        <f>SUM(H133:J137)</f>
        <v>0</v>
      </c>
      <c r="I139" s="935"/>
      <c r="J139" s="936"/>
      <c r="K139" s="66"/>
      <c r="L139" s="66"/>
      <c r="M139" s="66"/>
      <c r="N139" s="66"/>
      <c r="O139" s="66"/>
      <c r="P139" s="67"/>
      <c r="Q139" s="67"/>
      <c r="R139" s="67"/>
      <c r="S139" s="67"/>
      <c r="T139" s="67"/>
      <c r="U139" s="67"/>
    </row>
    <row r="140" spans="1:26" x14ac:dyDescent="0.25">
      <c r="B140" s="320"/>
      <c r="C140" s="321"/>
      <c r="D140" s="321"/>
      <c r="E140" s="321"/>
      <c r="F140" s="322"/>
      <c r="G140" s="45"/>
      <c r="H140" s="93"/>
      <c r="I140" s="93"/>
      <c r="J140" s="94"/>
      <c r="K140" s="66"/>
      <c r="L140" s="66"/>
      <c r="M140" s="66"/>
      <c r="N140" s="66"/>
      <c r="O140" s="66"/>
      <c r="P140" s="67"/>
      <c r="Q140" s="67"/>
      <c r="R140" s="67"/>
      <c r="S140" s="67"/>
      <c r="T140" s="67"/>
      <c r="U140" s="67"/>
    </row>
    <row r="141" spans="1:26" ht="15" customHeight="1" x14ac:dyDescent="0.25">
      <c r="B141" s="917" t="s">
        <v>94</v>
      </c>
      <c r="C141" s="918"/>
      <c r="D141" s="918"/>
      <c r="E141" s="918"/>
      <c r="F141" s="919"/>
      <c r="G141" s="100">
        <f>Überblick!$G$98</f>
        <v>0.19</v>
      </c>
      <c r="H141" s="954">
        <f>H139*G141</f>
        <v>0</v>
      </c>
      <c r="I141" s="954"/>
      <c r="J141" s="955"/>
      <c r="K141" s="66"/>
      <c r="L141" s="66"/>
      <c r="M141" s="66"/>
      <c r="N141" s="66"/>
      <c r="O141" s="66"/>
      <c r="P141" s="67"/>
      <c r="Q141" s="67"/>
      <c r="R141" s="67"/>
      <c r="S141" s="67"/>
      <c r="T141" s="67"/>
      <c r="U141" s="67"/>
    </row>
    <row r="142" spans="1:26" ht="14.55" thickBot="1" x14ac:dyDescent="0.3">
      <c r="B142" s="305"/>
      <c r="C142" s="306"/>
      <c r="D142" s="306"/>
      <c r="E142" s="306"/>
      <c r="F142" s="307"/>
      <c r="G142" s="102"/>
      <c r="H142" s="299"/>
      <c r="I142" s="299"/>
      <c r="J142" s="300"/>
      <c r="K142" s="66"/>
      <c r="L142" s="66"/>
      <c r="M142" s="66"/>
      <c r="N142" s="66"/>
      <c r="O142" s="66"/>
      <c r="P142" s="67"/>
      <c r="Q142" s="67"/>
      <c r="R142" s="67"/>
      <c r="S142" s="67"/>
      <c r="T142" s="67"/>
      <c r="U142" s="67"/>
    </row>
    <row r="143" spans="1:26" ht="15" customHeight="1" x14ac:dyDescent="0.25">
      <c r="B143" s="920" t="s">
        <v>98</v>
      </c>
      <c r="C143" s="921"/>
      <c r="D143" s="921"/>
      <c r="E143" s="921"/>
      <c r="F143" s="922"/>
      <c r="G143" s="172"/>
      <c r="H143" s="937">
        <f>H139+H141</f>
        <v>0</v>
      </c>
      <c r="I143" s="937"/>
      <c r="J143" s="938"/>
      <c r="K143" s="66"/>
      <c r="L143" s="66"/>
      <c r="M143" s="66"/>
      <c r="N143" s="66"/>
      <c r="O143" s="66"/>
      <c r="P143" s="67"/>
      <c r="Q143" s="67"/>
      <c r="R143" s="67"/>
      <c r="S143" s="67"/>
      <c r="T143" s="67"/>
      <c r="U143" s="67"/>
    </row>
    <row r="144" spans="1:26" ht="14.55" thickBot="1" x14ac:dyDescent="0.3">
      <c r="B144" s="923"/>
      <c r="C144" s="924"/>
      <c r="D144" s="924"/>
      <c r="E144" s="924"/>
      <c r="F144" s="925"/>
      <c r="G144" s="98"/>
      <c r="H144" s="939"/>
      <c r="I144" s="939"/>
      <c r="J144" s="940"/>
      <c r="K144" s="66"/>
      <c r="L144" s="66"/>
      <c r="M144" s="66"/>
      <c r="N144" s="66"/>
      <c r="O144" s="66"/>
      <c r="P144" s="67"/>
      <c r="Q144" s="67"/>
      <c r="R144" s="67"/>
      <c r="S144" s="67"/>
      <c r="T144" s="67"/>
      <c r="U144" s="67"/>
    </row>
    <row r="145" spans="1:21" x14ac:dyDescent="0.25">
      <c r="B145" s="60"/>
      <c r="C145" s="60"/>
      <c r="D145" s="60"/>
      <c r="E145" s="60"/>
      <c r="F145" s="65"/>
      <c r="G145" s="65"/>
      <c r="H145" s="65"/>
      <c r="I145" s="66"/>
      <c r="J145" s="66"/>
      <c r="K145" s="66"/>
      <c r="L145" s="66"/>
      <c r="M145" s="66"/>
      <c r="N145" s="66"/>
      <c r="O145" s="66"/>
      <c r="P145" s="67"/>
      <c r="Q145" s="67"/>
      <c r="R145" s="67"/>
      <c r="S145" s="67"/>
      <c r="T145" s="67"/>
      <c r="U145" s="67"/>
    </row>
    <row r="146" spans="1:21" x14ac:dyDescent="0.25">
      <c r="A146" s="491" t="s">
        <v>284</v>
      </c>
      <c r="B146" s="40" t="str">
        <f>IF(B1=V2,"Gemäß der Honorarvereinbarung werden die Stufen wie folgt vergütet (netto): ","Gemäß des Honorarangebotes werden die Stufen wie folgt vergütet (netto): ")</f>
        <v xml:space="preserve">Gemäß des Honorarangebotes werden die Stufen wie folgt vergütet (netto): </v>
      </c>
      <c r="C146" s="40"/>
      <c r="D146" s="40"/>
      <c r="E146" s="40"/>
      <c r="F146" s="40"/>
      <c r="G146" s="40"/>
      <c r="H146" s="40"/>
      <c r="I146" s="40"/>
      <c r="J146" s="40"/>
      <c r="K146" s="40"/>
      <c r="L146" s="60"/>
      <c r="M146" s="66"/>
      <c r="N146" s="66"/>
      <c r="O146" s="40"/>
      <c r="P146" s="67"/>
      <c r="Q146" s="67"/>
      <c r="R146" s="67"/>
      <c r="S146" s="67"/>
      <c r="T146" s="67"/>
      <c r="U146" s="67"/>
    </row>
    <row r="147" spans="1:21" ht="14.55" thickBot="1" x14ac:dyDescent="0.3">
      <c r="B147" s="60"/>
      <c r="C147" s="60"/>
      <c r="D147" s="60"/>
      <c r="E147" s="60"/>
      <c r="F147" s="65"/>
      <c r="G147" s="65"/>
      <c r="H147" s="65"/>
      <c r="I147" s="66"/>
      <c r="J147" s="66"/>
      <c r="K147" s="66"/>
      <c r="L147" s="66"/>
      <c r="M147" s="66"/>
      <c r="N147" s="66"/>
      <c r="O147" s="40"/>
      <c r="P147" s="67"/>
      <c r="Q147" s="67"/>
      <c r="R147" s="67"/>
      <c r="S147" s="67"/>
      <c r="T147" s="67"/>
      <c r="U147" s="67"/>
    </row>
    <row r="148" spans="1:21" ht="15.2" thickTop="1" thickBot="1" x14ac:dyDescent="0.3">
      <c r="B148" s="357" t="s">
        <v>105</v>
      </c>
      <c r="C148" s="358" t="s">
        <v>285</v>
      </c>
      <c r="D148" s="359" t="s">
        <v>286</v>
      </c>
      <c r="E148" s="360" t="s">
        <v>287</v>
      </c>
      <c r="F148" s="360" t="s">
        <v>288</v>
      </c>
      <c r="G148" s="361" t="s">
        <v>289</v>
      </c>
      <c r="H148" s="361" t="s">
        <v>290</v>
      </c>
      <c r="I148" s="362" t="s">
        <v>295</v>
      </c>
      <c r="J148" s="364" t="s">
        <v>296</v>
      </c>
      <c r="K148" s="204"/>
      <c r="L148" s="204"/>
      <c r="M148" s="204"/>
      <c r="N148" s="204"/>
      <c r="O148" s="204"/>
      <c r="P148" s="205"/>
      <c r="Q148" s="67"/>
      <c r="R148" s="67"/>
      <c r="S148" s="67"/>
      <c r="T148" s="67"/>
      <c r="U148" s="67"/>
    </row>
    <row r="149" spans="1:21" x14ac:dyDescent="0.25">
      <c r="A149" s="492"/>
      <c r="B149" s="153" t="str">
        <f>IF(Überblick!$H$53&gt;=1,"1:",0)</f>
        <v>1:</v>
      </c>
      <c r="C149" s="481">
        <f>'Berechnung - Bauakustik'!C106</f>
        <v>0</v>
      </c>
      <c r="D149" s="481">
        <f>'Berechnung - Bauakustik'!D106</f>
        <v>0</v>
      </c>
      <c r="E149" s="481">
        <f>'Berechnung - Bauakustik'!E106</f>
        <v>0</v>
      </c>
      <c r="F149" s="481">
        <f>'Berechnung - Bauakustik'!F106</f>
        <v>0</v>
      </c>
      <c r="G149" s="481">
        <f>'Berechnung - Bauakustik'!G106</f>
        <v>0</v>
      </c>
      <c r="H149" s="481">
        <f>'Berechnung - Bauakustik'!H106</f>
        <v>0</v>
      </c>
      <c r="I149" s="481">
        <f>'Berechnung - Bauakustik'!M106</f>
        <v>0</v>
      </c>
      <c r="J149" s="481">
        <f>'Berechnung - Bauakustik'!N106</f>
        <v>0</v>
      </c>
      <c r="K149" s="354"/>
      <c r="L149" s="354"/>
      <c r="M149" s="354"/>
      <c r="N149" s="177"/>
      <c r="O149" s="177"/>
      <c r="P149" s="177"/>
      <c r="Q149" s="96">
        <f>SUM(C149:P149)</f>
        <v>0</v>
      </c>
      <c r="S149" s="63"/>
      <c r="T149" s="63"/>
      <c r="U149" s="63"/>
    </row>
    <row r="150" spans="1:21" ht="15.95" customHeight="1" x14ac:dyDescent="0.25">
      <c r="A150" s="492"/>
      <c r="B150" s="153" t="str">
        <f>IF(Überblick!$H$53&gt;=2,"2:",0)</f>
        <v>2:</v>
      </c>
      <c r="C150" s="481">
        <f>'Berechnung - Bauakustik'!C107</f>
        <v>0</v>
      </c>
      <c r="D150" s="481">
        <f>'Berechnung - Bauakustik'!D107</f>
        <v>0</v>
      </c>
      <c r="E150" s="481">
        <f>'Berechnung - Bauakustik'!E107</f>
        <v>0</v>
      </c>
      <c r="F150" s="481">
        <f>'Berechnung - Bauakustik'!F107</f>
        <v>0</v>
      </c>
      <c r="G150" s="481">
        <f>'Berechnung - Bauakustik'!G107</f>
        <v>0</v>
      </c>
      <c r="H150" s="481">
        <f>'Berechnung - Bauakustik'!H107</f>
        <v>0</v>
      </c>
      <c r="I150" s="481">
        <f>'Berechnung - Bauakustik'!M107</f>
        <v>0</v>
      </c>
      <c r="J150" s="481">
        <f>'Berechnung - Bauakustik'!N107</f>
        <v>0</v>
      </c>
      <c r="K150" s="354"/>
      <c r="L150" s="354"/>
      <c r="M150" s="354"/>
      <c r="N150" s="177"/>
      <c r="O150" s="177"/>
      <c r="P150" s="177"/>
      <c r="Q150" s="96">
        <f t="shared" ref="Q150:Q156" si="5">SUM(C150:P150)</f>
        <v>0</v>
      </c>
    </row>
    <row r="151" spans="1:21" x14ac:dyDescent="0.25">
      <c r="A151" s="59"/>
      <c r="B151" s="153" t="str">
        <f>IF(Überblick!$H$53&gt;=3,"3:",0)</f>
        <v>3:</v>
      </c>
      <c r="C151" s="481">
        <f>'Berechnung - Bauakustik'!C108</f>
        <v>0</v>
      </c>
      <c r="D151" s="481">
        <f>'Berechnung - Bauakustik'!D108</f>
        <v>0</v>
      </c>
      <c r="E151" s="481">
        <f>'Berechnung - Bauakustik'!E108</f>
        <v>0</v>
      </c>
      <c r="F151" s="481">
        <f>'Berechnung - Bauakustik'!F108</f>
        <v>0</v>
      </c>
      <c r="G151" s="481">
        <f>'Berechnung - Bauakustik'!G108</f>
        <v>0</v>
      </c>
      <c r="H151" s="481">
        <f>'Berechnung - Bauakustik'!H108</f>
        <v>0</v>
      </c>
      <c r="I151" s="481">
        <f>'Berechnung - Bauakustik'!M108</f>
        <v>0</v>
      </c>
      <c r="J151" s="481">
        <f>'Berechnung - Bauakustik'!N108</f>
        <v>0</v>
      </c>
      <c r="K151" s="354"/>
      <c r="L151" s="354"/>
      <c r="M151" s="354"/>
      <c r="N151" s="177"/>
      <c r="O151" s="177"/>
      <c r="P151" s="177"/>
      <c r="Q151" s="96">
        <f t="shared" si="5"/>
        <v>0</v>
      </c>
    </row>
    <row r="152" spans="1:21" x14ac:dyDescent="0.25">
      <c r="B152" s="153" t="str">
        <f>IF(Überblick!$H$53&gt;=4,"4:",0)</f>
        <v>4:</v>
      </c>
      <c r="C152" s="481">
        <f>'Berechnung - Bauakustik'!C109</f>
        <v>0</v>
      </c>
      <c r="D152" s="481">
        <f>'Berechnung - Bauakustik'!D109</f>
        <v>0</v>
      </c>
      <c r="E152" s="481">
        <f>'Berechnung - Bauakustik'!E109</f>
        <v>0</v>
      </c>
      <c r="F152" s="481">
        <f>'Berechnung - Bauakustik'!F109</f>
        <v>0</v>
      </c>
      <c r="G152" s="481">
        <f>'Berechnung - Bauakustik'!G109</f>
        <v>0</v>
      </c>
      <c r="H152" s="481">
        <f>'Berechnung - Bauakustik'!H109</f>
        <v>0</v>
      </c>
      <c r="I152" s="481">
        <f>'Berechnung - Bauakustik'!M109</f>
        <v>0</v>
      </c>
      <c r="J152" s="481">
        <f>'Berechnung - Bauakustik'!N109</f>
        <v>0</v>
      </c>
      <c r="K152" s="354"/>
      <c r="L152" s="354"/>
      <c r="M152" s="354"/>
      <c r="N152" s="177"/>
      <c r="O152" s="177"/>
      <c r="P152" s="177"/>
      <c r="Q152" s="96">
        <f t="shared" si="5"/>
        <v>0</v>
      </c>
    </row>
    <row r="153" spans="1:21" x14ac:dyDescent="0.25">
      <c r="B153" s="153" t="str">
        <f>IF(Überblick!$H$53&gt;=5,"5:",0)</f>
        <v>5:</v>
      </c>
      <c r="C153" s="481">
        <f>'Berechnung - Bauakustik'!C110</f>
        <v>0</v>
      </c>
      <c r="D153" s="481">
        <f>'Berechnung - Bauakustik'!D110</f>
        <v>0</v>
      </c>
      <c r="E153" s="481">
        <f>'Berechnung - Bauakustik'!E110</f>
        <v>0</v>
      </c>
      <c r="F153" s="481">
        <f>'Berechnung - Bauakustik'!F110</f>
        <v>0</v>
      </c>
      <c r="G153" s="481">
        <f>'Berechnung - Bauakustik'!G110</f>
        <v>0</v>
      </c>
      <c r="H153" s="481">
        <f>'Berechnung - Bauakustik'!H110</f>
        <v>0</v>
      </c>
      <c r="I153" s="481">
        <f>'Berechnung - Bauakustik'!M110</f>
        <v>0</v>
      </c>
      <c r="J153" s="481">
        <f>'Berechnung - Bauakustik'!N110</f>
        <v>0</v>
      </c>
      <c r="K153" s="354"/>
      <c r="L153" s="354"/>
      <c r="M153" s="354"/>
      <c r="N153" s="177"/>
      <c r="O153" s="177"/>
      <c r="P153" s="177"/>
      <c r="Q153" s="96">
        <f t="shared" si="5"/>
        <v>0</v>
      </c>
    </row>
    <row r="154" spans="1:21" ht="15.95" customHeight="1" x14ac:dyDescent="0.25">
      <c r="B154" s="153" t="str">
        <f>IF(Überblick!$H$53&gt;=6,"6:",0)</f>
        <v>6:</v>
      </c>
      <c r="C154" s="481">
        <f>'Berechnung - Bauakustik'!C111</f>
        <v>0</v>
      </c>
      <c r="D154" s="481">
        <f>'Berechnung - Bauakustik'!D111</f>
        <v>0</v>
      </c>
      <c r="E154" s="481">
        <f>'Berechnung - Bauakustik'!E111</f>
        <v>0</v>
      </c>
      <c r="F154" s="481">
        <f>'Berechnung - Bauakustik'!F111</f>
        <v>0</v>
      </c>
      <c r="G154" s="481">
        <f>'Berechnung - Bauakustik'!G111</f>
        <v>0</v>
      </c>
      <c r="H154" s="481">
        <f>'Berechnung - Bauakustik'!H111</f>
        <v>0</v>
      </c>
      <c r="I154" s="481">
        <f>'Berechnung - Bauakustik'!M111</f>
        <v>0</v>
      </c>
      <c r="J154" s="481">
        <f>'Berechnung - Bauakustik'!N111</f>
        <v>0</v>
      </c>
      <c r="K154" s="354"/>
      <c r="L154" s="354"/>
      <c r="M154" s="354"/>
      <c r="N154" s="177"/>
      <c r="O154" s="177"/>
      <c r="P154" s="177"/>
      <c r="Q154" s="96">
        <f t="shared" si="5"/>
        <v>0</v>
      </c>
    </row>
    <row r="155" spans="1:21" x14ac:dyDescent="0.25">
      <c r="B155" s="153">
        <f>IF(Überblick!$H$53&gt;=7,"7:",0)</f>
        <v>0</v>
      </c>
      <c r="C155" s="481">
        <f>'Berechnung - Bauakustik'!C112</f>
        <v>0</v>
      </c>
      <c r="D155" s="481">
        <f>'Berechnung - Bauakustik'!D112</f>
        <v>0</v>
      </c>
      <c r="E155" s="481">
        <f>'Berechnung - Bauakustik'!E112</f>
        <v>0</v>
      </c>
      <c r="F155" s="481">
        <f>'Berechnung - Bauakustik'!F112</f>
        <v>0</v>
      </c>
      <c r="G155" s="481">
        <f>'Berechnung - Bauakustik'!G112</f>
        <v>0</v>
      </c>
      <c r="H155" s="481">
        <f>'Berechnung - Bauakustik'!H112</f>
        <v>0</v>
      </c>
      <c r="I155" s="481">
        <f>'Berechnung - Bauakustik'!M112</f>
        <v>0</v>
      </c>
      <c r="J155" s="481">
        <f>'Berechnung - Bauakustik'!N112</f>
        <v>0</v>
      </c>
      <c r="K155" s="354"/>
      <c r="L155" s="354"/>
      <c r="M155" s="354"/>
      <c r="N155" s="177"/>
      <c r="O155" s="177"/>
      <c r="P155" s="177"/>
      <c r="Q155" s="96">
        <f t="shared" si="5"/>
        <v>0</v>
      </c>
    </row>
    <row r="156" spans="1:21" ht="15" customHeight="1" x14ac:dyDescent="0.25">
      <c r="B156" s="153">
        <f>IF(Überblick!$H$53&gt;=8,"8:",0)</f>
        <v>0</v>
      </c>
      <c r="C156" s="481">
        <f>'Berechnung - Bauakustik'!C113</f>
        <v>0</v>
      </c>
      <c r="D156" s="481">
        <f>'Berechnung - Bauakustik'!D113</f>
        <v>0</v>
      </c>
      <c r="E156" s="481">
        <f>'Berechnung - Bauakustik'!E113</f>
        <v>0</v>
      </c>
      <c r="F156" s="481">
        <f>'Berechnung - Bauakustik'!F113</f>
        <v>0</v>
      </c>
      <c r="G156" s="481">
        <f>'Berechnung - Bauakustik'!G113</f>
        <v>0</v>
      </c>
      <c r="H156" s="481">
        <f>'Berechnung - Bauakustik'!H113</f>
        <v>0</v>
      </c>
      <c r="I156" s="481">
        <f>'Berechnung - Bauakustik'!M113</f>
        <v>0</v>
      </c>
      <c r="J156" s="481">
        <f>'Berechnung - Bauakustik'!N113</f>
        <v>0</v>
      </c>
      <c r="K156" s="354"/>
      <c r="L156" s="354"/>
      <c r="M156" s="354"/>
      <c r="N156" s="177"/>
      <c r="O156" s="177"/>
      <c r="P156" s="177"/>
      <c r="Q156" s="96">
        <f t="shared" si="5"/>
        <v>0</v>
      </c>
    </row>
    <row r="157" spans="1:21" x14ac:dyDescent="0.25">
      <c r="B157" s="153">
        <f>IF(Überblick!$H$53&gt;=9,"9:",0)</f>
        <v>0</v>
      </c>
      <c r="C157" s="481">
        <f>'Berechnung - Bauakustik'!C114</f>
        <v>0</v>
      </c>
      <c r="D157" s="481">
        <f>'Berechnung - Bauakustik'!D114</f>
        <v>0</v>
      </c>
      <c r="E157" s="481">
        <f>'Berechnung - Bauakustik'!E114</f>
        <v>0</v>
      </c>
      <c r="F157" s="481">
        <f>'Berechnung - Bauakustik'!F114</f>
        <v>0</v>
      </c>
      <c r="G157" s="481">
        <f>'Berechnung - Bauakustik'!G114</f>
        <v>0</v>
      </c>
      <c r="H157" s="481">
        <f>'Berechnung - Bauakustik'!H114</f>
        <v>0</v>
      </c>
      <c r="I157" s="481">
        <f>'Berechnung - Bauakustik'!M114</f>
        <v>0</v>
      </c>
      <c r="J157" s="481">
        <f>'Berechnung - Bauakustik'!N114</f>
        <v>0</v>
      </c>
      <c r="Q157" s="96"/>
    </row>
    <row r="158" spans="1:21" ht="14.25" customHeight="1" x14ac:dyDescent="0.25">
      <c r="B158" s="140"/>
      <c r="C158" s="140"/>
      <c r="D158" s="140"/>
      <c r="E158" s="140"/>
      <c r="F158" s="140"/>
      <c r="G158" s="140"/>
      <c r="H158" s="140"/>
      <c r="I158" s="140"/>
      <c r="J158" s="140"/>
      <c r="Q158" s="96"/>
    </row>
    <row r="159" spans="1:21" x14ac:dyDescent="0.25">
      <c r="B159" s="140"/>
      <c r="C159" s="140"/>
      <c r="D159" s="140"/>
      <c r="E159" s="140"/>
      <c r="F159" s="140"/>
      <c r="G159" s="140"/>
      <c r="H159" s="140"/>
      <c r="I159" s="140"/>
      <c r="J159" s="140"/>
      <c r="Q159" s="96"/>
    </row>
    <row r="160" spans="1:21" x14ac:dyDescent="0.25">
      <c r="B160" s="140"/>
      <c r="C160" s="140"/>
      <c r="D160" s="140"/>
      <c r="E160" s="140"/>
      <c r="F160" s="140"/>
      <c r="G160" s="140"/>
      <c r="H160" s="140"/>
      <c r="I160" s="140"/>
      <c r="J160" s="140"/>
      <c r="Q160" s="96"/>
    </row>
    <row r="161" spans="2:17" x14ac:dyDescent="0.25">
      <c r="B161" s="140"/>
      <c r="C161" s="140"/>
      <c r="D161" s="140"/>
      <c r="E161" s="140"/>
      <c r="F161" s="140"/>
      <c r="G161" s="140"/>
      <c r="H161" s="140"/>
      <c r="I161" s="140"/>
      <c r="J161" s="140"/>
      <c r="Q161" s="96"/>
    </row>
    <row r="162" spans="2:17" x14ac:dyDescent="0.25">
      <c r="B162" s="140"/>
      <c r="C162" s="140"/>
      <c r="D162" s="140"/>
      <c r="E162" s="140"/>
      <c r="F162" s="140"/>
      <c r="G162" s="140"/>
      <c r="H162" s="140"/>
      <c r="I162" s="140"/>
      <c r="J162" s="140"/>
    </row>
    <row r="163" spans="2:17" x14ac:dyDescent="0.25">
      <c r="B163" s="140"/>
      <c r="C163" s="140"/>
      <c r="D163" s="140"/>
      <c r="E163" s="140"/>
      <c r="F163" s="140"/>
      <c r="G163" s="140"/>
      <c r="H163" s="140"/>
      <c r="I163" s="140"/>
      <c r="J163" s="140"/>
    </row>
  </sheetData>
  <sheetProtection algorithmName="SHA-512" hashValue="KDhVjjeB8m4s9PXS79ILbqgomFYDIYsmVdLPvsZzupNtyLCKDEqvcru7M1H7y3od4LCddhiwsNyn4WkFj5EVYA==" saltValue="9iTvIQpDYbqb00kWKkzaUw==" spinCount="100000" sheet="1" objects="1" scenarios="1"/>
  <mergeCells count="269">
    <mergeCell ref="T1:U1"/>
    <mergeCell ref="F5:I5"/>
    <mergeCell ref="J5:M5"/>
    <mergeCell ref="N5:Q5"/>
    <mergeCell ref="F6:G6"/>
    <mergeCell ref="H6:I6"/>
    <mergeCell ref="J6:K6"/>
    <mergeCell ref="L6:M6"/>
    <mergeCell ref="N6:O6"/>
    <mergeCell ref="P6:Q6"/>
    <mergeCell ref="S2:U2"/>
    <mergeCell ref="S3:U3"/>
    <mergeCell ref="S4:U4"/>
    <mergeCell ref="B13:E13"/>
    <mergeCell ref="F13:Q13"/>
    <mergeCell ref="B14:E14"/>
    <mergeCell ref="F14:Q14"/>
    <mergeCell ref="F15:I16"/>
    <mergeCell ref="J15:M16"/>
    <mergeCell ref="N15:Q16"/>
    <mergeCell ref="P7:Q7"/>
    <mergeCell ref="B8:E8"/>
    <mergeCell ref="F8:G8"/>
    <mergeCell ref="H8:I8"/>
    <mergeCell ref="J8:K8"/>
    <mergeCell ref="L8:M8"/>
    <mergeCell ref="N8:O8"/>
    <mergeCell ref="P8:Q8"/>
    <mergeCell ref="B7:E7"/>
    <mergeCell ref="F7:G7"/>
    <mergeCell ref="H7:I7"/>
    <mergeCell ref="J7:K7"/>
    <mergeCell ref="L7:M7"/>
    <mergeCell ref="N7:O7"/>
    <mergeCell ref="F17:I17"/>
    <mergeCell ref="J17:M17"/>
    <mergeCell ref="N17:Q17"/>
    <mergeCell ref="B21:E21"/>
    <mergeCell ref="F21:Q21"/>
    <mergeCell ref="A30:A88"/>
    <mergeCell ref="B30:G32"/>
    <mergeCell ref="H30:H32"/>
    <mergeCell ref="I30:I32"/>
    <mergeCell ref="J30:K32"/>
    <mergeCell ref="B43:G43"/>
    <mergeCell ref="I43:K43"/>
    <mergeCell ref="L43:P43"/>
    <mergeCell ref="Q53:Q55"/>
    <mergeCell ref="L72:P72"/>
    <mergeCell ref="B88:G88"/>
    <mergeCell ref="I88:K88"/>
    <mergeCell ref="L88:P88"/>
    <mergeCell ref="T33:T35"/>
    <mergeCell ref="U33:U35"/>
    <mergeCell ref="B36:G36"/>
    <mergeCell ref="I36:K36"/>
    <mergeCell ref="L36:P36"/>
    <mergeCell ref="R36:S36"/>
    <mergeCell ref="B33:G35"/>
    <mergeCell ref="H33:H35"/>
    <mergeCell ref="I33:K35"/>
    <mergeCell ref="L33:P35"/>
    <mergeCell ref="Q33:Q35"/>
    <mergeCell ref="R33:S35"/>
    <mergeCell ref="R37:S38"/>
    <mergeCell ref="T37:T42"/>
    <mergeCell ref="U37:U42"/>
    <mergeCell ref="L39:P39"/>
    <mergeCell ref="R39:S39"/>
    <mergeCell ref="B40:G42"/>
    <mergeCell ref="H40:H42"/>
    <mergeCell ref="L40:P41"/>
    <mergeCell ref="Q40:Q41"/>
    <mergeCell ref="R40:S41"/>
    <mergeCell ref="B37:G39"/>
    <mergeCell ref="H37:H39"/>
    <mergeCell ref="I37:I42"/>
    <mergeCell ref="J37:K42"/>
    <mergeCell ref="L37:P38"/>
    <mergeCell ref="Q37:Q38"/>
    <mergeCell ref="L42:P42"/>
    <mergeCell ref="R42:S42"/>
    <mergeCell ref="R43:S43"/>
    <mergeCell ref="B44:G44"/>
    <mergeCell ref="I44:I55"/>
    <mergeCell ref="J44:K55"/>
    <mergeCell ref="L44:P46"/>
    <mergeCell ref="Q44:Q46"/>
    <mergeCell ref="R44:S46"/>
    <mergeCell ref="T44:T55"/>
    <mergeCell ref="U44:U55"/>
    <mergeCell ref="B45:G47"/>
    <mergeCell ref="H45:H47"/>
    <mergeCell ref="L47:P49"/>
    <mergeCell ref="Q47:Q49"/>
    <mergeCell ref="R47:S49"/>
    <mergeCell ref="B48:G49"/>
    <mergeCell ref="H48:H49"/>
    <mergeCell ref="B50:G51"/>
    <mergeCell ref="H50:H51"/>
    <mergeCell ref="L50:P52"/>
    <mergeCell ref="Q50:Q52"/>
    <mergeCell ref="R50:S52"/>
    <mergeCell ref="B52:G53"/>
    <mergeCell ref="H52:H53"/>
    <mergeCell ref="L53:P55"/>
    <mergeCell ref="R53:S55"/>
    <mergeCell ref="Q56:Q58"/>
    <mergeCell ref="R56:S58"/>
    <mergeCell ref="T56:T58"/>
    <mergeCell ref="U56:U58"/>
    <mergeCell ref="B59:G59"/>
    <mergeCell ref="I59:K59"/>
    <mergeCell ref="L59:P59"/>
    <mergeCell ref="R59:S59"/>
    <mergeCell ref="B54:G55"/>
    <mergeCell ref="H54:H55"/>
    <mergeCell ref="B56:G58"/>
    <mergeCell ref="H56:H58"/>
    <mergeCell ref="I56:K58"/>
    <mergeCell ref="L56:P58"/>
    <mergeCell ref="R60:S62"/>
    <mergeCell ref="T60:T72"/>
    <mergeCell ref="U60:U72"/>
    <mergeCell ref="B63:G66"/>
    <mergeCell ref="H63:H66"/>
    <mergeCell ref="L63:P65"/>
    <mergeCell ref="Q63:Q65"/>
    <mergeCell ref="R63:S65"/>
    <mergeCell ref="L66:P68"/>
    <mergeCell ref="Q66:Q68"/>
    <mergeCell ref="B60:G62"/>
    <mergeCell ref="H60:H62"/>
    <mergeCell ref="I60:I72"/>
    <mergeCell ref="J60:K72"/>
    <mergeCell ref="L60:P62"/>
    <mergeCell ref="Q60:Q62"/>
    <mergeCell ref="R66:S68"/>
    <mergeCell ref="B67:G69"/>
    <mergeCell ref="H67:H69"/>
    <mergeCell ref="L69:P71"/>
    <mergeCell ref="Q69:Q71"/>
    <mergeCell ref="R69:S71"/>
    <mergeCell ref="B70:G72"/>
    <mergeCell ref="H70:H72"/>
    <mergeCell ref="R72:S72"/>
    <mergeCell ref="B85:G87"/>
    <mergeCell ref="H85:H87"/>
    <mergeCell ref="T73:T75"/>
    <mergeCell ref="U73:U75"/>
    <mergeCell ref="B76:G76"/>
    <mergeCell ref="I76:K76"/>
    <mergeCell ref="L76:P76"/>
    <mergeCell ref="R76:S76"/>
    <mergeCell ref="B73:G75"/>
    <mergeCell ref="H73:H75"/>
    <mergeCell ref="I73:K75"/>
    <mergeCell ref="L73:P75"/>
    <mergeCell ref="Q73:Q75"/>
    <mergeCell ref="R73:S75"/>
    <mergeCell ref="Q86:Q87"/>
    <mergeCell ref="R86:S87"/>
    <mergeCell ref="B77:G80"/>
    <mergeCell ref="H77:H80"/>
    <mergeCell ref="I77:I87"/>
    <mergeCell ref="J77:K87"/>
    <mergeCell ref="B81:G84"/>
    <mergeCell ref="H81:H84"/>
    <mergeCell ref="R88:S88"/>
    <mergeCell ref="R77:S79"/>
    <mergeCell ref="T77:T87"/>
    <mergeCell ref="U77:U87"/>
    <mergeCell ref="L80:P82"/>
    <mergeCell ref="Q80:Q82"/>
    <mergeCell ref="R80:S82"/>
    <mergeCell ref="L83:P85"/>
    <mergeCell ref="Q83:Q85"/>
    <mergeCell ref="R83:S85"/>
    <mergeCell ref="L86:P87"/>
    <mergeCell ref="L77:P79"/>
    <mergeCell ref="Q77:Q79"/>
    <mergeCell ref="Q89:Q91"/>
    <mergeCell ref="R89:S91"/>
    <mergeCell ref="T89:T91"/>
    <mergeCell ref="U89:U91"/>
    <mergeCell ref="A92:A94"/>
    <mergeCell ref="B92:G94"/>
    <mergeCell ref="H92:H94"/>
    <mergeCell ref="I92:I94"/>
    <mergeCell ref="J92:K94"/>
    <mergeCell ref="L92:P94"/>
    <mergeCell ref="A89:A91"/>
    <mergeCell ref="B89:G91"/>
    <mergeCell ref="H89:H91"/>
    <mergeCell ref="I89:I91"/>
    <mergeCell ref="J89:K91"/>
    <mergeCell ref="L89:P91"/>
    <mergeCell ref="Q92:Q94"/>
    <mergeCell ref="R92:S94"/>
    <mergeCell ref="T92:T94"/>
    <mergeCell ref="U92:U94"/>
    <mergeCell ref="A95:A110"/>
    <mergeCell ref="B95:G95"/>
    <mergeCell ref="I95:K95"/>
    <mergeCell ref="L95:P95"/>
    <mergeCell ref="R95:S95"/>
    <mergeCell ref="B96:G101"/>
    <mergeCell ref="T96:T101"/>
    <mergeCell ref="U96:U101"/>
    <mergeCell ref="L99:P101"/>
    <mergeCell ref="Q99:Q101"/>
    <mergeCell ref="R99:S101"/>
    <mergeCell ref="B102:G102"/>
    <mergeCell ref="I102:K102"/>
    <mergeCell ref="L102:P102"/>
    <mergeCell ref="R102:S102"/>
    <mergeCell ref="H96:H101"/>
    <mergeCell ref="I96:I101"/>
    <mergeCell ref="J96:K101"/>
    <mergeCell ref="L96:P98"/>
    <mergeCell ref="Q96:Q98"/>
    <mergeCell ref="R96:S98"/>
    <mergeCell ref="R103:S105"/>
    <mergeCell ref="T103:T108"/>
    <mergeCell ref="U103:U108"/>
    <mergeCell ref="L106:P108"/>
    <mergeCell ref="Q106:Q108"/>
    <mergeCell ref="R106:S108"/>
    <mergeCell ref="B103:G108"/>
    <mergeCell ref="H103:H108"/>
    <mergeCell ref="I103:I108"/>
    <mergeCell ref="J103:K108"/>
    <mergeCell ref="L103:P105"/>
    <mergeCell ref="Q103:Q105"/>
    <mergeCell ref="T109:T110"/>
    <mergeCell ref="U109:U110"/>
    <mergeCell ref="B112:R113"/>
    <mergeCell ref="B118:F118"/>
    <mergeCell ref="H118:J118"/>
    <mergeCell ref="B120:F120"/>
    <mergeCell ref="H120:J120"/>
    <mergeCell ref="B109:H110"/>
    <mergeCell ref="I109:I110"/>
    <mergeCell ref="J109:K110"/>
    <mergeCell ref="L109:P110"/>
    <mergeCell ref="Q109:Q110"/>
    <mergeCell ref="R109:S110"/>
    <mergeCell ref="B128:F129"/>
    <mergeCell ref="H128:J129"/>
    <mergeCell ref="B133:F133"/>
    <mergeCell ref="H133:J133"/>
    <mergeCell ref="B135:F135"/>
    <mergeCell ref="H135:J135"/>
    <mergeCell ref="B122:F122"/>
    <mergeCell ref="H122:J122"/>
    <mergeCell ref="G123:J123"/>
    <mergeCell ref="B124:F124"/>
    <mergeCell ref="H124:J124"/>
    <mergeCell ref="B126:F126"/>
    <mergeCell ref="H126:J126"/>
    <mergeCell ref="B143:F144"/>
    <mergeCell ref="H143:J144"/>
    <mergeCell ref="B137:F137"/>
    <mergeCell ref="H137:J137"/>
    <mergeCell ref="G138:J138"/>
    <mergeCell ref="B139:F139"/>
    <mergeCell ref="H139:J139"/>
    <mergeCell ref="B141:F141"/>
    <mergeCell ref="H141:J141"/>
  </mergeCells>
  <conditionalFormatting sqref="Z44">
    <cfRule type="containsText" dxfId="822" priority="42" operator="containsText" text="Ja">
      <formula>NOT(ISERROR(SEARCH("Ja",Z44)))</formula>
    </cfRule>
  </conditionalFormatting>
  <conditionalFormatting sqref="B149:B156">
    <cfRule type="cellIs" dxfId="821" priority="38" operator="greaterThan">
      <formula>0</formula>
    </cfRule>
  </conditionalFormatting>
  <conditionalFormatting sqref="C150:J157">
    <cfRule type="expression" dxfId="820" priority="36">
      <formula>$B150&gt;=1</formula>
    </cfRule>
  </conditionalFormatting>
  <conditionalFormatting sqref="C149:J157">
    <cfRule type="cellIs" dxfId="819" priority="35" operator="greaterThan">
      <formula>0</formula>
    </cfRule>
    <cfRule type="expression" dxfId="818" priority="37">
      <formula>$B149&gt;=1</formula>
    </cfRule>
  </conditionalFormatting>
  <conditionalFormatting sqref="F21:Q21">
    <cfRule type="expression" dxfId="817" priority="34">
      <formula>$R$8&gt;0</formula>
    </cfRule>
  </conditionalFormatting>
  <conditionalFormatting sqref="R72">
    <cfRule type="expression" dxfId="816" priority="33">
      <formula>Q72="ja"</formula>
    </cfRule>
  </conditionalFormatting>
  <conditionalFormatting sqref="R37">
    <cfRule type="expression" dxfId="815" priority="32">
      <formula>Q37="ja"</formula>
    </cfRule>
  </conditionalFormatting>
  <conditionalFormatting sqref="R40">
    <cfRule type="expression" dxfId="814" priority="31">
      <formula>Q40="ja"</formula>
    </cfRule>
  </conditionalFormatting>
  <conditionalFormatting sqref="R44">
    <cfRule type="expression" dxfId="813" priority="30">
      <formula>Q44="ja"</formula>
    </cfRule>
  </conditionalFormatting>
  <conditionalFormatting sqref="R47">
    <cfRule type="expression" dxfId="812" priority="29">
      <formula>Q47="ja"</formula>
    </cfRule>
  </conditionalFormatting>
  <conditionalFormatting sqref="R50">
    <cfRule type="expression" dxfId="811" priority="28">
      <formula>Q50="ja"</formula>
    </cfRule>
  </conditionalFormatting>
  <conditionalFormatting sqref="R53">
    <cfRule type="expression" dxfId="810" priority="27">
      <formula>Q53="ja"</formula>
    </cfRule>
  </conditionalFormatting>
  <conditionalFormatting sqref="R60">
    <cfRule type="expression" dxfId="809" priority="26">
      <formula>Q60="ja"</formula>
    </cfRule>
  </conditionalFormatting>
  <conditionalFormatting sqref="R63">
    <cfRule type="expression" dxfId="808" priority="25">
      <formula>Q63="ja"</formula>
    </cfRule>
  </conditionalFormatting>
  <conditionalFormatting sqref="R66">
    <cfRule type="expression" dxfId="807" priority="24">
      <formula>Q66="ja"</formula>
    </cfRule>
  </conditionalFormatting>
  <conditionalFormatting sqref="R69">
    <cfRule type="expression" dxfId="806" priority="23">
      <formula>Q69="ja"</formula>
    </cfRule>
  </conditionalFormatting>
  <conditionalFormatting sqref="R77">
    <cfRule type="expression" dxfId="805" priority="22">
      <formula>Q77="ja"</formula>
    </cfRule>
  </conditionalFormatting>
  <conditionalFormatting sqref="R80">
    <cfRule type="expression" dxfId="804" priority="21">
      <formula>Q80="ja"</formula>
    </cfRule>
  </conditionalFormatting>
  <conditionalFormatting sqref="R83">
    <cfRule type="expression" dxfId="803" priority="20">
      <formula>Q83="ja"</formula>
    </cfRule>
  </conditionalFormatting>
  <conditionalFormatting sqref="R86">
    <cfRule type="expression" dxfId="802" priority="19">
      <formula>Q86="ja"</formula>
    </cfRule>
  </conditionalFormatting>
  <conditionalFormatting sqref="R89">
    <cfRule type="expression" dxfId="801" priority="18">
      <formula>Q89="ja"</formula>
    </cfRule>
  </conditionalFormatting>
  <conditionalFormatting sqref="R92:R93">
    <cfRule type="expression" dxfId="800" priority="17">
      <formula>Q92="ja"</formula>
    </cfRule>
  </conditionalFormatting>
  <conditionalFormatting sqref="R96">
    <cfRule type="expression" dxfId="799" priority="16">
      <formula>Q96="ja"</formula>
    </cfRule>
  </conditionalFormatting>
  <conditionalFormatting sqref="R99:R100">
    <cfRule type="expression" dxfId="798" priority="15">
      <formula>Q99="ja"</formula>
    </cfRule>
  </conditionalFormatting>
  <conditionalFormatting sqref="R103">
    <cfRule type="expression" dxfId="797" priority="14">
      <formula>Q103="ja"</formula>
    </cfRule>
  </conditionalFormatting>
  <conditionalFormatting sqref="R106:R107">
    <cfRule type="expression" dxfId="796" priority="13">
      <formula>Q106="ja"</formula>
    </cfRule>
  </conditionalFormatting>
  <conditionalFormatting sqref="B157">
    <cfRule type="cellIs" dxfId="795" priority="10" operator="greaterThan">
      <formula>0</formula>
    </cfRule>
  </conditionalFormatting>
  <conditionalFormatting sqref="R42">
    <cfRule type="expression" dxfId="794" priority="9">
      <formula>Q42="ja"</formula>
    </cfRule>
  </conditionalFormatting>
  <conditionalFormatting sqref="R39">
    <cfRule type="expression" dxfId="793" priority="8">
      <formula>Q39="ja"</formula>
    </cfRule>
  </conditionalFormatting>
  <conditionalFormatting sqref="T44:T55">
    <cfRule type="expression" dxfId="792" priority="5">
      <formula>$T$44="ja"</formula>
    </cfRule>
  </conditionalFormatting>
  <conditionalFormatting sqref="T60 T77">
    <cfRule type="cellIs" dxfId="791" priority="4" operator="equal">
      <formula>"ja"</formula>
    </cfRule>
  </conditionalFormatting>
  <conditionalFormatting sqref="T96 T89:T91">
    <cfRule type="cellIs" dxfId="790" priority="3" operator="equal">
      <formula>$V$28</formula>
    </cfRule>
  </conditionalFormatting>
  <conditionalFormatting sqref="T37">
    <cfRule type="expression" dxfId="789" priority="6">
      <formula>$T$37="JA"</formula>
    </cfRule>
  </conditionalFormatting>
  <conditionalFormatting sqref="T92:T94">
    <cfRule type="cellIs" dxfId="788" priority="2" operator="equal">
      <formula>$V$28</formula>
    </cfRule>
  </conditionalFormatting>
  <conditionalFormatting sqref="T103">
    <cfRule type="cellIs" dxfId="787" priority="1" operator="equal">
      <formula>$V$28</formula>
    </cfRule>
  </conditionalFormatting>
  <dataValidations count="2">
    <dataValidation type="list" allowBlank="1" showInputMessage="1" showErrorMessage="1" sqref="F13:Q13" xr:uid="{D0DC8A2F-2D76-4B07-B451-32C3A1DFDD59}">
      <formula1>$V$13:$V$15</formula1>
    </dataValidation>
    <dataValidation type="list" allowBlank="1" showInputMessage="1" showErrorMessage="1" sqref="H52 Q42 H54 H37 Q39:Q40 H70 Q106:Q107 H85 H77 H81 H103:H108 H48:H50 Q37 H89:H94 H96:H101 Q47 Q44 Q96 Q72 Q66 Q69 Q86 Q92:Q93 Q50 H44:H45 Q53 H40 Q63 Q60 Q83 Q80 Q77 Q89 Q99:Q100 Q103 H60 H67 H63" xr:uid="{1AAE2E7C-F980-484F-9A39-906C099951EC}">
      <formula1>$V$27:$V$29</formula1>
    </dataValidation>
  </dataValidations>
  <pageMargins left="0.25" right="0.25" top="0.75" bottom="0.75" header="0.3" footer="0.3"/>
  <pageSetup paperSize="9" scale="50" fitToHeight="0" orientation="portrait" r:id="rId1"/>
  <headerFooter>
    <oddFooter>&amp;LVersions-Nr.: 29.08.2016&amp;CDruckdatum: &amp;D&amp;RSeite &amp;P von &amp;N</oddFooter>
  </headerFooter>
  <rowBreaks count="1" manualBreakCount="1">
    <brk id="87" max="20" man="1"/>
  </rowBreaks>
  <extLst>
    <ext xmlns:x14="http://schemas.microsoft.com/office/spreadsheetml/2009/9/main" uri="{CCE6A557-97BC-4b89-ADB6-D9C93CAAB3DF}">
      <x14:dataValidations xmlns:xm="http://schemas.microsoft.com/office/excel/2006/main" count="3">
        <x14:dataValidation type="list" allowBlank="1" showInputMessage="1" showErrorMessage="1" xr:uid="{8C6FF79F-5391-4254-BAA0-5C526E053614}">
          <x14:formula1>
            <xm:f>'Berechnung - Hochbau'!$H$52:$H$56</xm:f>
          </x14:formula1>
          <xm:sqref>F14</xm:sqref>
        </x14:dataValidation>
        <x14:dataValidation type="list" allowBlank="1" showInputMessage="1" showErrorMessage="1" xr:uid="{47A00453-CF33-418F-953A-F04749E21F61}">
          <x14:formula1>
            <xm:f>'Berechnung - Hochbau'!$B$109:$B$112</xm:f>
          </x14:formula1>
          <xm:sqref>R5:S6 W5:X6</xm:sqref>
        </x14:dataValidation>
        <x14:dataValidation type="list" allowBlank="1" showInputMessage="1" showErrorMessage="1" xr:uid="{6ED252B9-26ED-46FB-BEF5-43882223F66F}">
          <x14:formula1>
            <xm:f>'Berechnung - Hochbau'!$B$131:$B$140</xm:f>
          </x14:formula1>
          <xm:sqref>U37:U42 U44:U55 U60:U72 U77:U87 U89:U94 U96:U101 U103:U108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6FF9-140E-41C1-ADE2-DBADFF02943E}">
  <sheetPr>
    <tabColor rgb="FFFFC000"/>
  </sheetPr>
  <dimension ref="A2:V581"/>
  <sheetViews>
    <sheetView workbookViewId="0"/>
  </sheetViews>
  <sheetFormatPr baseColWidth="10" defaultColWidth="11.44140625" defaultRowHeight="13.9" x14ac:dyDescent="0.25"/>
  <cols>
    <col min="1" max="1" width="3.21875" style="641" customWidth="1"/>
    <col min="2" max="2" width="30.44140625" style="641" customWidth="1"/>
    <col min="3" max="3" width="10.5546875" style="641" bestFit="1" customWidth="1"/>
    <col min="4" max="5" width="15.77734375" style="641" customWidth="1"/>
    <col min="6" max="6" width="10.5546875" style="641" bestFit="1" customWidth="1"/>
    <col min="7" max="7" width="17" style="641" customWidth="1"/>
    <col min="8" max="8" width="17.21875" style="641" customWidth="1"/>
    <col min="9" max="9" width="11.44140625" style="641" customWidth="1"/>
    <col min="10" max="11" width="15.77734375" style="641" customWidth="1"/>
    <col min="12" max="12" width="10.5546875" style="641" bestFit="1" customWidth="1"/>
    <col min="13" max="14" width="15.77734375" style="641" customWidth="1"/>
    <col min="15" max="15" width="10.5546875" style="641" bestFit="1" customWidth="1"/>
    <col min="16" max="17" width="15.77734375" style="641" customWidth="1"/>
    <col min="18" max="19" width="11.44140625" style="641"/>
    <col min="20" max="20" width="49" style="641" bestFit="1" customWidth="1"/>
    <col min="21" max="21" width="27.44140625" style="641" bestFit="1" customWidth="1"/>
    <col min="22" max="22" width="98.77734375" style="641" customWidth="1"/>
    <col min="23" max="16384" width="11.44140625" style="641"/>
  </cols>
  <sheetData>
    <row r="2" spans="1:17" x14ac:dyDescent="0.25">
      <c r="B2" s="630" t="s">
        <v>543</v>
      </c>
    </row>
    <row r="3" spans="1:17" ht="14.55" thickBot="1" x14ac:dyDescent="0.3"/>
    <row r="4" spans="1:17" ht="14.55" x14ac:dyDescent="0.25">
      <c r="A4" s="651"/>
      <c r="B4" s="1443" t="s">
        <v>300</v>
      </c>
      <c r="C4" s="593"/>
      <c r="D4" s="1448" t="s">
        <v>301</v>
      </c>
      <c r="E4" s="1449"/>
      <c r="F4" s="593"/>
      <c r="G4" s="1448" t="s">
        <v>302</v>
      </c>
      <c r="H4" s="1449"/>
      <c r="I4" s="593"/>
      <c r="J4" s="1448" t="s">
        <v>303</v>
      </c>
      <c r="K4" s="1449"/>
      <c r="L4" s="593"/>
      <c r="M4" s="1805"/>
      <c r="N4" s="1806"/>
      <c r="O4" s="593"/>
      <c r="P4" s="1805"/>
      <c r="Q4" s="1806"/>
    </row>
    <row r="5" spans="1:17" ht="14.55" x14ac:dyDescent="0.25">
      <c r="A5" s="651"/>
      <c r="B5" s="1444"/>
      <c r="C5" s="593"/>
      <c r="D5" s="1450" t="s">
        <v>306</v>
      </c>
      <c r="E5" s="1451"/>
      <c r="F5" s="593"/>
      <c r="G5" s="1450" t="s">
        <v>307</v>
      </c>
      <c r="H5" s="1451"/>
      <c r="I5" s="593"/>
      <c r="J5" s="1450" t="s">
        <v>308</v>
      </c>
      <c r="K5" s="1451"/>
      <c r="L5" s="593"/>
      <c r="M5" s="1803"/>
      <c r="N5" s="1804"/>
      <c r="O5" s="593"/>
      <c r="P5" s="1803"/>
      <c r="Q5" s="1804"/>
    </row>
    <row r="6" spans="1:17" ht="14.55" x14ac:dyDescent="0.25">
      <c r="A6" s="651"/>
      <c r="B6" s="1444"/>
      <c r="C6" s="593"/>
      <c r="D6" s="595" t="s">
        <v>311</v>
      </c>
      <c r="E6" s="596" t="s">
        <v>312</v>
      </c>
      <c r="F6" s="593"/>
      <c r="G6" s="595" t="s">
        <v>311</v>
      </c>
      <c r="H6" s="596" t="s">
        <v>312</v>
      </c>
      <c r="I6" s="593"/>
      <c r="J6" s="595" t="s">
        <v>311</v>
      </c>
      <c r="K6" s="596" t="s">
        <v>312</v>
      </c>
      <c r="L6" s="593"/>
      <c r="M6" s="595"/>
      <c r="N6" s="596"/>
      <c r="O6" s="593"/>
      <c r="P6" s="595"/>
      <c r="Q6" s="596"/>
    </row>
    <row r="7" spans="1:17" ht="15.2" thickBot="1" x14ac:dyDescent="0.3">
      <c r="A7" s="651"/>
      <c r="B7" s="1445"/>
      <c r="C7" s="593"/>
      <c r="D7" s="1446" t="s">
        <v>3</v>
      </c>
      <c r="E7" s="1447"/>
      <c r="F7" s="593"/>
      <c r="G7" s="1446" t="s">
        <v>3</v>
      </c>
      <c r="H7" s="1447"/>
      <c r="I7" s="593"/>
      <c r="J7" s="1446" t="s">
        <v>3</v>
      </c>
      <c r="K7" s="1447"/>
      <c r="L7" s="593"/>
      <c r="M7" s="1441"/>
      <c r="N7" s="1442"/>
      <c r="O7" s="593"/>
      <c r="P7" s="1441"/>
      <c r="Q7" s="1442"/>
    </row>
    <row r="8" spans="1:17" ht="14.55" x14ac:dyDescent="0.25">
      <c r="A8" s="651"/>
      <c r="B8" s="567">
        <v>250000</v>
      </c>
      <c r="C8" s="564"/>
      <c r="D8" s="463">
        <v>1729</v>
      </c>
      <c r="E8" s="464">
        <v>1985</v>
      </c>
      <c r="F8" s="564"/>
      <c r="G8" s="463">
        <f>E8</f>
        <v>1985</v>
      </c>
      <c r="H8" s="464">
        <v>2284</v>
      </c>
      <c r="I8" s="564"/>
      <c r="J8" s="463">
        <f>H8</f>
        <v>2284</v>
      </c>
      <c r="K8" s="464">
        <v>2625</v>
      </c>
      <c r="L8" s="564"/>
      <c r="M8" s="565"/>
      <c r="N8" s="566"/>
      <c r="O8" s="564"/>
      <c r="P8" s="565"/>
      <c r="Q8" s="566"/>
    </row>
    <row r="9" spans="1:17" ht="14.55" x14ac:dyDescent="0.25">
      <c r="A9" s="651"/>
      <c r="B9" s="713">
        <v>275000</v>
      </c>
      <c r="C9" s="564"/>
      <c r="D9" s="569">
        <v>1840</v>
      </c>
      <c r="E9" s="570">
        <v>2113</v>
      </c>
      <c r="F9" s="564"/>
      <c r="G9" s="569">
        <f t="shared" ref="G9:G26" si="0">E9</f>
        <v>2113</v>
      </c>
      <c r="H9" s="570">
        <v>2431</v>
      </c>
      <c r="I9" s="564"/>
      <c r="J9" s="569">
        <f t="shared" ref="J9:J27" si="1">H9</f>
        <v>2431</v>
      </c>
      <c r="K9" s="570">
        <v>2794</v>
      </c>
      <c r="L9" s="564"/>
      <c r="M9" s="565"/>
      <c r="N9" s="570"/>
      <c r="O9" s="564"/>
      <c r="P9" s="565"/>
      <c r="Q9" s="570"/>
    </row>
    <row r="10" spans="1:17" ht="14.55" x14ac:dyDescent="0.25">
      <c r="A10" s="651"/>
      <c r="B10" s="713">
        <v>300000</v>
      </c>
      <c r="C10" s="564"/>
      <c r="D10" s="569">
        <v>1948</v>
      </c>
      <c r="E10" s="570">
        <v>2237</v>
      </c>
      <c r="F10" s="564"/>
      <c r="G10" s="569">
        <f t="shared" si="0"/>
        <v>2237</v>
      </c>
      <c r="H10" s="570">
        <v>2574</v>
      </c>
      <c r="I10" s="564"/>
      <c r="J10" s="569">
        <f t="shared" si="1"/>
        <v>2574</v>
      </c>
      <c r="K10" s="570">
        <v>2959</v>
      </c>
      <c r="L10" s="564"/>
      <c r="M10" s="565"/>
      <c r="N10" s="570"/>
      <c r="O10" s="564"/>
      <c r="P10" s="565"/>
      <c r="Q10" s="570"/>
    </row>
    <row r="11" spans="1:17" ht="14.55" x14ac:dyDescent="0.25">
      <c r="A11" s="651"/>
      <c r="B11" s="571">
        <v>350000</v>
      </c>
      <c r="C11" s="564"/>
      <c r="D11" s="569">
        <v>2156</v>
      </c>
      <c r="E11" s="570">
        <v>2475</v>
      </c>
      <c r="F11" s="564"/>
      <c r="G11" s="569">
        <f t="shared" si="0"/>
        <v>2475</v>
      </c>
      <c r="H11" s="570">
        <v>2847</v>
      </c>
      <c r="I11" s="564"/>
      <c r="J11" s="569">
        <f t="shared" si="1"/>
        <v>2847</v>
      </c>
      <c r="K11" s="570">
        <v>3273</v>
      </c>
      <c r="L11" s="564"/>
      <c r="M11" s="565"/>
      <c r="N11" s="570"/>
      <c r="O11" s="564"/>
      <c r="P11" s="565"/>
      <c r="Q11" s="570"/>
    </row>
    <row r="12" spans="1:17" ht="15.2" thickBot="1" x14ac:dyDescent="0.3">
      <c r="A12" s="651"/>
      <c r="B12" s="714">
        <v>400000</v>
      </c>
      <c r="C12" s="564"/>
      <c r="D12" s="574">
        <v>2353</v>
      </c>
      <c r="E12" s="575">
        <v>2701</v>
      </c>
      <c r="F12" s="564"/>
      <c r="G12" s="574">
        <f t="shared" si="0"/>
        <v>2701</v>
      </c>
      <c r="H12" s="575">
        <v>3108</v>
      </c>
      <c r="I12" s="564"/>
      <c r="J12" s="574">
        <f t="shared" si="1"/>
        <v>3108</v>
      </c>
      <c r="K12" s="575">
        <v>3573</v>
      </c>
      <c r="L12" s="564"/>
      <c r="M12" s="576"/>
      <c r="N12" s="575"/>
      <c r="O12" s="564"/>
      <c r="P12" s="576"/>
      <c r="Q12" s="575"/>
    </row>
    <row r="13" spans="1:17" ht="14.55" x14ac:dyDescent="0.25">
      <c r="A13" s="651"/>
      <c r="B13" s="567">
        <v>500000</v>
      </c>
      <c r="C13" s="564"/>
      <c r="D13" s="463">
        <v>2724</v>
      </c>
      <c r="E13" s="464">
        <v>3127</v>
      </c>
      <c r="F13" s="564"/>
      <c r="G13" s="463">
        <f t="shared" si="0"/>
        <v>3127</v>
      </c>
      <c r="H13" s="464">
        <v>3598</v>
      </c>
      <c r="I13" s="564"/>
      <c r="J13" s="463">
        <f t="shared" si="1"/>
        <v>3598</v>
      </c>
      <c r="K13" s="464">
        <v>4136</v>
      </c>
      <c r="L13" s="564"/>
      <c r="M13" s="463"/>
      <c r="N13" s="464"/>
      <c r="O13" s="564"/>
      <c r="P13" s="463"/>
      <c r="Q13" s="464"/>
    </row>
    <row r="14" spans="1:17" ht="14.55" x14ac:dyDescent="0.25">
      <c r="A14" s="651"/>
      <c r="B14" s="571">
        <v>600000</v>
      </c>
      <c r="C14" s="564"/>
      <c r="D14" s="569">
        <v>3069</v>
      </c>
      <c r="E14" s="570">
        <v>3524</v>
      </c>
      <c r="F14" s="564"/>
      <c r="G14" s="569">
        <f t="shared" si="0"/>
        <v>3524</v>
      </c>
      <c r="H14" s="570">
        <v>4055</v>
      </c>
      <c r="I14" s="564"/>
      <c r="J14" s="569">
        <f t="shared" si="1"/>
        <v>4055</v>
      </c>
      <c r="K14" s="570">
        <v>4661</v>
      </c>
      <c r="L14" s="564"/>
      <c r="M14" s="565"/>
      <c r="N14" s="570"/>
      <c r="O14" s="564"/>
      <c r="P14" s="565"/>
      <c r="Q14" s="570"/>
    </row>
    <row r="15" spans="1:17" ht="14.55" x14ac:dyDescent="0.25">
      <c r="A15" s="651"/>
      <c r="B15" s="571">
        <v>750000</v>
      </c>
      <c r="C15" s="564"/>
      <c r="D15" s="569">
        <v>3553</v>
      </c>
      <c r="E15" s="570">
        <v>4080</v>
      </c>
      <c r="F15" s="564"/>
      <c r="G15" s="569">
        <f t="shared" si="0"/>
        <v>4080</v>
      </c>
      <c r="H15" s="570">
        <v>4694</v>
      </c>
      <c r="I15" s="564"/>
      <c r="J15" s="569">
        <f t="shared" si="1"/>
        <v>4694</v>
      </c>
      <c r="K15" s="570">
        <v>5396</v>
      </c>
      <c r="L15" s="564"/>
      <c r="M15" s="565"/>
      <c r="N15" s="570"/>
      <c r="O15" s="564"/>
      <c r="P15" s="565"/>
      <c r="Q15" s="570"/>
    </row>
    <row r="16" spans="1:17" ht="14.55" x14ac:dyDescent="0.25">
      <c r="A16" s="651"/>
      <c r="B16" s="571">
        <v>1000000</v>
      </c>
      <c r="C16" s="564"/>
      <c r="D16" s="569">
        <v>4291</v>
      </c>
      <c r="E16" s="570">
        <v>4927</v>
      </c>
      <c r="F16" s="564"/>
      <c r="G16" s="569">
        <f t="shared" si="0"/>
        <v>4927</v>
      </c>
      <c r="H16" s="570">
        <v>5669</v>
      </c>
      <c r="I16" s="564"/>
      <c r="J16" s="569">
        <f t="shared" si="1"/>
        <v>5669</v>
      </c>
      <c r="K16" s="570">
        <v>6516</v>
      </c>
      <c r="L16" s="564"/>
      <c r="M16" s="565"/>
      <c r="N16" s="570"/>
      <c r="O16" s="564"/>
      <c r="P16" s="565"/>
      <c r="Q16" s="570"/>
    </row>
    <row r="17" spans="1:17" ht="15.2" thickBot="1" x14ac:dyDescent="0.3">
      <c r="A17" s="651"/>
      <c r="B17" s="714">
        <v>1250000</v>
      </c>
      <c r="C17" s="564"/>
      <c r="D17" s="574">
        <v>4968</v>
      </c>
      <c r="E17" s="575">
        <v>5704</v>
      </c>
      <c r="F17" s="564"/>
      <c r="G17" s="574">
        <f t="shared" si="0"/>
        <v>5704</v>
      </c>
      <c r="H17" s="575">
        <v>6563</v>
      </c>
      <c r="I17" s="564"/>
      <c r="J17" s="574">
        <f t="shared" si="1"/>
        <v>6563</v>
      </c>
      <c r="K17" s="575">
        <v>7544</v>
      </c>
      <c r="L17" s="564"/>
      <c r="M17" s="576"/>
      <c r="N17" s="575"/>
      <c r="O17" s="564"/>
      <c r="P17" s="576"/>
      <c r="Q17" s="575"/>
    </row>
    <row r="18" spans="1:17" ht="14.55" x14ac:dyDescent="0.25">
      <c r="A18" s="651"/>
      <c r="B18" s="567">
        <v>1500000</v>
      </c>
      <c r="C18" s="564"/>
      <c r="D18" s="463">
        <v>5599</v>
      </c>
      <c r="E18" s="464">
        <v>6429</v>
      </c>
      <c r="F18" s="564"/>
      <c r="G18" s="463">
        <f t="shared" si="0"/>
        <v>6429</v>
      </c>
      <c r="H18" s="464">
        <v>7397</v>
      </c>
      <c r="I18" s="564"/>
      <c r="J18" s="463">
        <f t="shared" si="1"/>
        <v>7397</v>
      </c>
      <c r="K18" s="464">
        <v>8503</v>
      </c>
      <c r="L18" s="564"/>
      <c r="M18" s="463"/>
      <c r="N18" s="464"/>
      <c r="O18" s="564"/>
      <c r="P18" s="463"/>
      <c r="Q18" s="464"/>
    </row>
    <row r="19" spans="1:17" ht="14.55" x14ac:dyDescent="0.25">
      <c r="A19" s="651"/>
      <c r="B19" s="571">
        <v>2000000</v>
      </c>
      <c r="C19" s="564"/>
      <c r="D19" s="569">
        <v>6763</v>
      </c>
      <c r="E19" s="570">
        <v>7765</v>
      </c>
      <c r="F19" s="564"/>
      <c r="G19" s="569">
        <f t="shared" si="0"/>
        <v>7765</v>
      </c>
      <c r="H19" s="570">
        <v>8934</v>
      </c>
      <c r="I19" s="564"/>
      <c r="J19" s="569">
        <f t="shared" si="1"/>
        <v>8934</v>
      </c>
      <c r="K19" s="570">
        <v>10270</v>
      </c>
      <c r="L19" s="564"/>
      <c r="M19" s="565"/>
      <c r="N19" s="570"/>
      <c r="O19" s="564"/>
      <c r="P19" s="565"/>
      <c r="Q19" s="570"/>
    </row>
    <row r="20" spans="1:17" ht="14.55" x14ac:dyDescent="0.25">
      <c r="A20" s="651"/>
      <c r="B20" s="571">
        <v>2500000</v>
      </c>
      <c r="C20" s="564"/>
      <c r="D20" s="569">
        <v>7830</v>
      </c>
      <c r="E20" s="570">
        <v>8990</v>
      </c>
      <c r="F20" s="564"/>
      <c r="G20" s="569">
        <f t="shared" si="0"/>
        <v>8990</v>
      </c>
      <c r="H20" s="570">
        <v>10343</v>
      </c>
      <c r="I20" s="564"/>
      <c r="J20" s="569">
        <f t="shared" si="1"/>
        <v>10343</v>
      </c>
      <c r="K20" s="570">
        <v>11890</v>
      </c>
      <c r="L20" s="564"/>
      <c r="M20" s="565"/>
      <c r="N20" s="570"/>
      <c r="O20" s="564"/>
      <c r="P20" s="565"/>
      <c r="Q20" s="570"/>
    </row>
    <row r="21" spans="1:17" ht="14.55" x14ac:dyDescent="0.25">
      <c r="A21" s="651"/>
      <c r="B21" s="571">
        <v>3500000</v>
      </c>
      <c r="C21" s="564"/>
      <c r="D21" s="569">
        <v>9766</v>
      </c>
      <c r="E21" s="570">
        <v>11213</v>
      </c>
      <c r="F21" s="564"/>
      <c r="G21" s="569">
        <f t="shared" si="0"/>
        <v>11213</v>
      </c>
      <c r="H21" s="570">
        <v>12901</v>
      </c>
      <c r="I21" s="564"/>
      <c r="J21" s="569">
        <f t="shared" si="1"/>
        <v>12901</v>
      </c>
      <c r="K21" s="570">
        <v>14830</v>
      </c>
      <c r="L21" s="564"/>
      <c r="M21" s="565"/>
      <c r="N21" s="570"/>
      <c r="O21" s="564"/>
      <c r="P21" s="565"/>
      <c r="Q21" s="570"/>
    </row>
    <row r="22" spans="1:17" ht="15.2" thickBot="1" x14ac:dyDescent="0.3">
      <c r="A22" s="651"/>
      <c r="B22" s="714">
        <v>5000000</v>
      </c>
      <c r="C22" s="564"/>
      <c r="D22" s="574">
        <v>12345</v>
      </c>
      <c r="E22" s="575">
        <v>14174</v>
      </c>
      <c r="F22" s="564"/>
      <c r="G22" s="574">
        <f t="shared" si="0"/>
        <v>14174</v>
      </c>
      <c r="H22" s="575">
        <v>16307</v>
      </c>
      <c r="I22" s="564"/>
      <c r="J22" s="574">
        <f t="shared" si="1"/>
        <v>16307</v>
      </c>
      <c r="K22" s="575">
        <v>18746</v>
      </c>
      <c r="L22" s="564"/>
      <c r="M22" s="576"/>
      <c r="N22" s="575"/>
      <c r="O22" s="564"/>
      <c r="P22" s="576"/>
      <c r="Q22" s="575"/>
    </row>
    <row r="23" spans="1:17" ht="14.55" x14ac:dyDescent="0.25">
      <c r="A23" s="651"/>
      <c r="B23" s="567">
        <v>7500000</v>
      </c>
      <c r="C23" s="564"/>
      <c r="D23" s="463">
        <v>16114</v>
      </c>
      <c r="E23" s="464">
        <v>18502</v>
      </c>
      <c r="F23" s="564"/>
      <c r="G23" s="463">
        <f t="shared" si="0"/>
        <v>18502</v>
      </c>
      <c r="H23" s="464">
        <v>21287</v>
      </c>
      <c r="I23" s="564"/>
      <c r="J23" s="463">
        <f t="shared" si="1"/>
        <v>21287</v>
      </c>
      <c r="K23" s="464">
        <v>24470</v>
      </c>
      <c r="L23" s="564"/>
      <c r="M23" s="463"/>
      <c r="N23" s="464"/>
      <c r="O23" s="564"/>
      <c r="P23" s="463"/>
      <c r="Q23" s="464"/>
    </row>
    <row r="24" spans="1:17" ht="14.55" x14ac:dyDescent="0.25">
      <c r="A24" s="651"/>
      <c r="B24" s="571">
        <v>10000000</v>
      </c>
      <c r="C24" s="564"/>
      <c r="D24" s="569">
        <v>19470</v>
      </c>
      <c r="E24" s="570">
        <v>22354</v>
      </c>
      <c r="F24" s="564"/>
      <c r="G24" s="569">
        <f t="shared" si="0"/>
        <v>22354</v>
      </c>
      <c r="H24" s="570">
        <v>25719</v>
      </c>
      <c r="I24" s="564"/>
      <c r="J24" s="569">
        <f t="shared" si="1"/>
        <v>25719</v>
      </c>
      <c r="K24" s="570">
        <v>29565</v>
      </c>
      <c r="L24" s="564"/>
      <c r="M24" s="565"/>
      <c r="N24" s="570"/>
      <c r="O24" s="564"/>
      <c r="P24" s="565"/>
      <c r="Q24" s="570"/>
    </row>
    <row r="25" spans="1:17" ht="14.55" x14ac:dyDescent="0.25">
      <c r="A25" s="651"/>
      <c r="B25" s="571">
        <v>15000000</v>
      </c>
      <c r="C25" s="564"/>
      <c r="D25" s="569">
        <v>25422</v>
      </c>
      <c r="E25" s="570">
        <v>29188</v>
      </c>
      <c r="F25" s="564"/>
      <c r="G25" s="569">
        <f t="shared" si="0"/>
        <v>29188</v>
      </c>
      <c r="H25" s="570">
        <v>33582</v>
      </c>
      <c r="I25" s="564"/>
      <c r="J25" s="569">
        <f t="shared" si="1"/>
        <v>33582</v>
      </c>
      <c r="K25" s="570">
        <v>38604</v>
      </c>
      <c r="L25" s="564"/>
      <c r="M25" s="565"/>
      <c r="N25" s="570"/>
      <c r="O25" s="564"/>
      <c r="P25" s="565"/>
      <c r="Q25" s="570"/>
    </row>
    <row r="26" spans="1:17" ht="14.55" x14ac:dyDescent="0.25">
      <c r="A26" s="651"/>
      <c r="B26" s="571">
        <v>20000000</v>
      </c>
      <c r="C26" s="564"/>
      <c r="D26" s="569">
        <v>30722</v>
      </c>
      <c r="E26" s="570">
        <v>35273</v>
      </c>
      <c r="F26" s="564"/>
      <c r="G26" s="569">
        <f t="shared" si="0"/>
        <v>35273</v>
      </c>
      <c r="H26" s="570">
        <v>40593</v>
      </c>
      <c r="I26" s="564"/>
      <c r="J26" s="569">
        <f t="shared" si="1"/>
        <v>40593</v>
      </c>
      <c r="K26" s="570">
        <v>46652</v>
      </c>
      <c r="L26" s="564"/>
      <c r="M26" s="565"/>
      <c r="N26" s="570"/>
      <c r="O26" s="564"/>
      <c r="P26" s="565"/>
      <c r="Q26" s="570"/>
    </row>
    <row r="27" spans="1:17" ht="15.2" thickBot="1" x14ac:dyDescent="0.3">
      <c r="A27" s="651"/>
      <c r="B27" s="578">
        <v>25000000</v>
      </c>
      <c r="C27" s="564"/>
      <c r="D27" s="582">
        <v>40857</v>
      </c>
      <c r="E27" s="583">
        <v>40857</v>
      </c>
      <c r="F27" s="564"/>
      <c r="G27" s="582">
        <f>E27</f>
        <v>40857</v>
      </c>
      <c r="H27" s="583">
        <v>47008</v>
      </c>
      <c r="I27" s="564"/>
      <c r="J27" s="582">
        <f t="shared" si="1"/>
        <v>47008</v>
      </c>
      <c r="K27" s="583">
        <v>54037</v>
      </c>
      <c r="L27" s="564"/>
      <c r="M27" s="565"/>
      <c r="N27" s="570"/>
      <c r="O27" s="564"/>
      <c r="P27" s="565"/>
      <c r="Q27" s="570"/>
    </row>
    <row r="28" spans="1:17" ht="14.55" x14ac:dyDescent="0.25">
      <c r="A28" s="603"/>
      <c r="B28" s="603"/>
      <c r="C28" s="603"/>
      <c r="D28" s="603"/>
      <c r="E28" s="603"/>
      <c r="F28" s="603"/>
      <c r="G28" s="603"/>
      <c r="H28" s="603"/>
      <c r="I28" s="603"/>
      <c r="J28" s="603"/>
      <c r="K28" s="603"/>
      <c r="L28" s="603"/>
      <c r="M28" s="603"/>
      <c r="N28" s="603"/>
      <c r="O28" s="603"/>
      <c r="P28" s="603"/>
      <c r="Q28" s="603"/>
    </row>
    <row r="29" spans="1:17" ht="14.55" x14ac:dyDescent="0.25">
      <c r="A29" s="603"/>
      <c r="B29" s="633" t="s">
        <v>538</v>
      </c>
      <c r="C29" s="603"/>
      <c r="D29" s="603"/>
      <c r="E29" s="631"/>
      <c r="F29" s="603"/>
      <c r="G29" s="603"/>
      <c r="H29" s="631"/>
      <c r="I29" s="603"/>
      <c r="J29" s="603"/>
      <c r="K29" s="603"/>
      <c r="L29" s="603"/>
      <c r="M29" s="603"/>
      <c r="N29" s="603"/>
      <c r="O29" s="603"/>
      <c r="P29" s="603"/>
      <c r="Q29" s="603"/>
    </row>
    <row r="30" spans="1:17" ht="14.55" x14ac:dyDescent="0.25">
      <c r="A30" s="603"/>
      <c r="B30" s="603"/>
      <c r="C30" s="603"/>
      <c r="D30" s="603"/>
      <c r="E30" s="631"/>
      <c r="F30" s="603"/>
      <c r="G30" s="603"/>
      <c r="H30" s="631"/>
      <c r="I30" s="603"/>
      <c r="J30" s="603"/>
      <c r="K30" s="603"/>
      <c r="L30" s="603"/>
      <c r="M30" s="603"/>
      <c r="N30" s="603"/>
      <c r="O30" s="603"/>
      <c r="P30" s="603"/>
      <c r="Q30" s="603"/>
    </row>
    <row r="31" spans="1:17" ht="14.55" x14ac:dyDescent="0.25">
      <c r="A31" s="603"/>
      <c r="B31" s="603"/>
      <c r="C31" s="603"/>
      <c r="D31" s="1452"/>
      <c r="E31" s="1452"/>
      <c r="F31" s="1452"/>
      <c r="G31" s="1452"/>
      <c r="H31" s="1452"/>
      <c r="I31" s="717"/>
      <c r="J31" s="635"/>
      <c r="K31" s="635"/>
      <c r="L31" s="635"/>
      <c r="M31" s="635"/>
      <c r="N31" s="635"/>
      <c r="O31" s="603"/>
      <c r="P31" s="603"/>
      <c r="Q31" s="603"/>
    </row>
    <row r="32" spans="1:17" ht="14.55" x14ac:dyDescent="0.25">
      <c r="A32" s="603"/>
      <c r="B32" s="603"/>
      <c r="C32" s="603"/>
      <c r="D32" s="603"/>
      <c r="E32" s="631"/>
      <c r="F32" s="603"/>
      <c r="G32" s="603"/>
      <c r="H32" s="631"/>
      <c r="I32" s="603"/>
      <c r="J32" s="603"/>
      <c r="K32" s="603"/>
      <c r="L32" s="603"/>
      <c r="M32" s="603"/>
      <c r="N32" s="603"/>
      <c r="O32" s="603"/>
      <c r="P32" s="603"/>
      <c r="Q32" s="603"/>
    </row>
    <row r="33" spans="1:17" ht="14.55" x14ac:dyDescent="0.25">
      <c r="A33" s="603"/>
      <c r="B33" s="603"/>
      <c r="C33" s="555"/>
      <c r="D33" s="1417" t="s">
        <v>316</v>
      </c>
      <c r="E33" s="597">
        <v>1</v>
      </c>
      <c r="F33" s="555"/>
      <c r="G33" s="1417" t="s">
        <v>317</v>
      </c>
      <c r="H33" s="597" t="s">
        <v>135</v>
      </c>
      <c r="I33" s="555"/>
      <c r="J33" s="603"/>
      <c r="K33" s="638"/>
      <c r="L33" s="555"/>
      <c r="M33" s="603"/>
      <c r="N33" s="638"/>
      <c r="O33" s="586"/>
      <c r="P33" s="651"/>
      <c r="Q33" s="651"/>
    </row>
    <row r="34" spans="1:17" ht="14.55" x14ac:dyDescent="0.25">
      <c r="A34" s="603"/>
      <c r="B34" s="603"/>
      <c r="C34" s="555"/>
      <c r="D34" s="1417"/>
      <c r="E34" s="597">
        <v>2</v>
      </c>
      <c r="F34" s="555"/>
      <c r="G34" s="1417"/>
      <c r="H34" s="597" t="s">
        <v>318</v>
      </c>
      <c r="I34" s="555"/>
      <c r="J34" s="603"/>
      <c r="K34" s="638"/>
      <c r="L34" s="555"/>
      <c r="M34" s="603"/>
      <c r="N34" s="638"/>
      <c r="O34" s="586"/>
      <c r="P34" s="651"/>
      <c r="Q34" s="651"/>
    </row>
    <row r="35" spans="1:17" ht="14.55" x14ac:dyDescent="0.25">
      <c r="A35" s="603"/>
      <c r="B35" s="603"/>
      <c r="C35" s="603"/>
      <c r="D35" s="1417"/>
      <c r="E35" s="597">
        <v>3</v>
      </c>
      <c r="F35" s="603"/>
      <c r="G35" s="1417"/>
      <c r="H35" s="597" t="s">
        <v>319</v>
      </c>
      <c r="I35" s="603"/>
      <c r="J35" s="603"/>
      <c r="K35" s="638"/>
      <c r="L35" s="603"/>
      <c r="M35" s="603"/>
      <c r="N35" s="638"/>
      <c r="O35" s="603"/>
      <c r="P35" s="603"/>
      <c r="Q35" s="603"/>
    </row>
    <row r="36" spans="1:17" ht="14.55" x14ac:dyDescent="0.25">
      <c r="A36" s="603"/>
      <c r="B36" s="603"/>
      <c r="C36" s="603"/>
      <c r="D36" s="1417"/>
      <c r="E36" s="597">
        <v>4</v>
      </c>
      <c r="F36" s="603"/>
      <c r="G36" s="1417"/>
      <c r="H36" s="597" t="s">
        <v>320</v>
      </c>
      <c r="I36" s="603"/>
      <c r="J36" s="603"/>
      <c r="K36" s="638"/>
      <c r="L36" s="603"/>
      <c r="M36" s="603"/>
      <c r="N36" s="638"/>
      <c r="O36" s="603"/>
      <c r="P36" s="603"/>
      <c r="Q36" s="603"/>
    </row>
    <row r="37" spans="1:17" ht="14.55" x14ac:dyDescent="0.25">
      <c r="A37" s="603"/>
      <c r="B37" s="603"/>
      <c r="C37" s="603"/>
      <c r="D37" s="1417"/>
      <c r="E37" s="597">
        <v>5</v>
      </c>
      <c r="F37" s="603"/>
      <c r="G37" s="1417"/>
      <c r="H37" s="597" t="s">
        <v>321</v>
      </c>
      <c r="I37" s="603"/>
      <c r="J37" s="603"/>
      <c r="K37" s="638"/>
      <c r="L37" s="603"/>
      <c r="M37" s="603"/>
      <c r="N37" s="638"/>
      <c r="O37" s="603"/>
      <c r="P37" s="603"/>
      <c r="Q37" s="603"/>
    </row>
    <row r="38" spans="1:17" ht="15.2" thickBot="1" x14ac:dyDescent="0.35">
      <c r="B38" s="594"/>
      <c r="C38" s="594"/>
      <c r="D38" s="594"/>
      <c r="E38" s="594"/>
      <c r="F38" s="594"/>
      <c r="G38" s="1418" t="s">
        <v>322</v>
      </c>
      <c r="H38" s="1418"/>
      <c r="I38" s="1414" t="s">
        <v>323</v>
      </c>
      <c r="J38" s="1414"/>
      <c r="K38" s="1414" t="s">
        <v>324</v>
      </c>
      <c r="L38" s="1414"/>
      <c r="M38" s="594"/>
    </row>
    <row r="39" spans="1:17" ht="15.2" thickBot="1" x14ac:dyDescent="0.3">
      <c r="B39" s="1405" t="s">
        <v>325</v>
      </c>
      <c r="C39" s="1406"/>
      <c r="D39" s="1406"/>
      <c r="E39" s="1407"/>
      <c r="F39" s="603"/>
      <c r="G39" s="1400">
        <f>'Bauphysik - Bauakustik'!H8</f>
        <v>0</v>
      </c>
      <c r="H39" s="1401"/>
      <c r="I39" s="1400">
        <f>'Bauphysik - Bauakustik'!L8</f>
        <v>0</v>
      </c>
      <c r="J39" s="1401"/>
      <c r="K39" s="1400">
        <f>'Bauphysik - Bauakustik'!P8</f>
        <v>0</v>
      </c>
      <c r="L39" s="1401"/>
      <c r="M39" s="718"/>
      <c r="N39" s="718"/>
    </row>
    <row r="40" spans="1:17" ht="14.55" x14ac:dyDescent="0.3">
      <c r="B40" s="603"/>
      <c r="C40" s="603"/>
      <c r="D40" s="603"/>
      <c r="E40" s="603"/>
      <c r="F40" s="603"/>
      <c r="G40" s="603"/>
      <c r="H40" s="603"/>
      <c r="I40" s="594"/>
      <c r="J40" s="594"/>
      <c r="K40" s="594"/>
      <c r="L40" s="594"/>
      <c r="M40" s="603"/>
      <c r="N40" s="603"/>
    </row>
    <row r="41" spans="1:17" ht="14.55" x14ac:dyDescent="0.3">
      <c r="B41" s="633"/>
      <c r="C41" s="603"/>
      <c r="D41" s="603"/>
      <c r="E41" s="603"/>
      <c r="F41" s="603"/>
      <c r="G41" s="603"/>
      <c r="H41" s="603"/>
      <c r="I41" s="594"/>
      <c r="J41" s="594"/>
      <c r="K41" s="594"/>
      <c r="L41" s="594"/>
      <c r="M41" s="603"/>
      <c r="N41" s="603"/>
    </row>
    <row r="42" spans="1:17" ht="14.55" x14ac:dyDescent="0.3">
      <c r="B42" s="603"/>
      <c r="C42" s="603"/>
      <c r="D42" s="603"/>
      <c r="E42" s="603"/>
      <c r="F42" s="603"/>
      <c r="G42" s="603"/>
      <c r="H42" s="603"/>
      <c r="I42" s="594"/>
      <c r="J42" s="594"/>
      <c r="K42" s="594"/>
      <c r="L42" s="594"/>
      <c r="M42" s="603"/>
      <c r="N42" s="603"/>
    </row>
    <row r="43" spans="1:17" ht="14.55" x14ac:dyDescent="0.3">
      <c r="B43" s="1422" t="s">
        <v>316</v>
      </c>
      <c r="C43" s="1423"/>
      <c r="D43" s="1423"/>
      <c r="E43" s="1424"/>
      <c r="F43" s="644"/>
      <c r="G43" s="1462">
        <f>'Bauphysik - Bauakustik'!F13</f>
        <v>1</v>
      </c>
      <c r="H43" s="1463"/>
      <c r="I43" s="594"/>
      <c r="J43" s="594"/>
      <c r="K43" s="719"/>
      <c r="L43" s="594"/>
      <c r="M43" s="645"/>
      <c r="N43" s="645"/>
    </row>
    <row r="44" spans="1:17" ht="14.55" x14ac:dyDescent="0.3">
      <c r="B44" s="1422" t="s">
        <v>317</v>
      </c>
      <c r="C44" s="1423"/>
      <c r="D44" s="1423"/>
      <c r="E44" s="1424"/>
      <c r="F44" s="644"/>
      <c r="G44" s="1462" t="str">
        <f>'Bauphysik - Bauakustik'!F14</f>
        <v>Basishonorarsatz</v>
      </c>
      <c r="H44" s="1463"/>
      <c r="I44" s="594"/>
      <c r="J44" s="594"/>
      <c r="K44" s="594"/>
      <c r="L44" s="594"/>
      <c r="M44" s="645"/>
      <c r="N44" s="645"/>
    </row>
    <row r="45" spans="1:17" ht="14.55" x14ac:dyDescent="0.3">
      <c r="B45" s="603"/>
      <c r="C45" s="603"/>
      <c r="D45" s="603"/>
      <c r="E45" s="603"/>
      <c r="F45" s="603"/>
      <c r="G45" s="603"/>
      <c r="H45" s="603"/>
      <c r="I45" s="594"/>
      <c r="J45" s="594"/>
      <c r="K45" s="594"/>
      <c r="L45" s="594"/>
      <c r="M45" s="594"/>
    </row>
    <row r="46" spans="1:17" ht="14.55" x14ac:dyDescent="0.3">
      <c r="B46" s="603"/>
      <c r="C46" s="603"/>
      <c r="D46" s="603"/>
      <c r="E46" s="603"/>
      <c r="F46" s="603"/>
      <c r="G46" s="603"/>
      <c r="H46" s="603"/>
      <c r="I46" s="594"/>
      <c r="J46" s="594"/>
      <c r="K46" s="594"/>
      <c r="L46" s="594"/>
      <c r="M46" s="594"/>
    </row>
    <row r="47" spans="1:17" ht="14.55" x14ac:dyDescent="0.3">
      <c r="B47" s="633" t="s">
        <v>326</v>
      </c>
      <c r="C47" s="603"/>
      <c r="D47" s="603"/>
      <c r="E47" s="603"/>
      <c r="F47" s="603"/>
      <c r="G47" s="603"/>
      <c r="H47" s="603"/>
      <c r="I47" s="594"/>
      <c r="J47" s="594"/>
      <c r="K47" s="594"/>
      <c r="L47" s="594"/>
      <c r="M47" s="594"/>
    </row>
    <row r="48" spans="1:17" ht="14.55" x14ac:dyDescent="0.3">
      <c r="B48" s="603"/>
      <c r="C48" s="603"/>
      <c r="D48" s="603"/>
      <c r="E48" s="603"/>
      <c r="F48" s="603"/>
      <c r="G48" s="1418" t="s">
        <v>322</v>
      </c>
      <c r="H48" s="1418"/>
      <c r="I48" s="1414" t="s">
        <v>323</v>
      </c>
      <c r="J48" s="1414"/>
      <c r="K48" s="1466" t="s">
        <v>324</v>
      </c>
      <c r="L48" s="1466"/>
      <c r="M48" s="1466"/>
    </row>
    <row r="49" spans="2:14" ht="14.55" x14ac:dyDescent="0.25">
      <c r="C49" s="709"/>
      <c r="D49" s="1397" t="s">
        <v>327</v>
      </c>
      <c r="E49" s="1425" t="s">
        <v>316</v>
      </c>
      <c r="F49" s="646"/>
      <c r="G49" s="720" t="s">
        <v>328</v>
      </c>
      <c r="H49" s="721">
        <f>IF($G$39&lt;$B$8,0,IF($G$39&gt;$B$27,0,VLOOKUP($G$39,$B$8:$B$27,1)))</f>
        <v>0</v>
      </c>
      <c r="I49" s="720" t="s">
        <v>328</v>
      </c>
      <c r="J49" s="721">
        <f>IF($I$39&lt;$B$8,0,IF($I$39&gt;$B$27,0,VLOOKUP($I$39,$B$8:$B$27,1)))</f>
        <v>0</v>
      </c>
      <c r="K49" s="720" t="s">
        <v>328</v>
      </c>
      <c r="L49" s="1458">
        <f>IF($K$39&lt;$B$8,0,IF($K$39&gt;$B$27,0,VLOOKUP(K39,B8:B27,1)))</f>
        <v>0</v>
      </c>
      <c r="M49" s="1459"/>
      <c r="N49" s="646"/>
    </row>
    <row r="50" spans="2:14" ht="14.55" x14ac:dyDescent="0.25">
      <c r="B50" s="709"/>
      <c r="C50" s="709"/>
      <c r="D50" s="1398"/>
      <c r="E50" s="1426"/>
      <c r="F50" s="603"/>
      <c r="G50" s="649" t="s">
        <v>135</v>
      </c>
      <c r="H50" s="650" t="s">
        <v>321</v>
      </c>
      <c r="I50" s="649" t="s">
        <v>135</v>
      </c>
      <c r="J50" s="650" t="s">
        <v>321</v>
      </c>
      <c r="K50" s="649" t="s">
        <v>135</v>
      </c>
      <c r="L50" s="1460" t="s">
        <v>321</v>
      </c>
      <c r="M50" s="1461"/>
      <c r="N50" s="651"/>
    </row>
    <row r="51" spans="2:14" ht="14.55" x14ac:dyDescent="0.25">
      <c r="B51" s="709"/>
      <c r="C51" s="709"/>
      <c r="D51" s="1398"/>
      <c r="E51" s="759">
        <v>1</v>
      </c>
      <c r="F51" s="603"/>
      <c r="G51" s="648">
        <f>IF($G$39&lt;$B$8,0,IF($G$39&gt;$B$27,0,VLOOKUP($H$49,$B$8:$Q$27,3)))</f>
        <v>0</v>
      </c>
      <c r="H51" s="648">
        <f>IF($G$39&lt;$B$8,0,IF($G$39&gt;$B$27,0,VLOOKUP(G51,$D$8:$E$27,2)))</f>
        <v>0</v>
      </c>
      <c r="I51" s="648">
        <f>IF($I$39&lt;$B$8,0,IF($I$39&gt;$B$27,0,VLOOKUP($J$49,$B$8:$Q$27,6)))</f>
        <v>0</v>
      </c>
      <c r="J51" s="648">
        <f>IF($I$39&lt;$B$8,0,IF($I$39&gt;$B$27,0,VLOOKUP(I51,$D$8:$E$27,2)))</f>
        <v>0</v>
      </c>
      <c r="K51" s="648">
        <f>IF($K$39&lt;$B$8,0,IF($K$39&gt;$B$27,0,VLOOKUP($L$49,$B$8:$Q$27,3)))</f>
        <v>0</v>
      </c>
      <c r="L51" s="1472">
        <f>IF($K$39&lt;$B$8,0,IF($K$39&gt;$B$27,0,VLOOKUP(K51,$D$8:$E$27,2)))</f>
        <v>0</v>
      </c>
      <c r="M51" s="1473"/>
      <c r="N51" s="646"/>
    </row>
    <row r="52" spans="2:14" ht="14.55" x14ac:dyDescent="0.25">
      <c r="B52" s="709"/>
      <c r="C52" s="709"/>
      <c r="D52" s="1398"/>
      <c r="E52" s="759">
        <v>2</v>
      </c>
      <c r="F52" s="603"/>
      <c r="G52" s="648">
        <f>IF($G$39&lt;$B$8,0,IF($G$39&gt;$B$27,0,VLOOKUP($H$49,$B$8:$Q$27,6)))</f>
        <v>0</v>
      </c>
      <c r="H52" s="648">
        <f>IF($G$39&lt;$B$8,0,IF($G$39&gt;$B$27,0,VLOOKUP(G52,$G$8:$H$27,2)))</f>
        <v>0</v>
      </c>
      <c r="I52" s="648">
        <f>IF($I$39&lt;$B$8,0,IF($I$39&gt;$B$27,0,VLOOKUP($J$49,$B$8:$Q$27,6)))</f>
        <v>0</v>
      </c>
      <c r="J52" s="648">
        <f>IF($I$39&lt;$B$8,0,IF($I$39&gt;$B$27,0,VLOOKUP(I52,$G$8:$H$27,2)))</f>
        <v>0</v>
      </c>
      <c r="K52" s="648">
        <f>IF($K$39&lt;$B$8,0,IF($K$39&gt;$B$27,0,VLOOKUP($L$49,$B$8:$Q$27,6)))</f>
        <v>0</v>
      </c>
      <c r="L52" s="1472">
        <f>IF($K$39&lt;$B$8,0,IF($K$39&gt;$B$27,0,VLOOKUP(K52,$G$8:$H$27,2)))</f>
        <v>0</v>
      </c>
      <c r="M52" s="1473"/>
      <c r="N52" s="646"/>
    </row>
    <row r="53" spans="2:14" ht="14.55" x14ac:dyDescent="0.25">
      <c r="B53" s="709"/>
      <c r="C53" s="709"/>
      <c r="D53" s="1398"/>
      <c r="E53" s="759">
        <v>3</v>
      </c>
      <c r="F53" s="603"/>
      <c r="G53" s="648">
        <f>IF($G$39&lt;$B$8,0,IF($G$39&gt;$B$27,0,VLOOKUP($H$49,$B$8:$Q$27,9)))</f>
        <v>0</v>
      </c>
      <c r="H53" s="648">
        <f>IF($G$39&lt;$B$8,0,IF($G$39&gt;$B$27,0,VLOOKUP(G53,$J$8:$K$27,2)))</f>
        <v>0</v>
      </c>
      <c r="I53" s="648">
        <f>IF($I$39&lt;$B$8,0,IF($I$39&gt;$B$27,0,VLOOKUP($J$49,$B$8:$Q$27,9)))</f>
        <v>0</v>
      </c>
      <c r="J53" s="648">
        <f>IF($I$39&lt;$B$8,0,IF($I$39&gt;$B$27,0,VLOOKUP(I53,$J$8:$K$27,2)))</f>
        <v>0</v>
      </c>
      <c r="K53" s="648">
        <f>IF($K$39&lt;$B$8,0,IF($K$39&gt;$B$27,0,VLOOKUP($L$49,$B$8:$Q$27,9)))</f>
        <v>0</v>
      </c>
      <c r="L53" s="1472">
        <f>IF($K$39&lt;$B$8,0,IF($K$39&gt;$B$27,0,VLOOKUP(K53,$J$8:$K$27,2)))</f>
        <v>0</v>
      </c>
      <c r="M53" s="1473"/>
      <c r="N53" s="646"/>
    </row>
    <row r="54" spans="2:14" ht="14.55" x14ac:dyDescent="0.25">
      <c r="B54" s="709"/>
      <c r="C54" s="709"/>
      <c r="D54" s="1398"/>
      <c r="E54" s="759">
        <v>4</v>
      </c>
      <c r="F54" s="603"/>
      <c r="G54" s="648">
        <f>IF($G$39&lt;$B$8,0,IF($G$39&gt;$B$27,0,VLOOKUP($H$49,$B$8:$Q$27,12)))</f>
        <v>0</v>
      </c>
      <c r="H54" s="648">
        <f>IF($G$39&lt;$B$8,0,IF($G$39&gt;$B$27,0,VLOOKUP(G54,$M$8:$N$27,2)))</f>
        <v>0</v>
      </c>
      <c r="I54" s="648">
        <f>IF($I$39&lt;$B$8,0,IF($I$39&gt;$B$27,0,VLOOKUP($J$49,$B$8:$Q$27,12)))</f>
        <v>0</v>
      </c>
      <c r="J54" s="648">
        <f>IF($I$39&lt;$B$8,0,IF($I$39&gt;$B$27,0,VLOOKUP(I54,$M$8:$N$27,2)))</f>
        <v>0</v>
      </c>
      <c r="K54" s="648">
        <f>IF($K$39&lt;$B$8,0,IF($K$39&gt;$B$27,0,VLOOKUP($L$49,$B$8:$Q$27,12)))</f>
        <v>0</v>
      </c>
      <c r="L54" s="1472">
        <f>IF($K$39&lt;$B$8,0,IF($K$39&gt;$B$27,0,VLOOKUP(K54,$M$8:$N$27,2)))</f>
        <v>0</v>
      </c>
      <c r="M54" s="1473"/>
      <c r="N54" s="646"/>
    </row>
    <row r="55" spans="2:14" ht="14.55" x14ac:dyDescent="0.25">
      <c r="B55" s="709"/>
      <c r="C55" s="709"/>
      <c r="D55" s="1399"/>
      <c r="E55" s="759">
        <v>5</v>
      </c>
      <c r="F55" s="603"/>
      <c r="G55" s="648">
        <f>IF($G$39&lt;$B$8,0,IF($G$39&gt;$B$27,0,VLOOKUP($H$49,$B$8:$Q$27,15)))</f>
        <v>0</v>
      </c>
      <c r="H55" s="648">
        <f>IF($G$39&lt;$B$8,0,IF($G$39&gt;$B$27,0,VLOOKUP(G55,$P$8:$Q$27,2)))</f>
        <v>0</v>
      </c>
      <c r="I55" s="648">
        <f>IF($I$39&lt;$B$8,0,IF($I$39&gt;$B$27,0,VLOOKUP($J$49,$B$8:$Q$27,15)))</f>
        <v>0</v>
      </c>
      <c r="J55" s="648">
        <f>IF($I$39&lt;$B$8,0,IF($I$39&gt;$B$27,0,VLOOKUP(I55,$P$8:$Q$27,2)))</f>
        <v>0</v>
      </c>
      <c r="K55" s="648">
        <f>IF($K$39&lt;$B$8,0,IF($K$39&gt;$B$27,0,VLOOKUP($L$49,$B$8:$Q$27,15)))</f>
        <v>0</v>
      </c>
      <c r="L55" s="1472">
        <f>IF($K$39&lt;$B$8,0,IF($K$39&gt;$B$27,0,VLOOKUP(K55,$P$8:$Q$27,2)))</f>
        <v>0</v>
      </c>
      <c r="M55" s="1473"/>
      <c r="N55" s="646"/>
    </row>
    <row r="56" spans="2:14" ht="14.55" x14ac:dyDescent="0.25">
      <c r="B56" s="652"/>
      <c r="C56" s="652"/>
      <c r="D56" s="652"/>
      <c r="E56" s="603"/>
      <c r="F56" s="603"/>
      <c r="G56" s="722"/>
      <c r="H56" s="651"/>
    </row>
    <row r="57" spans="2:14" ht="14.55" x14ac:dyDescent="0.25">
      <c r="C57" s="709"/>
      <c r="D57" s="1397" t="s">
        <v>329</v>
      </c>
      <c r="E57" s="1425" t="s">
        <v>316</v>
      </c>
      <c r="F57" s="603"/>
      <c r="G57" s="647" t="s">
        <v>328</v>
      </c>
      <c r="H57" s="648" cm="1">
        <f t="array" ref="H57">IF($G$39&lt;$B$8,0,IF(G39&gt;B27,0,INDEX(B8:B27,MATCH(G39,B8:B27,1)+1,1)))</f>
        <v>0</v>
      </c>
      <c r="I57" s="647" t="s">
        <v>328</v>
      </c>
      <c r="J57" s="648">
        <f>IF(I39&lt;25000,0,IF(I39&gt;25000000,0,INDEX(B8:B27,MATCH(I39,B8:B27,1)+1,1)))</f>
        <v>0</v>
      </c>
      <c r="K57" s="647" t="s">
        <v>328</v>
      </c>
      <c r="L57" s="1458" cm="1">
        <f t="array" ref="L57">IF($K$39&lt;$B$8,0,IF($K$39&gt;$B$27,0,INDEX(B8:B27,MATCH(K39,B8:B27,1)+1,1)))</f>
        <v>0</v>
      </c>
      <c r="M57" s="1459"/>
      <c r="N57" s="646"/>
    </row>
    <row r="58" spans="2:14" ht="14.55" x14ac:dyDescent="0.25">
      <c r="B58" s="709"/>
      <c r="C58" s="709"/>
      <c r="D58" s="1398"/>
      <c r="E58" s="1426"/>
      <c r="F58" s="603"/>
      <c r="G58" s="649" t="s">
        <v>135</v>
      </c>
      <c r="H58" s="650" t="s">
        <v>321</v>
      </c>
      <c r="I58" s="649" t="s">
        <v>135</v>
      </c>
      <c r="J58" s="650" t="s">
        <v>321</v>
      </c>
      <c r="K58" s="649" t="s">
        <v>135</v>
      </c>
      <c r="L58" s="1460" t="s">
        <v>321</v>
      </c>
      <c r="M58" s="1461"/>
      <c r="N58" s="651"/>
    </row>
    <row r="59" spans="2:14" ht="14.55" x14ac:dyDescent="0.25">
      <c r="B59" s="709"/>
      <c r="C59" s="709"/>
      <c r="D59" s="1398"/>
      <c r="E59" s="759">
        <v>1</v>
      </c>
      <c r="F59" s="603"/>
      <c r="G59" s="648">
        <f>IF($G$39&lt;$B$8,0,IF($G$39&gt;$B$27,0,VLOOKUP($H$57,$B$8:$Q$27,3)))</f>
        <v>0</v>
      </c>
      <c r="H59" s="648">
        <f>IF($G$39&lt;$B$8,0,IF($G$39&gt;$B$27,0,VLOOKUP(G59,$D$8:$E$27,2)))</f>
        <v>0</v>
      </c>
      <c r="I59" s="648">
        <f>IF($I$39&lt;$B$8,0,IF($I$39&gt;$B$27,0,VLOOKUP($J$57,$B$8:$Q$27,3)))</f>
        <v>0</v>
      </c>
      <c r="J59" s="648">
        <f>IF($I$39&lt;$B$8,0,IF($I$39&gt;$B$27,0,VLOOKUP(I59,$D$8:$E$27,2)))</f>
        <v>0</v>
      </c>
      <c r="K59" s="648">
        <f>IF($K$39&lt;$B$8,0,IF($K$39&gt;$B$27,0,VLOOKUP($L$57,$B$8:$Q$27,3)))</f>
        <v>0</v>
      </c>
      <c r="L59" s="1472">
        <f>IF($K$39&lt;$B$8,0,IF($K$39&gt;$B$27,0,VLOOKUP(K59,$D$8:$E$27,2)))</f>
        <v>0</v>
      </c>
      <c r="M59" s="1473"/>
      <c r="N59" s="646"/>
    </row>
    <row r="60" spans="2:14" ht="14.55" x14ac:dyDescent="0.25">
      <c r="B60" s="709"/>
      <c r="C60" s="709"/>
      <c r="D60" s="1398"/>
      <c r="E60" s="759">
        <v>2</v>
      </c>
      <c r="F60" s="603"/>
      <c r="G60" s="648">
        <f>IF($G$39&lt;$B$8,0,IF($G$39&gt;$B$27,0,VLOOKUP($H$57,$B$8:$Q$27,6)))</f>
        <v>0</v>
      </c>
      <c r="H60" s="648">
        <f>IF($G$39&lt;$B$8,0,IF($G$39&gt;$B$27,0,VLOOKUP(G60,$G$8:$H$27,2)))</f>
        <v>0</v>
      </c>
      <c r="I60" s="648">
        <f>IF($I$39&lt;$B$8,0,IF($I$39&gt;$B$27,0,VLOOKUP($J$57,$B$8:$Q$27,6)))</f>
        <v>0</v>
      </c>
      <c r="J60" s="648">
        <f>IF($I$39&lt;$B$8,0,IF($I$39&gt;$B$27,0,VLOOKUP(I60,$G$8:$H$27,2)))</f>
        <v>0</v>
      </c>
      <c r="K60" s="648">
        <f>IF($K$39&lt;$B$8,0,IF($K$39&gt;$B$27,0,VLOOKUP($L$57,$B$8:$Q$27,6)))</f>
        <v>0</v>
      </c>
      <c r="L60" s="1472">
        <f>IF($K$39&lt;$B$8,0,IF($K$39&gt;$B$27,0,VLOOKUP(K60,$G$8:$H$27,2)))</f>
        <v>0</v>
      </c>
      <c r="M60" s="1473"/>
      <c r="N60" s="646"/>
    </row>
    <row r="61" spans="2:14" ht="14.55" x14ac:dyDescent="0.25">
      <c r="B61" s="709"/>
      <c r="C61" s="709"/>
      <c r="D61" s="1398"/>
      <c r="E61" s="759">
        <v>3</v>
      </c>
      <c r="F61" s="603"/>
      <c r="G61" s="648">
        <f>IF($G$39&lt;$B$8,0,IF($G$39&gt;$B$27,0,VLOOKUP($H$57,$B$8:$Q$27,9)))</f>
        <v>0</v>
      </c>
      <c r="H61" s="648">
        <f>IF($G$39&lt;$B$8,0,IF($G$39&gt;$B$27,0,VLOOKUP(G61,$J$8:$K$27,2)))</f>
        <v>0</v>
      </c>
      <c r="I61" s="648">
        <f>IF($I$39&lt;$B$8,0,IF($I$39&gt;$B$27,0,VLOOKUP($J$57,$B$8:$Q$27,9)))</f>
        <v>0</v>
      </c>
      <c r="J61" s="648">
        <f>IF($I$39&lt;$B$8,0,IF($I$39&gt;$B$27,0,VLOOKUP(I61,$J$8:$K$27,2)))</f>
        <v>0</v>
      </c>
      <c r="K61" s="648">
        <f>IF($K$39&lt;$B$8,0,IF($K$39&gt;$B$27,0,VLOOKUP($L$57,$B$8:$Q$27,9)))</f>
        <v>0</v>
      </c>
      <c r="L61" s="1472">
        <f>IF($K$39&lt;$B$8,0,IF($K$39&gt;$B$27,0,VLOOKUP(K61,$J$8:$K$27,2)))</f>
        <v>0</v>
      </c>
      <c r="M61" s="1473"/>
      <c r="N61" s="646"/>
    </row>
    <row r="62" spans="2:14" ht="14.55" x14ac:dyDescent="0.25">
      <c r="B62" s="709"/>
      <c r="C62" s="709"/>
      <c r="D62" s="1398"/>
      <c r="E62" s="759">
        <v>4</v>
      </c>
      <c r="F62" s="603"/>
      <c r="G62" s="648">
        <f>IF($G$39&lt;$B$8,0,IF($G$39&gt;$B$27,0,VLOOKUP($H$57,$B$8:$Q$27,12)))</f>
        <v>0</v>
      </c>
      <c r="H62" s="648">
        <f>IF($G$39&lt;$B$8,0,IF($G$39&gt;$B$27,0,VLOOKUP(G62,$M$8:$N$27,2)))</f>
        <v>0</v>
      </c>
      <c r="I62" s="648">
        <f>IF($I$39&lt;$B$8,0,IF($I$39&gt;$B$27,0,VLOOKUP($J$57,$B$8:$Q$27,12)))</f>
        <v>0</v>
      </c>
      <c r="J62" s="648">
        <f>IF($I$39&lt;$B$8,0,IF($I$39&gt;$B$27,0,VLOOKUP(I62,$M$8:$N$27,2)))</f>
        <v>0</v>
      </c>
      <c r="K62" s="648">
        <f>IF($K$39&lt;$B$8,0,IF($K$39&gt;$B$27,0,VLOOKUP($L$57,$B$8:$Q$27,12)))</f>
        <v>0</v>
      </c>
      <c r="L62" s="1472">
        <f>IF($K$39&lt;$B$8,0,IF($K$39&gt;$B$27,0,VLOOKUP(K62,$M$8:$N$27,2)))</f>
        <v>0</v>
      </c>
      <c r="M62" s="1473"/>
      <c r="N62" s="646"/>
    </row>
    <row r="63" spans="2:14" ht="14.55" x14ac:dyDescent="0.25">
      <c r="B63" s="709"/>
      <c r="C63" s="709"/>
      <c r="D63" s="1399"/>
      <c r="E63" s="759">
        <v>5</v>
      </c>
      <c r="F63" s="603"/>
      <c r="G63" s="648">
        <f>IF($G$39&lt;$B$8,0,IF($G$39&gt;$B$27,0,VLOOKUP($H$57,$B$8:$Q$27,15)))</f>
        <v>0</v>
      </c>
      <c r="H63" s="648">
        <f>IF($G$39&lt;$B$8,0,IF($G$39&gt;$B$27,0,VLOOKUP(G63,$P$8:$Q$27,2)))</f>
        <v>0</v>
      </c>
      <c r="I63" s="648">
        <f>IF($I$39&lt;$B$8,0,IF($I$39&gt;$B$27,0,VLOOKUP($J$57,$B$8:$Q$27,15)))</f>
        <v>0</v>
      </c>
      <c r="J63" s="648">
        <f>IF($I$39&lt;$B$8,0,IF($I$39&gt;$B$27,0,VLOOKUP(I63,$P$8:$Q$27,2)))</f>
        <v>0</v>
      </c>
      <c r="K63" s="648">
        <f>IF($K$39&lt;$B$8,0,IF($K$39&gt;$B$27,0,VLOOKUP($L$57,$B$8:$Q$27,15)))</f>
        <v>0</v>
      </c>
      <c r="L63" s="1472">
        <f>IF($K$39&lt;$B$8,0,IF($K$39&gt;$B$27,0,VLOOKUP(K63,$P$8:$Q$27,2)))</f>
        <v>0</v>
      </c>
      <c r="M63" s="1473"/>
      <c r="N63" s="646"/>
    </row>
    <row r="64" spans="2:14" x14ac:dyDescent="0.25">
      <c r="E64" s="641" t="s">
        <v>544</v>
      </c>
    </row>
    <row r="65" spans="2:14" x14ac:dyDescent="0.25">
      <c r="B65" s="630" t="s">
        <v>330</v>
      </c>
    </row>
    <row r="67" spans="2:14" ht="14.55" x14ac:dyDescent="0.25">
      <c r="B67" s="652"/>
      <c r="C67" s="652"/>
      <c r="D67" s="652"/>
      <c r="E67" s="603"/>
      <c r="F67" s="603"/>
      <c r="G67" s="649" t="s">
        <v>135</v>
      </c>
      <c r="H67" s="650" t="s">
        <v>321</v>
      </c>
      <c r="I67" s="649" t="s">
        <v>135</v>
      </c>
      <c r="J67" s="650" t="s">
        <v>321</v>
      </c>
      <c r="K67" s="649" t="s">
        <v>135</v>
      </c>
      <c r="L67" s="1417" t="s">
        <v>321</v>
      </c>
      <c r="M67" s="1417"/>
      <c r="N67" s="651"/>
    </row>
    <row r="68" spans="2:14" ht="14.55" x14ac:dyDescent="0.25">
      <c r="B68" s="1416" t="s">
        <v>327</v>
      </c>
      <c r="C68" s="1416"/>
      <c r="D68" s="1416"/>
      <c r="E68" s="1416"/>
      <c r="F68" s="603"/>
      <c r="G68" s="655">
        <f>VLOOKUP($G$43,$E$51:$H$55,3)</f>
        <v>0</v>
      </c>
      <c r="H68" s="655">
        <f>VLOOKUP(G43,$E$51:$H$55,4)</f>
        <v>0</v>
      </c>
      <c r="I68" s="655">
        <f>VLOOKUP($G$43,$E$51:$J$55,5)</f>
        <v>0</v>
      </c>
      <c r="J68" s="655">
        <f>VLOOKUP(G43,$E$51:$J$55,6)</f>
        <v>0</v>
      </c>
      <c r="K68" s="655">
        <f>VLOOKUP($G$43,$E$51:$K$55,7)</f>
        <v>0</v>
      </c>
      <c r="L68" s="1469">
        <f>VLOOKUP(G43,$E$51:$M$55,8)</f>
        <v>0</v>
      </c>
      <c r="M68" s="1469"/>
      <c r="N68" s="656"/>
    </row>
    <row r="69" spans="2:14" ht="14.55" x14ac:dyDescent="0.25">
      <c r="B69" s="1416" t="s">
        <v>329</v>
      </c>
      <c r="C69" s="1416"/>
      <c r="D69" s="1416"/>
      <c r="E69" s="1416"/>
      <c r="F69" s="603"/>
      <c r="G69" s="655">
        <f>VLOOKUP($G$43,$E$59:$H$63,3)</f>
        <v>0</v>
      </c>
      <c r="H69" s="655">
        <f>VLOOKUP(G43,$E$59:$H$63,4)</f>
        <v>0</v>
      </c>
      <c r="I69" s="655">
        <f>VLOOKUP($G$43,$E$59:$J$63,5)</f>
        <v>0</v>
      </c>
      <c r="J69" s="655">
        <f>VLOOKUP(G43,$E$59:$K$63,6)</f>
        <v>0</v>
      </c>
      <c r="K69" s="655">
        <f>VLOOKUP($G$43,$E$59:$K$63,7)</f>
        <v>0</v>
      </c>
      <c r="L69" s="1469">
        <f>VLOOKUP(G43,$E$59:$M$63,8)</f>
        <v>0</v>
      </c>
      <c r="M69" s="1469"/>
      <c r="N69" s="656"/>
    </row>
    <row r="70" spans="2:14" ht="14.55" x14ac:dyDescent="0.25">
      <c r="B70" s="1659" t="s">
        <v>331</v>
      </c>
      <c r="C70" s="1660"/>
      <c r="D70" s="1660"/>
      <c r="E70" s="1661"/>
      <c r="F70" s="603"/>
      <c r="G70" s="723">
        <f t="shared" ref="G70:L70" si="2">G69-G68</f>
        <v>0</v>
      </c>
      <c r="H70" s="723">
        <f t="shared" si="2"/>
        <v>0</v>
      </c>
      <c r="I70" s="723">
        <f t="shared" si="2"/>
        <v>0</v>
      </c>
      <c r="J70" s="723">
        <f t="shared" si="2"/>
        <v>0</v>
      </c>
      <c r="K70" s="723">
        <f t="shared" si="2"/>
        <v>0</v>
      </c>
      <c r="L70" s="1470">
        <f t="shared" si="2"/>
        <v>0</v>
      </c>
      <c r="M70" s="1470"/>
      <c r="N70" s="724"/>
    </row>
    <row r="71" spans="2:14" ht="14.55" x14ac:dyDescent="0.25">
      <c r="B71" s="1416" t="s">
        <v>332</v>
      </c>
      <c r="C71" s="1416"/>
      <c r="D71" s="1416"/>
      <c r="E71" s="1416"/>
      <c r="F71" s="603"/>
      <c r="G71" s="723">
        <f>G39-H49</f>
        <v>0</v>
      </c>
      <c r="H71" s="659">
        <f>G43</f>
        <v>1</v>
      </c>
      <c r="I71" s="723">
        <f>I39-J49</f>
        <v>0</v>
      </c>
      <c r="J71" s="659">
        <f>G43</f>
        <v>1</v>
      </c>
      <c r="K71" s="723">
        <f>K39-L49</f>
        <v>0</v>
      </c>
      <c r="L71" s="1471">
        <f>G43</f>
        <v>1</v>
      </c>
      <c r="M71" s="1471"/>
      <c r="N71" s="725"/>
    </row>
    <row r="74" spans="2:14" x14ac:dyDescent="0.25">
      <c r="B74" s="630" t="s">
        <v>333</v>
      </c>
    </row>
    <row r="76" spans="2:14" ht="14.55" x14ac:dyDescent="0.25">
      <c r="B76" s="603"/>
      <c r="C76" s="603"/>
      <c r="D76" s="651"/>
      <c r="E76" s="603"/>
      <c r="F76" s="651"/>
      <c r="G76" s="649" t="s">
        <v>135</v>
      </c>
      <c r="H76" s="650" t="s">
        <v>321</v>
      </c>
      <c r="I76" s="649" t="s">
        <v>135</v>
      </c>
      <c r="J76" s="650" t="s">
        <v>321</v>
      </c>
      <c r="K76" s="649" t="s">
        <v>135</v>
      </c>
      <c r="L76" s="1417" t="s">
        <v>321</v>
      </c>
      <c r="M76" s="1417"/>
      <c r="N76" s="651"/>
    </row>
    <row r="77" spans="2:14" ht="14.55" x14ac:dyDescent="0.25">
      <c r="B77" s="1416" t="s">
        <v>334</v>
      </c>
      <c r="C77" s="1416"/>
      <c r="D77" s="1416"/>
      <c r="E77" s="1416"/>
      <c r="F77" s="660"/>
      <c r="G77" s="655">
        <f t="shared" ref="G77:L77" si="3">G68</f>
        <v>0</v>
      </c>
      <c r="H77" s="655">
        <f t="shared" si="3"/>
        <v>0</v>
      </c>
      <c r="I77" s="655">
        <f t="shared" si="3"/>
        <v>0</v>
      </c>
      <c r="J77" s="655">
        <f t="shared" si="3"/>
        <v>0</v>
      </c>
      <c r="K77" s="655">
        <f t="shared" si="3"/>
        <v>0</v>
      </c>
      <c r="L77" s="1469">
        <f t="shared" si="3"/>
        <v>0</v>
      </c>
      <c r="M77" s="1469"/>
      <c r="N77" s="656"/>
    </row>
    <row r="78" spans="2:14" ht="14.55" x14ac:dyDescent="0.25">
      <c r="B78" s="1416" t="s">
        <v>335</v>
      </c>
      <c r="C78" s="1416"/>
      <c r="D78" s="1416"/>
      <c r="E78" s="1416"/>
      <c r="F78" s="660"/>
      <c r="G78" s="655">
        <f>G71</f>
        <v>0</v>
      </c>
      <c r="H78" s="655">
        <f>G71</f>
        <v>0</v>
      </c>
      <c r="I78" s="655">
        <f>I71</f>
        <v>0</v>
      </c>
      <c r="J78" s="655">
        <f>I71</f>
        <v>0</v>
      </c>
      <c r="K78" s="655">
        <f>K71</f>
        <v>0</v>
      </c>
      <c r="L78" s="1469">
        <f>K71</f>
        <v>0</v>
      </c>
      <c r="M78" s="1469"/>
      <c r="N78" s="656"/>
    </row>
    <row r="79" spans="2:14" ht="14.55" x14ac:dyDescent="0.25">
      <c r="B79" s="1416" t="s">
        <v>336</v>
      </c>
      <c r="C79" s="1416"/>
      <c r="D79" s="1416"/>
      <c r="E79" s="1416"/>
      <c r="F79" s="660"/>
      <c r="G79" s="655">
        <f t="shared" ref="G79:L79" si="4">G70</f>
        <v>0</v>
      </c>
      <c r="H79" s="655">
        <f t="shared" si="4"/>
        <v>0</v>
      </c>
      <c r="I79" s="655">
        <f t="shared" si="4"/>
        <v>0</v>
      </c>
      <c r="J79" s="655">
        <f t="shared" si="4"/>
        <v>0</v>
      </c>
      <c r="K79" s="655">
        <f t="shared" si="4"/>
        <v>0</v>
      </c>
      <c r="L79" s="1469">
        <f t="shared" si="4"/>
        <v>0</v>
      </c>
      <c r="M79" s="1469"/>
      <c r="N79" s="656"/>
    </row>
    <row r="80" spans="2:14" ht="14.55" x14ac:dyDescent="0.25">
      <c r="B80" s="1416" t="s">
        <v>337</v>
      </c>
      <c r="C80" s="1416"/>
      <c r="D80" s="1416"/>
      <c r="E80" s="1416"/>
      <c r="F80" s="660"/>
      <c r="G80" s="655">
        <f>H57-H49</f>
        <v>0</v>
      </c>
      <c r="H80" s="655">
        <f>H57-H49</f>
        <v>0</v>
      </c>
      <c r="I80" s="655">
        <f>J57-J49</f>
        <v>0</v>
      </c>
      <c r="J80" s="655">
        <f>J57-J49</f>
        <v>0</v>
      </c>
      <c r="K80" s="655">
        <f>L57-L49</f>
        <v>0</v>
      </c>
      <c r="L80" s="1469">
        <f>L57-L49</f>
        <v>0</v>
      </c>
      <c r="M80" s="1469"/>
      <c r="N80" s="656"/>
    </row>
    <row r="81" spans="2:22" ht="15.2" thickBot="1" x14ac:dyDescent="0.3">
      <c r="B81" s="603"/>
      <c r="C81" s="603"/>
      <c r="D81" s="603"/>
      <c r="E81" s="646"/>
      <c r="F81" s="646"/>
      <c r="G81" s="661"/>
      <c r="H81" s="603"/>
    </row>
    <row r="82" spans="2:22" ht="14.55" x14ac:dyDescent="0.25">
      <c r="B82" s="662"/>
      <c r="C82" s="1417"/>
      <c r="D82" s="597" t="s">
        <v>135</v>
      </c>
      <c r="E82" s="664"/>
      <c r="F82" s="656"/>
      <c r="G82" s="603"/>
      <c r="H82" s="665">
        <f>IF(G80=0,0,G77+((G78*G79)/G80))</f>
        <v>0</v>
      </c>
      <c r="J82" s="665">
        <f>IF(I80=0,0,I77+((I78*I79)/I80))</f>
        <v>0</v>
      </c>
      <c r="L82" s="1476">
        <f>IF(K80=0,0,K77+((K78*K79)/K80))</f>
        <v>0</v>
      </c>
      <c r="M82" s="1477"/>
      <c r="N82" s="656"/>
    </row>
    <row r="83" spans="2:22" ht="14.55" x14ac:dyDescent="0.25">
      <c r="B83" s="666" t="s">
        <v>338</v>
      </c>
      <c r="C83" s="1417"/>
      <c r="D83" s="597" t="s">
        <v>318</v>
      </c>
      <c r="E83" s="664"/>
      <c r="F83" s="656"/>
      <c r="G83" s="603"/>
      <c r="H83" s="667">
        <f>((H86-H82)*0.25)+H82</f>
        <v>0</v>
      </c>
      <c r="J83" s="667">
        <f>((J86-J82)*0.25)+J82</f>
        <v>0</v>
      </c>
      <c r="L83" s="1478">
        <f>((L86-L82)*0.25)+L82</f>
        <v>0</v>
      </c>
      <c r="M83" s="1479"/>
      <c r="N83" s="656"/>
    </row>
    <row r="84" spans="2:22" ht="14.55" x14ac:dyDescent="0.25">
      <c r="B84" s="666"/>
      <c r="C84" s="1417"/>
      <c r="D84" s="597" t="s">
        <v>319</v>
      </c>
      <c r="E84" s="664"/>
      <c r="F84" s="656"/>
      <c r="G84" s="603"/>
      <c r="H84" s="667">
        <f>(H86+H82)/2</f>
        <v>0</v>
      </c>
      <c r="J84" s="667">
        <f>(J86+J82)/2</f>
        <v>0</v>
      </c>
      <c r="L84" s="1478">
        <f>(L86+L82)/2</f>
        <v>0</v>
      </c>
      <c r="M84" s="1479"/>
      <c r="N84" s="656"/>
    </row>
    <row r="85" spans="2:22" ht="14.55" x14ac:dyDescent="0.25">
      <c r="B85" s="666" t="s">
        <v>339</v>
      </c>
      <c r="C85" s="1417"/>
      <c r="D85" s="597" t="s">
        <v>320</v>
      </c>
      <c r="E85" s="664"/>
      <c r="F85" s="656"/>
      <c r="G85" s="603"/>
      <c r="H85" s="667">
        <f>((H86-H82)*0.75)+H82</f>
        <v>0</v>
      </c>
      <c r="J85" s="667">
        <f>((J86-J82)*0.75)+J82</f>
        <v>0</v>
      </c>
      <c r="L85" s="1478">
        <f>((L86-L82)*0.75)+L82</f>
        <v>0</v>
      </c>
      <c r="M85" s="1479"/>
      <c r="N85" s="656"/>
    </row>
    <row r="86" spans="2:22" ht="15.2" thickBot="1" x14ac:dyDescent="0.3">
      <c r="B86" s="668"/>
      <c r="C86" s="1417"/>
      <c r="D86" s="597" t="s">
        <v>321</v>
      </c>
      <c r="E86" s="664"/>
      <c r="F86" s="656"/>
      <c r="G86" s="603"/>
      <c r="H86" s="669">
        <f>IF(H80=0,0,H77+((H78*H79)/H80))</f>
        <v>0</v>
      </c>
      <c r="J86" s="669">
        <f>IF(J80=0,0,J77+((J78*J79)/J80))</f>
        <v>0</v>
      </c>
      <c r="L86" s="1480">
        <f>IF(L80=0,0,L77+((L78*L79)/L80))</f>
        <v>0</v>
      </c>
      <c r="M86" s="1481"/>
      <c r="N86" s="656"/>
    </row>
    <row r="88" spans="2:22" ht="15.2" thickBot="1" x14ac:dyDescent="0.35">
      <c r="B88" s="603"/>
      <c r="C88" s="603"/>
      <c r="D88" s="603"/>
      <c r="E88" s="603"/>
      <c r="F88" s="603"/>
      <c r="G88" s="1418" t="s">
        <v>322</v>
      </c>
      <c r="H88" s="1418"/>
      <c r="I88" s="1414" t="s">
        <v>323</v>
      </c>
      <c r="J88" s="1414"/>
      <c r="K88" s="1466" t="s">
        <v>324</v>
      </c>
      <c r="L88" s="1466"/>
      <c r="M88" s="1466"/>
      <c r="N88" s="633"/>
    </row>
    <row r="89" spans="2:22" ht="15.2" thickBot="1" x14ac:dyDescent="0.3">
      <c r="B89" s="1402" t="s">
        <v>340</v>
      </c>
      <c r="C89" s="1403"/>
      <c r="D89" s="1403"/>
      <c r="E89" s="1404"/>
      <c r="F89" s="603"/>
      <c r="G89" s="670">
        <f>G43</f>
        <v>1</v>
      </c>
      <c r="H89" s="671">
        <f>IF($G$44="Basishonorarsatz",H82,IF($G$44="Viertelsatz",H83,IF($G$44="Mittelsatz",H84,IF($G$44="Dreiviertelsatz",H85,H86))))</f>
        <v>0</v>
      </c>
      <c r="I89" s="726"/>
      <c r="J89" s="727">
        <f>IF($G$44="Basishonorarsatz",J82,IF($G$44="Viertelsatz",J83,IF($G$44="Mittelsatz",J84,IF($G$44="Dreiviertelsatz",J85,J86))))</f>
        <v>0</v>
      </c>
      <c r="K89" s="726"/>
      <c r="L89" s="1412">
        <f>IF($G$44="Basishonorarsatz",L82,IF($G$44="Viertelsatz",L83,IF($G$44="Mittelsatz",L84,IF($G$44="Dreiviertelsatz",L85,L86))))</f>
        <v>0</v>
      </c>
      <c r="M89" s="1413"/>
      <c r="N89" s="728"/>
    </row>
    <row r="90" spans="2:22" ht="14.55" thickBot="1" x14ac:dyDescent="0.3">
      <c r="B90" s="641" t="s">
        <v>341</v>
      </c>
    </row>
    <row r="91" spans="2:22" ht="15" customHeight="1" thickBot="1" x14ac:dyDescent="0.3">
      <c r="B91" s="641" t="s">
        <v>342</v>
      </c>
      <c r="G91" s="678"/>
      <c r="H91" s="1633" t="s">
        <v>343</v>
      </c>
      <c r="I91" s="1634"/>
      <c r="J91" s="1634"/>
      <c r="K91" s="1635"/>
      <c r="L91" s="790"/>
      <c r="M91" s="791"/>
    </row>
    <row r="92" spans="2:22" ht="14.55" thickBot="1" x14ac:dyDescent="0.3">
      <c r="B92" s="641" t="s">
        <v>344</v>
      </c>
      <c r="G92" s="679"/>
      <c r="H92" s="1636" t="s">
        <v>539</v>
      </c>
      <c r="I92" s="1637"/>
      <c r="J92" s="1467" t="s">
        <v>346</v>
      </c>
      <c r="K92" s="1468"/>
      <c r="L92" s="741"/>
      <c r="M92" s="741"/>
      <c r="T92" s="630"/>
      <c r="U92" s="630"/>
      <c r="V92" s="630"/>
    </row>
    <row r="93" spans="2:22" ht="14.55" x14ac:dyDescent="0.3">
      <c r="B93" s="641" t="s">
        <v>349</v>
      </c>
      <c r="G93" s="680">
        <v>1</v>
      </c>
      <c r="H93" s="1638">
        <f>IF('Bauphysik - Bauakustik'!T37="ja",'Bauphysik - Bauakustik'!J37,0)</f>
        <v>0</v>
      </c>
      <c r="I93" s="1639"/>
      <c r="J93" s="1801">
        <f>IF('Bauphysik - Bauakustik'!T37="ja",'Bauphysik - Bauakustik'!L43,0)</f>
        <v>0</v>
      </c>
      <c r="K93" s="1802"/>
      <c r="L93" s="741">
        <f>H93+J93</f>
        <v>0</v>
      </c>
      <c r="M93" s="741"/>
      <c r="T93" s="594"/>
      <c r="U93" s="594"/>
      <c r="V93" s="594"/>
    </row>
    <row r="94" spans="2:22" ht="14.55" x14ac:dyDescent="0.3">
      <c r="G94" s="682">
        <v>2</v>
      </c>
      <c r="H94" s="1408">
        <f>IF('Bauphysik - Bauakustik'!T44="ja",'Bauphysik - Bauakustik'!J44,0)</f>
        <v>0</v>
      </c>
      <c r="I94" s="1409"/>
      <c r="J94" s="1437">
        <f>IF('Bauphysik - Bauakustik'!T44="ja",'Bauphysik - Bauakustik'!L56,0)</f>
        <v>0</v>
      </c>
      <c r="K94" s="1438"/>
      <c r="L94" s="741">
        <f t="shared" ref="L94:L99" si="5">H94+J94</f>
        <v>0</v>
      </c>
      <c r="M94" s="741"/>
      <c r="T94" s="733"/>
      <c r="U94" s="734"/>
      <c r="V94" s="733"/>
    </row>
    <row r="95" spans="2:22" ht="14.55" x14ac:dyDescent="0.3">
      <c r="B95" s="641" t="s">
        <v>341</v>
      </c>
      <c r="G95" s="682">
        <v>3</v>
      </c>
      <c r="H95" s="1408">
        <f>IF('Bauphysik - Bauakustik'!T60="ja",'Bauphysik - Bauakustik'!J60,0)</f>
        <v>0</v>
      </c>
      <c r="I95" s="1409"/>
      <c r="J95" s="1437">
        <f>IF('Bauphysik - Bauakustik'!T60="ja",'Bauphysik - Bauakustik'!L73,0)</f>
        <v>0</v>
      </c>
      <c r="K95" s="1438"/>
      <c r="L95" s="741">
        <f t="shared" si="5"/>
        <v>0</v>
      </c>
      <c r="M95" s="741"/>
      <c r="T95" s="735"/>
      <c r="U95" s="734"/>
      <c r="V95" s="736"/>
    </row>
    <row r="96" spans="2:22" ht="14.55" x14ac:dyDescent="0.3">
      <c r="B96" s="641" t="s">
        <v>350</v>
      </c>
      <c r="G96" s="682">
        <v>4</v>
      </c>
      <c r="H96" s="1408">
        <f>IF('Bauphysik - Bauakustik'!T77="ja",'Bauphysik - Bauakustik'!J77,0)</f>
        <v>0</v>
      </c>
      <c r="I96" s="1409"/>
      <c r="J96" s="1437">
        <f>IF('Bauphysik - Bauakustik'!T77="ja",'Bauphysik - Bauakustik'!L88,0)</f>
        <v>0</v>
      </c>
      <c r="K96" s="1438"/>
      <c r="L96" s="741">
        <f t="shared" si="5"/>
        <v>0</v>
      </c>
      <c r="M96" s="741"/>
      <c r="T96" s="735"/>
      <c r="U96" s="734"/>
      <c r="V96" s="736"/>
    </row>
    <row r="97" spans="2:22" ht="14.55" x14ac:dyDescent="0.3">
      <c r="G97" s="682" t="s">
        <v>351</v>
      </c>
      <c r="H97" s="1408">
        <f>IF('Bauphysik - Bauakustik'!T89="ja",'Bauphysik - Bauakustik'!J89,0)</f>
        <v>0</v>
      </c>
      <c r="I97" s="1409"/>
      <c r="J97" s="1437">
        <f>IF('Bauphysik - Bauakustik'!T89="ja",'Bauphysik - Bauakustik'!R89,0)</f>
        <v>0</v>
      </c>
      <c r="K97" s="1438"/>
      <c r="L97" s="741">
        <f t="shared" si="5"/>
        <v>0</v>
      </c>
      <c r="M97" s="741"/>
      <c r="T97" s="735"/>
      <c r="U97" s="734"/>
      <c r="V97" s="736"/>
    </row>
    <row r="98" spans="2:22" ht="14.55" x14ac:dyDescent="0.3">
      <c r="G98" s="682" t="s">
        <v>352</v>
      </c>
      <c r="H98" s="1408">
        <f>IF('Bauphysik - Bauakustik'!T92="ja",'Bauphysik - Bauakustik'!J92,0)</f>
        <v>0</v>
      </c>
      <c r="I98" s="1409"/>
      <c r="J98" s="1437">
        <f>IF('Bauphysik - Bauakustik'!T92="ja",'Bauphysik - Bauakustik'!R92,0)</f>
        <v>0</v>
      </c>
      <c r="K98" s="1438"/>
      <c r="L98" s="741">
        <f t="shared" si="5"/>
        <v>0</v>
      </c>
      <c r="M98" s="741"/>
      <c r="T98" s="735"/>
      <c r="U98" s="734"/>
      <c r="V98" s="736"/>
    </row>
    <row r="99" spans="2:22" ht="14.55" x14ac:dyDescent="0.3">
      <c r="G99" s="683">
        <v>6</v>
      </c>
      <c r="H99" s="1408">
        <f>IF('Bauphysik - Bauakustik'!T96="ja",'Bauphysik - Bauakustik'!J96,0)</f>
        <v>0</v>
      </c>
      <c r="I99" s="1409"/>
      <c r="J99" s="1437">
        <f>IF('Bauphysik - Bauakustik'!T96="ja",'Bauphysik - Bauakustik'!L102,0)</f>
        <v>0</v>
      </c>
      <c r="K99" s="1438"/>
      <c r="L99" s="741">
        <f t="shared" si="5"/>
        <v>0</v>
      </c>
      <c r="M99" s="741"/>
      <c r="T99" s="735"/>
      <c r="U99" s="734"/>
      <c r="V99" s="736"/>
    </row>
    <row r="100" spans="2:22" ht="15.2" thickBot="1" x14ac:dyDescent="0.35">
      <c r="G100" s="792">
        <v>7</v>
      </c>
      <c r="H100" s="1408">
        <f>IF('Bauphysik - Bauakustik'!T103="ja",'Bauphysik - Bauakustik'!J103,0)</f>
        <v>0</v>
      </c>
      <c r="I100" s="1409"/>
      <c r="J100" s="1437">
        <f>IF('Bauphysik - Bauakustik'!T103="ja",'Bauphysik - Bauakustik'!L109,0)</f>
        <v>0</v>
      </c>
      <c r="K100" s="1438"/>
      <c r="L100" s="741"/>
      <c r="M100" s="741"/>
      <c r="T100" s="735"/>
      <c r="U100" s="734"/>
      <c r="V100" s="736"/>
    </row>
    <row r="101" spans="2:22" ht="15.2" thickBot="1" x14ac:dyDescent="0.35">
      <c r="G101" s="685" t="s">
        <v>357</v>
      </c>
      <c r="H101" s="1433">
        <f>SUM(H93:I100)</f>
        <v>0</v>
      </c>
      <c r="I101" s="1434"/>
      <c r="J101" s="1439">
        <f>SUM(J93:K100)</f>
        <v>0</v>
      </c>
      <c r="K101" s="1440"/>
      <c r="L101" s="762"/>
      <c r="M101" s="762"/>
      <c r="T101" s="735"/>
      <c r="U101" s="734"/>
      <c r="V101" s="736"/>
    </row>
    <row r="102" spans="2:22" ht="14.25" customHeight="1" thickBot="1" x14ac:dyDescent="0.35">
      <c r="G102" s="685" t="s">
        <v>540</v>
      </c>
      <c r="H102" s="1431">
        <f>H101*'Bauphysik - Bauakustik'!F21+H101</f>
        <v>0</v>
      </c>
      <c r="I102" s="1432"/>
      <c r="J102" s="740"/>
      <c r="T102" s="735"/>
      <c r="U102" s="734"/>
      <c r="V102" s="736"/>
    </row>
    <row r="103" spans="2:22" ht="14.55" x14ac:dyDescent="0.3">
      <c r="K103" s="741"/>
      <c r="T103" s="735"/>
      <c r="U103" s="734"/>
      <c r="V103" s="736"/>
    </row>
    <row r="104" spans="2:22" ht="15.2" thickBot="1" x14ac:dyDescent="0.35">
      <c r="T104" s="735"/>
      <c r="U104" s="734"/>
      <c r="V104" s="736"/>
    </row>
    <row r="105" spans="2:22" ht="15.2" thickBot="1" x14ac:dyDescent="0.35">
      <c r="B105" s="688" t="s">
        <v>105</v>
      </c>
      <c r="C105" s="689" t="s">
        <v>285</v>
      </c>
      <c r="D105" s="690" t="s">
        <v>286</v>
      </c>
      <c r="E105" s="690" t="s">
        <v>287</v>
      </c>
      <c r="F105" s="690" t="s">
        <v>288</v>
      </c>
      <c r="G105" s="690" t="s">
        <v>289</v>
      </c>
      <c r="H105" s="690" t="s">
        <v>290</v>
      </c>
      <c r="I105" s="690"/>
      <c r="J105" s="690"/>
      <c r="K105" s="690"/>
      <c r="L105" s="690"/>
      <c r="M105" s="690" t="s">
        <v>295</v>
      </c>
      <c r="N105" s="690" t="s">
        <v>296</v>
      </c>
      <c r="O105" s="690"/>
      <c r="P105" s="690"/>
      <c r="Q105" s="793" t="s">
        <v>360</v>
      </c>
      <c r="T105" s="735"/>
      <c r="U105" s="734"/>
      <c r="V105" s="736"/>
    </row>
    <row r="106" spans="2:22" ht="14.55" x14ac:dyDescent="0.3">
      <c r="B106" s="692">
        <f>IF(Überblick!$H$53&gt;=1,1,"")</f>
        <v>1</v>
      </c>
      <c r="C106" s="794">
        <f>IF($B106='Bauphysik - Bauakustik'!$U$37,'Bauphysik - Bauakustik'!$J$37*'Bauphysik - Bauakustik'!$F$21+'Bauphysik - Bauakustik'!$J$37+'Bauphysik - Bauakustik'!$R$37+'Bauphysik - Bauakustik'!$R$40+'Bauphysik - Bauakustik'!$R$39+'Bauphysik - Bauakustik'!$R$42,0)</f>
        <v>0</v>
      </c>
      <c r="D106" s="745">
        <f>IF($B106='Bauphysik - Bauakustik'!$U$44,'Bauphysik - Bauakustik'!$J$44*'Bauphysik - Bauakustik'!$F$21+'Bauphysik - Bauakustik'!$J$44+'Bauphysik - Bauakustik'!$L$56,0)</f>
        <v>0</v>
      </c>
      <c r="E106" s="745">
        <f>IF($B106='Bauphysik - Bauakustik'!$U$60,'Bauphysik - Bauakustik'!$J$60*'Bauphysik - Bauakustik'!$F$21+'Bauphysik - Bauakustik'!$J$60+'Bauphysik - Bauakustik'!$L$73,0)</f>
        <v>0</v>
      </c>
      <c r="F106" s="745">
        <f>IF($B106='Bauphysik - Bauakustik'!$U$77,'Bauphysik - Bauakustik'!$J$77*'Bauphysik - Bauakustik'!$F$21+'Bauphysik - Bauakustik'!$J$77+'Bauphysik - Bauakustik'!$L$88,0)</f>
        <v>0</v>
      </c>
      <c r="G106" s="745">
        <f>IF($B106='Bauphysik - Bauakustik'!$U$89,'Bauphysik - Bauakustik'!$J$89*'Bauphysik - Bauakustik'!$F$21+'Bauphysik - Bauakustik'!$J$89+'Bauphysik - Bauakustik'!$R$89+'Bauphysik - Bauakustik'!$R$90+'Bauphysik - Bauakustik'!$R$91,0)</f>
        <v>0</v>
      </c>
      <c r="H106" s="745">
        <f>IF($B106='Bauphysik - Bauakustik'!$U$92,'Bauphysik - Bauakustik'!$J$92*'Bauphysik - Bauakustik'!$F$21+'Bauphysik - Bauakustik'!$J$92+'Bauphysik - Bauakustik'!$R$92,0)</f>
        <v>0</v>
      </c>
      <c r="I106" s="745"/>
      <c r="J106" s="745"/>
      <c r="K106" s="745"/>
      <c r="L106" s="745"/>
      <c r="M106" s="745">
        <f>IF($B106='Bauphysik - Bauakustik'!$U$96,'Bauphysik - Bauakustik'!$J$96*'Bauphysik - Bauakustik'!$F$21+'Bauphysik - Bauakustik'!$J$96+'Bauphysik - Bauakustik'!$L$102,0)</f>
        <v>0</v>
      </c>
      <c r="N106" s="745">
        <f>IF($B106='Bauphysik - Bauakustik'!$U$103,'Bauphysik - Bauakustik'!$J$103*'Bauphysik - Bauakustik'!$F$21+'Bauphysik - Bauakustik'!$J$103+'Bauphysik - Bauakustik'!$L$109,0)</f>
        <v>0</v>
      </c>
      <c r="O106" s="745"/>
      <c r="P106" s="745"/>
      <c r="Q106" s="795">
        <f>SUM(C106:P106)</f>
        <v>0</v>
      </c>
      <c r="T106" s="735"/>
      <c r="U106" s="734"/>
      <c r="V106" s="736"/>
    </row>
    <row r="107" spans="2:22" ht="14.55" x14ac:dyDescent="0.3">
      <c r="B107" s="696">
        <f>IF(Überblick!$H$53&gt;=2,2,"")</f>
        <v>2</v>
      </c>
      <c r="C107" s="796">
        <f>IF($B107='Bauphysik - Bauakustik'!$U$37,'Bauphysik - Bauakustik'!$J$37*'Bauphysik - Bauakustik'!$F$21+'Bauphysik - Bauakustik'!$J$37+'Bauphysik - Bauakustik'!$R$37+'Bauphysik - Bauakustik'!$R$40,0)</f>
        <v>0</v>
      </c>
      <c r="D107" s="749">
        <f>IF($B107='Bauphysik - Bauakustik'!$U$44,'Bauphysik - Bauakustik'!$J$44*'Bauphysik - Bauakustik'!$F$21+'Bauphysik - Bauakustik'!$J$44+'Bauphysik - Bauakustik'!$L$56,0)</f>
        <v>0</v>
      </c>
      <c r="E107" s="749">
        <f>IF($B107='Bauphysik - Bauakustik'!$U$60,'Bauphysik - Bauakustik'!$J$60*'Bauphysik - Bauakustik'!$F$21+'Bauphysik - Bauakustik'!$J$60+'Bauphysik - Bauakustik'!$L$73,0)</f>
        <v>0</v>
      </c>
      <c r="F107" s="749">
        <f>IF($B107='Bauphysik - Bauakustik'!$U$77,'Bauphysik - Bauakustik'!$J$77*'Bauphysik - Bauakustik'!$F$21+'Bauphysik - Bauakustik'!$J$77+'Bauphysik - Bauakustik'!$L$88,0)</f>
        <v>0</v>
      </c>
      <c r="G107" s="749">
        <f>IF($B107='Bauphysik - Bauakustik'!$U$89,'Bauphysik - Bauakustik'!$J$89*'Bauphysik - Bauakustik'!$F$21+'Bauphysik - Bauakustik'!$J$89+'Bauphysik - Bauakustik'!$R$89+'Bauphysik - Bauakustik'!$R$90+'Bauphysik - Bauakustik'!$R$91,0)</f>
        <v>0</v>
      </c>
      <c r="H107" s="749">
        <f>IF($B107='Bauphysik - Bauakustik'!$U$92,'Bauphysik - Bauakustik'!$J$92*'Bauphysik - Bauakustik'!$F$21+'Bauphysik - Bauakustik'!$J$92+'Bauphysik - Bauakustik'!$R$92,0)</f>
        <v>0</v>
      </c>
      <c r="I107" s="749"/>
      <c r="J107" s="749"/>
      <c r="K107" s="749"/>
      <c r="L107" s="749"/>
      <c r="M107" s="749">
        <f>IF($B107='Bauphysik - Bauakustik'!$U$96,'Bauphysik - Bauakustik'!$J$96*'Bauphysik - Bauakustik'!$F$21+'Bauphysik - Bauakustik'!$J$96+'Bauphysik - Bauakustik'!$L$102,0)</f>
        <v>0</v>
      </c>
      <c r="N107" s="749">
        <f>IF($B107='Bauphysik - Bauakustik'!$U$103,'Bauphysik - Bauakustik'!$J$103*'Bauphysik - Bauakustik'!$F$21+'Bauphysik - Bauakustik'!$J$103+'Bauphysik - Bauakustik'!$L$109,0)</f>
        <v>0</v>
      </c>
      <c r="O107" s="749"/>
      <c r="P107" s="749"/>
      <c r="Q107" s="797">
        <f t="shared" ref="Q107:Q114" si="6">SUM(C107:P107)</f>
        <v>0</v>
      </c>
      <c r="T107" s="735"/>
      <c r="U107" s="734"/>
      <c r="V107" s="736"/>
    </row>
    <row r="108" spans="2:22" ht="14.55" x14ac:dyDescent="0.3">
      <c r="B108" s="696">
        <f>IF(Überblick!$H$53&gt;=3,3,"")</f>
        <v>3</v>
      </c>
      <c r="C108" s="796">
        <f>IF($B108='Bauphysik - Bauakustik'!$U$37,'Bauphysik - Bauakustik'!$J$37*'Bauphysik - Bauakustik'!$F$21+'Bauphysik - Bauakustik'!$J$37+'Bauphysik - Bauakustik'!$R$37+'Bauphysik - Bauakustik'!$R$40,0)</f>
        <v>0</v>
      </c>
      <c r="D108" s="749">
        <f>IF($B108='Bauphysik - Bauakustik'!$U$44,'Bauphysik - Bauakustik'!$J$44*'Bauphysik - Bauakustik'!$F$21+'Bauphysik - Bauakustik'!$J$44+'Bauphysik - Bauakustik'!$L$56,0)</f>
        <v>0</v>
      </c>
      <c r="E108" s="749">
        <f>IF($B108='Bauphysik - Bauakustik'!$U$60,'Bauphysik - Bauakustik'!$J$60*'Bauphysik - Bauakustik'!$F$21+'Bauphysik - Bauakustik'!$J$60+'Bauphysik - Bauakustik'!$L$73,0)</f>
        <v>0</v>
      </c>
      <c r="F108" s="749">
        <f>IF($B108='Bauphysik - Bauakustik'!$U$77,'Bauphysik - Bauakustik'!$J$77*'Bauphysik - Bauakustik'!$F$21+'Bauphysik - Bauakustik'!$J$77+'Bauphysik - Bauakustik'!$L$88,0)</f>
        <v>0</v>
      </c>
      <c r="G108" s="749">
        <f>IF($B108='Bauphysik - Bauakustik'!$U$89,'Bauphysik - Bauakustik'!$J$89*'Bauphysik - Bauakustik'!$F$21+'Bauphysik - Bauakustik'!$J$89+'Bauphysik - Bauakustik'!$R$89+'Bauphysik - Bauakustik'!$R$90+'Bauphysik - Bauakustik'!$R$91,0)</f>
        <v>0</v>
      </c>
      <c r="H108" s="749">
        <f>IF($B108='Bauphysik - Bauakustik'!$U$92,'Bauphysik - Bauakustik'!$J$92*'Bauphysik - Bauakustik'!$F$21+'Bauphysik - Bauakustik'!$J$92+'Bauphysik - Bauakustik'!$R$92,0)</f>
        <v>0</v>
      </c>
      <c r="I108" s="749"/>
      <c r="J108" s="749"/>
      <c r="K108" s="749"/>
      <c r="L108" s="749"/>
      <c r="M108" s="749">
        <f>IF($B108='Bauphysik - Bauakustik'!$U$96,'Bauphysik - Bauakustik'!$J$96*'Bauphysik - Bauakustik'!$F$21+'Bauphysik - Bauakustik'!$J$96+'Bauphysik - Bauakustik'!$L$102,0)</f>
        <v>0</v>
      </c>
      <c r="N108" s="749">
        <f>IF($B108='Bauphysik - Bauakustik'!$U$103,'Bauphysik - Bauakustik'!$J$103*'Bauphysik - Bauakustik'!$F$21+'Bauphysik - Bauakustik'!$J$103+'Bauphysik - Bauakustik'!$L$109,0)</f>
        <v>0</v>
      </c>
      <c r="O108" s="749"/>
      <c r="P108" s="749"/>
      <c r="Q108" s="797">
        <f t="shared" si="6"/>
        <v>0</v>
      </c>
      <c r="T108" s="735"/>
      <c r="U108" s="734"/>
      <c r="V108" s="736"/>
    </row>
    <row r="109" spans="2:22" ht="14.55" x14ac:dyDescent="0.3">
      <c r="B109" s="696">
        <f>IF(Überblick!$H$53&gt;=4,4,"")</f>
        <v>4</v>
      </c>
      <c r="C109" s="796">
        <f>IF($B109='Bauphysik - Bauakustik'!$U$37,'Bauphysik - Bauakustik'!$J$37*'Bauphysik - Bauakustik'!$F$21+'Bauphysik - Bauakustik'!$J$37+'Bauphysik - Bauakustik'!$R$37+'Bauphysik - Bauakustik'!$R$40,0)</f>
        <v>0</v>
      </c>
      <c r="D109" s="749">
        <f>IF($B109='Bauphysik - Bauakustik'!$U$44,'Bauphysik - Bauakustik'!$J$44*'Bauphysik - Bauakustik'!$F$21+'Bauphysik - Bauakustik'!$J$44+'Bauphysik - Bauakustik'!$L$56,0)</f>
        <v>0</v>
      </c>
      <c r="E109" s="749">
        <f>IF($B109='Bauphysik - Bauakustik'!$U$60,'Bauphysik - Bauakustik'!$J$60*'Bauphysik - Bauakustik'!$F$21+'Bauphysik - Bauakustik'!$J$60+'Bauphysik - Bauakustik'!$L$73,0)</f>
        <v>0</v>
      </c>
      <c r="F109" s="749">
        <f>IF($B109='Bauphysik - Bauakustik'!$U$77,'Bauphysik - Bauakustik'!$J$77*'Bauphysik - Bauakustik'!$F$21+'Bauphysik - Bauakustik'!$J$77+'Bauphysik - Bauakustik'!$L$88,0)</f>
        <v>0</v>
      </c>
      <c r="G109" s="749">
        <f>IF($B109='Bauphysik - Bauakustik'!$U$89,'Bauphysik - Bauakustik'!$J$89*'Bauphysik - Bauakustik'!$F$21+'Bauphysik - Bauakustik'!$J$89+'Bauphysik - Bauakustik'!$R$89+'Bauphysik - Bauakustik'!$R$90+'Bauphysik - Bauakustik'!$R$91,0)</f>
        <v>0</v>
      </c>
      <c r="H109" s="749">
        <f>IF($B109='Bauphysik - Bauakustik'!$U$92,'Bauphysik - Bauakustik'!$J$92*'Bauphysik - Bauakustik'!$F$21+'Bauphysik - Bauakustik'!$J$92+'Bauphysik - Bauakustik'!$R$92,0)</f>
        <v>0</v>
      </c>
      <c r="I109" s="749"/>
      <c r="J109" s="749"/>
      <c r="K109" s="749"/>
      <c r="L109" s="749"/>
      <c r="M109" s="749">
        <f>IF($B109='Bauphysik - Bauakustik'!$U$96,'Bauphysik - Bauakustik'!$J$96*'Bauphysik - Bauakustik'!$F$21+'Bauphysik - Bauakustik'!$J$96+'Bauphysik - Bauakustik'!$L$102,0)</f>
        <v>0</v>
      </c>
      <c r="N109" s="749">
        <f>IF($B109='Bauphysik - Bauakustik'!$U$103,'Bauphysik - Bauakustik'!$J$103*'Bauphysik - Bauakustik'!$F$21+'Bauphysik - Bauakustik'!$J$103+'Bauphysik - Bauakustik'!$L$109,0)</f>
        <v>0</v>
      </c>
      <c r="O109" s="749"/>
      <c r="P109" s="749"/>
      <c r="Q109" s="797">
        <f>SUM(C109:P109)</f>
        <v>0</v>
      </c>
      <c r="T109" s="735"/>
      <c r="U109" s="734"/>
      <c r="V109" s="736"/>
    </row>
    <row r="110" spans="2:22" ht="14.55" x14ac:dyDescent="0.3">
      <c r="B110" s="696">
        <f>IF(Überblick!$H$53&gt;=5,5,"")</f>
        <v>5</v>
      </c>
      <c r="C110" s="796">
        <f>IF($B110='Bauphysik - Bauakustik'!$U$37,'Bauphysik - Bauakustik'!$J$37*'Bauphysik - Bauakustik'!$F$21+'Bauphysik - Bauakustik'!$J$37+'Bauphysik - Bauakustik'!$R$37+'Bauphysik - Bauakustik'!$R$40,0)</f>
        <v>0</v>
      </c>
      <c r="D110" s="749">
        <f>IF($B110='Bauphysik - Bauakustik'!$U$44,'Bauphysik - Bauakustik'!$J$44*'Bauphysik - Bauakustik'!$F$21+'Bauphysik - Bauakustik'!$J$44+'Bauphysik - Bauakustik'!$L$56,0)</f>
        <v>0</v>
      </c>
      <c r="E110" s="749">
        <f>IF($B110='Bauphysik - Bauakustik'!$U$60,'Bauphysik - Bauakustik'!$J$60*'Bauphysik - Bauakustik'!$F$21+'Bauphysik - Bauakustik'!$J$60+'Bauphysik - Bauakustik'!$L$73,0)</f>
        <v>0</v>
      </c>
      <c r="F110" s="749">
        <f>IF($B110='Bauphysik - Bauakustik'!$U$77,'Bauphysik - Bauakustik'!$J$77*'Bauphysik - Bauakustik'!$F$21+'Bauphysik - Bauakustik'!$J$77+'Bauphysik - Bauakustik'!$L$88,0)</f>
        <v>0</v>
      </c>
      <c r="G110" s="749">
        <f>IF($B110='Bauphysik - Bauakustik'!$U$89,'Bauphysik - Bauakustik'!$J$89*'Bauphysik - Bauakustik'!$F$21+'Bauphysik - Bauakustik'!$J$89+'Bauphysik - Bauakustik'!$R$89+'Bauphysik - Bauakustik'!$R$90+'Bauphysik - Bauakustik'!$R$91,0)</f>
        <v>0</v>
      </c>
      <c r="H110" s="749">
        <f>IF($B110='Bauphysik - Bauakustik'!$U$92,'Bauphysik - Bauakustik'!$J$92*'Bauphysik - Bauakustik'!$F$21+'Bauphysik - Bauakustik'!$J$92+'Bauphysik - Bauakustik'!$R$92,0)</f>
        <v>0</v>
      </c>
      <c r="I110" s="749"/>
      <c r="J110" s="749"/>
      <c r="K110" s="749"/>
      <c r="L110" s="749"/>
      <c r="M110" s="749">
        <f>IF($B110='Bauphysik - Bauakustik'!$U$96,'Bauphysik - Bauakustik'!$J$96*'Bauphysik - Bauakustik'!$F$21+'Bauphysik - Bauakustik'!$J$96+'Bauphysik - Bauakustik'!$L$102,0)</f>
        <v>0</v>
      </c>
      <c r="N110" s="749">
        <f>IF($B110='Bauphysik - Bauakustik'!$U$103,'Bauphysik - Bauakustik'!$J$103*'Bauphysik - Bauakustik'!$F$21+'Bauphysik - Bauakustik'!$J$103+'Bauphysik - Bauakustik'!$L$109,0)</f>
        <v>0</v>
      </c>
      <c r="O110" s="749"/>
      <c r="P110" s="749"/>
      <c r="Q110" s="797">
        <f t="shared" si="6"/>
        <v>0</v>
      </c>
      <c r="T110" s="735"/>
      <c r="U110" s="734"/>
      <c r="V110" s="736"/>
    </row>
    <row r="111" spans="2:22" ht="14.55" x14ac:dyDescent="0.3">
      <c r="B111" s="696">
        <f>IF(Überblick!$H$53&gt;=6,6,"")</f>
        <v>6</v>
      </c>
      <c r="C111" s="796">
        <f>IF($B111='Bauphysik - Bauakustik'!$U$37,'Bauphysik - Bauakustik'!$J$37*'Bauphysik - Bauakustik'!$F$21+'Bauphysik - Bauakustik'!$J$37+'Bauphysik - Bauakustik'!$R$37+'Bauphysik - Bauakustik'!$R$40,0)</f>
        <v>0</v>
      </c>
      <c r="D111" s="749">
        <f>IF($B111='Bauphysik - Bauakustik'!$U$44,'Bauphysik - Bauakustik'!$J$44*'Bauphysik - Bauakustik'!$F$21+'Bauphysik - Bauakustik'!$J$44+'Bauphysik - Bauakustik'!$L$56,0)</f>
        <v>0</v>
      </c>
      <c r="E111" s="749">
        <f>IF($B111='Bauphysik - Bauakustik'!$U$60,'Bauphysik - Bauakustik'!$J$60*'Bauphysik - Bauakustik'!$F$21+'Bauphysik - Bauakustik'!$J$60+'Bauphysik - Bauakustik'!$L$73,0)</f>
        <v>0</v>
      </c>
      <c r="F111" s="749">
        <f>IF($B111='Bauphysik - Bauakustik'!$U$77,'Bauphysik - Bauakustik'!$J$77*'Bauphysik - Bauakustik'!$F$21+'Bauphysik - Bauakustik'!$J$77+'Bauphysik - Bauakustik'!$L$88,0)</f>
        <v>0</v>
      </c>
      <c r="G111" s="749">
        <f>IF($B111='Bauphysik - Bauakustik'!$U$89,'Bauphysik - Bauakustik'!$J$89*'Bauphysik - Bauakustik'!$F$21+'Bauphysik - Bauakustik'!$J$89+'Bauphysik - Bauakustik'!$R$89+'Bauphysik - Bauakustik'!$R$90+'Bauphysik - Bauakustik'!$R$91,0)</f>
        <v>0</v>
      </c>
      <c r="H111" s="749">
        <f>IF($B111='Bauphysik - Bauakustik'!$U$92,'Bauphysik - Bauakustik'!$J$92*'Bauphysik - Bauakustik'!$F$21+'Bauphysik - Bauakustik'!$J$92+'Bauphysik - Bauakustik'!$R$92,0)</f>
        <v>0</v>
      </c>
      <c r="I111" s="749"/>
      <c r="J111" s="749"/>
      <c r="K111" s="749"/>
      <c r="L111" s="749"/>
      <c r="M111" s="749">
        <f>IF($B111='Bauphysik - Bauakustik'!$U$96,'Bauphysik - Bauakustik'!$J$96*'Bauphysik - Bauakustik'!$F$21+'Bauphysik - Bauakustik'!$J$96+'Bauphysik - Bauakustik'!$L$102,0)</f>
        <v>0</v>
      </c>
      <c r="N111" s="749">
        <f>IF($B111='Bauphysik - Bauakustik'!$U$103,'Bauphysik - Bauakustik'!$J$103*'Bauphysik - Bauakustik'!$F$21+'Bauphysik - Bauakustik'!$J$103+'Bauphysik - Bauakustik'!$L$109,0)</f>
        <v>0</v>
      </c>
      <c r="O111" s="749"/>
      <c r="P111" s="749"/>
      <c r="Q111" s="797">
        <f t="shared" si="6"/>
        <v>0</v>
      </c>
      <c r="T111" s="735"/>
      <c r="U111" s="734"/>
      <c r="V111" s="736"/>
    </row>
    <row r="112" spans="2:22" ht="14.55" x14ac:dyDescent="0.3">
      <c r="B112" s="696" t="str">
        <f>IF(Überblick!$H$53&gt;=7,7,"")</f>
        <v/>
      </c>
      <c r="C112" s="796">
        <f>IF($B112='Bauphysik - Bauakustik'!$U$37,'Bauphysik - Bauakustik'!$J$37*'Bauphysik - Bauakustik'!$F$21+'Bauphysik - Bauakustik'!$J$37+'Bauphysik - Bauakustik'!$R$37+'Bauphysik - Bauakustik'!$R$40,0)</f>
        <v>0</v>
      </c>
      <c r="D112" s="749">
        <f>IF($B112='Bauphysik - Bauakustik'!$U$44,'Bauphysik - Bauakustik'!$J$44*'Bauphysik - Bauakustik'!$F$21+'Bauphysik - Bauakustik'!$J$44+'Bauphysik - Bauakustik'!$L$56,0)</f>
        <v>0</v>
      </c>
      <c r="E112" s="749">
        <f>IF($B112='Bauphysik - Bauakustik'!$U$60,'Bauphysik - Bauakustik'!$J$60*'Bauphysik - Bauakustik'!$F$21+'Bauphysik - Bauakustik'!$J$60+'Bauphysik - Bauakustik'!$L$73,0)</f>
        <v>0</v>
      </c>
      <c r="F112" s="749">
        <f>IF($B112='Bauphysik - Bauakustik'!$U$77,'Bauphysik - Bauakustik'!$J$77*'Bauphysik - Bauakustik'!$F$21+'Bauphysik - Bauakustik'!$J$77+'Bauphysik - Bauakustik'!$L$88,0)</f>
        <v>0</v>
      </c>
      <c r="G112" s="749">
        <f>IF($B112='Bauphysik - Bauakustik'!$U$89,'Bauphysik - Bauakustik'!$J$89*'Bauphysik - Bauakustik'!$F$21+'Bauphysik - Bauakustik'!$J$89+'Bauphysik - Bauakustik'!$R$89+'Bauphysik - Bauakustik'!$R$90+'Bauphysik - Bauakustik'!$R$91,0)</f>
        <v>0</v>
      </c>
      <c r="H112" s="749">
        <f>IF($B112='Bauphysik - Bauakustik'!$U$92,'Bauphysik - Bauakustik'!$J$92*'Bauphysik - Bauakustik'!$F$21+'Bauphysik - Bauakustik'!$J$92+'Bauphysik - Bauakustik'!$R$92,0)</f>
        <v>0</v>
      </c>
      <c r="I112" s="749"/>
      <c r="J112" s="749"/>
      <c r="K112" s="749"/>
      <c r="L112" s="749"/>
      <c r="M112" s="749">
        <f>IF($B112='Bauphysik - Bauakustik'!$U$96,'Bauphysik - Bauakustik'!$J$96*'Bauphysik - Bauakustik'!$F$21+'Bauphysik - Bauakustik'!$J$96+'Bauphysik - Bauakustik'!$L$102,0)</f>
        <v>0</v>
      </c>
      <c r="N112" s="749">
        <f>IF($B112='Bauphysik - Bauakustik'!$U$103,'Bauphysik - Bauakustik'!$J$103*'Bauphysik - Bauakustik'!$F$21+'Bauphysik - Bauakustik'!$J$103+'Bauphysik - Bauakustik'!$L$109,0)</f>
        <v>0</v>
      </c>
      <c r="O112" s="749"/>
      <c r="P112" s="749"/>
      <c r="Q112" s="797">
        <f t="shared" si="6"/>
        <v>0</v>
      </c>
      <c r="T112" s="735"/>
      <c r="U112" s="734"/>
      <c r="V112" s="736"/>
    </row>
    <row r="113" spans="2:22" ht="14.55" x14ac:dyDescent="0.3">
      <c r="B113" s="696" t="str">
        <f>IF(Überblick!$H$53&gt;=8,8,"")</f>
        <v/>
      </c>
      <c r="C113" s="796">
        <f>IF($B113='Bauphysik - Bauakustik'!$U$37,'Bauphysik - Bauakustik'!$J$37*'Bauphysik - Bauakustik'!$F$21+'Bauphysik - Bauakustik'!$J$37+'Bauphysik - Bauakustik'!$R$37+'Bauphysik - Bauakustik'!$R$40,0)</f>
        <v>0</v>
      </c>
      <c r="D113" s="749">
        <f>IF($B113='Bauphysik - Bauakustik'!$U$44,'Bauphysik - Bauakustik'!$J$44*'Bauphysik - Bauakustik'!$F$21+'Bauphysik - Bauakustik'!$J$44+'Bauphysik - Bauakustik'!$L$56,0)</f>
        <v>0</v>
      </c>
      <c r="E113" s="749">
        <f>IF($B113='Bauphysik - Bauakustik'!$U$60,'Bauphysik - Bauakustik'!$J$60*'Bauphysik - Bauakustik'!$F$21+'Bauphysik - Bauakustik'!$J$60+'Bauphysik - Bauakustik'!$L$73,0)</f>
        <v>0</v>
      </c>
      <c r="F113" s="749">
        <f>IF($B113='Bauphysik - Bauakustik'!$U$77,'Bauphysik - Bauakustik'!$J$77*'Bauphysik - Bauakustik'!$F$21+'Bauphysik - Bauakustik'!$J$77+'Bauphysik - Bauakustik'!$L$88,0)</f>
        <v>0</v>
      </c>
      <c r="G113" s="749">
        <f>IF($B113='Bauphysik - Bauakustik'!$U$89,'Bauphysik - Bauakustik'!$J$89*'Bauphysik - Bauakustik'!$F$21+'Bauphysik - Bauakustik'!$J$89+'Bauphysik - Bauakustik'!$R$89+'Bauphysik - Bauakustik'!$R$90+'Bauphysik - Bauakustik'!$R$91,0)</f>
        <v>0</v>
      </c>
      <c r="H113" s="749">
        <f>IF($B113='Bauphysik - Bauakustik'!$U$92,'Bauphysik - Bauakustik'!$J$92*'Bauphysik - Bauakustik'!$F$21+'Bauphysik - Bauakustik'!$J$92+'Bauphysik - Bauakustik'!$R$92,0)</f>
        <v>0</v>
      </c>
      <c r="I113" s="749"/>
      <c r="J113" s="749"/>
      <c r="K113" s="749"/>
      <c r="L113" s="749"/>
      <c r="M113" s="749">
        <f>IF($B113='Bauphysik - Bauakustik'!$U$96,'Bauphysik - Bauakustik'!$J$96*'Bauphysik - Bauakustik'!$F$21+'Bauphysik - Bauakustik'!$J$96+'Bauphysik - Bauakustik'!$L$102,0)</f>
        <v>0</v>
      </c>
      <c r="N113" s="749">
        <f>IF($B113='Bauphysik - Bauakustik'!$U$103,'Bauphysik - Bauakustik'!$J$103*'Bauphysik - Bauakustik'!$F$21+'Bauphysik - Bauakustik'!$J$103+'Bauphysik - Bauakustik'!$L$109,0)</f>
        <v>0</v>
      </c>
      <c r="O113" s="749"/>
      <c r="P113" s="749"/>
      <c r="Q113" s="797">
        <f t="shared" si="6"/>
        <v>0</v>
      </c>
      <c r="T113" s="735"/>
      <c r="U113" s="734"/>
      <c r="V113" s="736"/>
    </row>
    <row r="114" spans="2:22" ht="15.2" thickBot="1" x14ac:dyDescent="0.35">
      <c r="B114" s="700" t="str">
        <f>IF(Überblick!$H$53&gt;=9,9,"")</f>
        <v/>
      </c>
      <c r="C114" s="798">
        <f>IF($B114='Bauphysik - Bauakustik'!$U$37,'Bauphysik - Bauakustik'!$J$37*'Bauphysik - Bauakustik'!$F$21+'Bauphysik - Bauakustik'!$J$37+'Bauphysik - Bauakustik'!$R$37+'Bauphysik - Bauakustik'!$R$40,0)</f>
        <v>0</v>
      </c>
      <c r="D114" s="754">
        <f>IF($B114='Bauphysik - Bauakustik'!$U$44,'Bauphysik - Bauakustik'!$J$44*'Bauphysik - Bauakustik'!$F$21+'Bauphysik - Bauakustik'!$J$44+'Bauphysik - Bauakustik'!$L$56,0)</f>
        <v>0</v>
      </c>
      <c r="E114" s="754">
        <f>IF($B114='Bauphysik - Bauakustik'!$U$60,'Bauphysik - Bauakustik'!$J$60*'Bauphysik - Bauakustik'!$F$21+'Bauphysik - Bauakustik'!$J$60+'Bauphysik - Bauakustik'!$L$73,0)</f>
        <v>0</v>
      </c>
      <c r="F114" s="754">
        <f>IF($B114='Bauphysik - Bauakustik'!$U$77,'Bauphysik - Bauakustik'!$J$77*'Bauphysik - Bauakustik'!$F$21+'Bauphysik - Bauakustik'!$J$77+'Bauphysik - Bauakustik'!$L$88,0)</f>
        <v>0</v>
      </c>
      <c r="G114" s="754">
        <f>IF($B114='Bauphysik - Bauakustik'!$U$89,'Bauphysik - Bauakustik'!$J$89*'Bauphysik - Bauakustik'!$F$21+'Bauphysik - Bauakustik'!$J$89+'Bauphysik - Bauakustik'!$R$89+'Bauphysik - Bauakustik'!$R$90+'Bauphysik - Bauakustik'!$R$91,0)</f>
        <v>0</v>
      </c>
      <c r="H114" s="754">
        <f>IF($B114='Bauphysik - Bauakustik'!$U$92,'Bauphysik - Bauakustik'!$J$92*'Bauphysik - Bauakustik'!$F$21+'Bauphysik - Bauakustik'!$J$92+'Bauphysik - Bauakustik'!$R$92,0)</f>
        <v>0</v>
      </c>
      <c r="I114" s="754"/>
      <c r="J114" s="754"/>
      <c r="K114" s="754"/>
      <c r="L114" s="754"/>
      <c r="M114" s="754">
        <f>IF($B114='Bauphysik - Bauakustik'!$U$96,'Bauphysik - Bauakustik'!$J$96*'Bauphysik - Bauakustik'!$F$21+'Bauphysik - Bauakustik'!$J$96+'Bauphysik - Bauakustik'!$L$102,0)</f>
        <v>0</v>
      </c>
      <c r="N114" s="754">
        <f>IF($B114='Bauphysik - Bauakustik'!$U$103,'Bauphysik - Bauakustik'!$J$103*'Bauphysik - Bauakustik'!$F$21+'Bauphysik - Bauakustik'!$J$103+'Bauphysik - Bauakustik'!$L$109,0)</f>
        <v>0</v>
      </c>
      <c r="O114" s="754"/>
      <c r="P114" s="754"/>
      <c r="Q114" s="799">
        <f t="shared" si="6"/>
        <v>0</v>
      </c>
      <c r="T114" s="735"/>
      <c r="U114" s="734"/>
      <c r="V114" s="736"/>
    </row>
    <row r="115" spans="2:22" ht="15.2" thickBot="1" x14ac:dyDescent="0.35">
      <c r="Q115" s="800">
        <f>SUM(Q106:Q114)</f>
        <v>0</v>
      </c>
      <c r="T115" s="735"/>
      <c r="U115" s="734"/>
      <c r="V115" s="736"/>
    </row>
    <row r="116" spans="2:22" ht="14.55" x14ac:dyDescent="0.3">
      <c r="T116" s="735"/>
      <c r="U116" s="734"/>
      <c r="V116" s="736"/>
    </row>
    <row r="117" spans="2:22" ht="14.55" x14ac:dyDescent="0.3">
      <c r="T117" s="735"/>
      <c r="U117" s="734"/>
      <c r="V117" s="736"/>
    </row>
    <row r="118" spans="2:22" ht="14.55" x14ac:dyDescent="0.3">
      <c r="T118" s="735"/>
      <c r="U118" s="734"/>
      <c r="V118" s="736"/>
    </row>
    <row r="119" spans="2:22" ht="14.55" x14ac:dyDescent="0.3">
      <c r="T119" s="735"/>
      <c r="U119" s="734"/>
      <c r="V119" s="736"/>
    </row>
    <row r="120" spans="2:22" ht="14.55" x14ac:dyDescent="0.3">
      <c r="T120" s="735"/>
      <c r="U120" s="734"/>
      <c r="V120" s="736"/>
    </row>
    <row r="121" spans="2:22" ht="14.55" x14ac:dyDescent="0.3">
      <c r="T121" s="735"/>
      <c r="U121" s="734"/>
      <c r="V121" s="736"/>
    </row>
    <row r="122" spans="2:22" ht="14.55" x14ac:dyDescent="0.3">
      <c r="T122" s="735"/>
      <c r="U122" s="734"/>
      <c r="V122" s="736"/>
    </row>
    <row r="123" spans="2:22" ht="14.55" x14ac:dyDescent="0.3">
      <c r="T123" s="735"/>
      <c r="U123" s="734"/>
      <c r="V123" s="736"/>
    </row>
    <row r="124" spans="2:22" ht="14.55" x14ac:dyDescent="0.3">
      <c r="T124" s="735"/>
      <c r="U124" s="734"/>
      <c r="V124" s="736"/>
    </row>
    <row r="125" spans="2:22" ht="14.55" x14ac:dyDescent="0.3">
      <c r="T125" s="735"/>
      <c r="U125" s="734"/>
      <c r="V125" s="736"/>
    </row>
    <row r="126" spans="2:22" ht="14.55" x14ac:dyDescent="0.3">
      <c r="T126" s="735"/>
      <c r="U126" s="734"/>
      <c r="V126" s="736"/>
    </row>
    <row r="127" spans="2:22" ht="14.55" x14ac:dyDescent="0.3">
      <c r="T127" s="735"/>
      <c r="U127" s="734"/>
      <c r="V127" s="736"/>
    </row>
    <row r="128" spans="2:22" ht="14.55" x14ac:dyDescent="0.3">
      <c r="T128" s="735"/>
      <c r="U128" s="734"/>
      <c r="V128" s="736"/>
    </row>
    <row r="129" spans="20:22" ht="14.55" x14ac:dyDescent="0.3">
      <c r="T129" s="735"/>
      <c r="U129" s="734"/>
      <c r="V129" s="736"/>
    </row>
    <row r="130" spans="20:22" ht="14.55" x14ac:dyDescent="0.3">
      <c r="T130" s="735"/>
      <c r="U130" s="734"/>
      <c r="V130" s="736"/>
    </row>
    <row r="131" spans="20:22" ht="14.55" x14ac:dyDescent="0.3">
      <c r="T131" s="735"/>
      <c r="U131" s="734"/>
      <c r="V131" s="736"/>
    </row>
    <row r="132" spans="20:22" ht="14.55" x14ac:dyDescent="0.3">
      <c r="T132" s="735"/>
      <c r="U132" s="734"/>
      <c r="V132" s="736"/>
    </row>
    <row r="133" spans="20:22" ht="14.55" x14ac:dyDescent="0.3">
      <c r="T133" s="735"/>
      <c r="U133" s="734"/>
      <c r="V133" s="736"/>
    </row>
    <row r="134" spans="20:22" ht="14.55" x14ac:dyDescent="0.3">
      <c r="T134" s="735"/>
      <c r="U134" s="734"/>
      <c r="V134" s="736"/>
    </row>
    <row r="135" spans="20:22" ht="14.55" x14ac:dyDescent="0.3">
      <c r="T135" s="735"/>
      <c r="U135" s="734"/>
      <c r="V135" s="736"/>
    </row>
    <row r="136" spans="20:22" ht="14.55" x14ac:dyDescent="0.3">
      <c r="T136" s="735"/>
      <c r="U136" s="734"/>
      <c r="V136" s="736"/>
    </row>
    <row r="137" spans="20:22" ht="14.55" x14ac:dyDescent="0.3">
      <c r="T137" s="735"/>
      <c r="U137" s="734"/>
      <c r="V137" s="736"/>
    </row>
    <row r="138" spans="20:22" ht="14.55" x14ac:dyDescent="0.3">
      <c r="T138" s="735"/>
      <c r="U138" s="734"/>
      <c r="V138" s="736"/>
    </row>
    <row r="139" spans="20:22" ht="14.55" x14ac:dyDescent="0.3">
      <c r="T139" s="735"/>
      <c r="U139" s="734"/>
      <c r="V139" s="736"/>
    </row>
    <row r="140" spans="20:22" ht="14.55" x14ac:dyDescent="0.3">
      <c r="T140" s="735"/>
      <c r="U140" s="734"/>
      <c r="V140" s="736"/>
    </row>
    <row r="141" spans="20:22" ht="14.55" x14ac:dyDescent="0.3">
      <c r="T141" s="735"/>
      <c r="U141" s="734"/>
      <c r="V141" s="736"/>
    </row>
    <row r="142" spans="20:22" ht="14.55" x14ac:dyDescent="0.3">
      <c r="T142" s="735"/>
      <c r="U142" s="734"/>
      <c r="V142" s="736"/>
    </row>
    <row r="143" spans="20:22" ht="14.55" x14ac:dyDescent="0.3">
      <c r="T143" s="735"/>
      <c r="U143" s="734"/>
      <c r="V143" s="736"/>
    </row>
    <row r="144" spans="20:22" ht="14.55" x14ac:dyDescent="0.3">
      <c r="T144" s="735"/>
      <c r="U144" s="734"/>
      <c r="V144" s="736"/>
    </row>
    <row r="145" spans="20:22" ht="14.55" x14ac:dyDescent="0.3">
      <c r="T145" s="735"/>
      <c r="U145" s="734"/>
      <c r="V145" s="736"/>
    </row>
    <row r="146" spans="20:22" ht="14.55" x14ac:dyDescent="0.3">
      <c r="T146" s="735"/>
      <c r="U146" s="734"/>
      <c r="V146" s="736"/>
    </row>
    <row r="147" spans="20:22" ht="14.55" x14ac:dyDescent="0.3">
      <c r="T147" s="735"/>
      <c r="U147" s="734"/>
      <c r="V147" s="736"/>
    </row>
    <row r="148" spans="20:22" ht="14.55" x14ac:dyDescent="0.3">
      <c r="T148" s="735"/>
      <c r="U148" s="734"/>
      <c r="V148" s="736"/>
    </row>
    <row r="149" spans="20:22" ht="14.55" x14ac:dyDescent="0.3">
      <c r="T149" s="735"/>
      <c r="U149" s="734"/>
      <c r="V149" s="736"/>
    </row>
    <row r="150" spans="20:22" ht="14.55" x14ac:dyDescent="0.3">
      <c r="T150" s="735"/>
      <c r="U150" s="734"/>
      <c r="V150" s="736"/>
    </row>
    <row r="151" spans="20:22" ht="14.55" x14ac:dyDescent="0.3">
      <c r="T151" s="735"/>
      <c r="U151" s="734"/>
      <c r="V151" s="736"/>
    </row>
    <row r="152" spans="20:22" ht="14.55" x14ac:dyDescent="0.3">
      <c r="T152" s="735"/>
      <c r="U152" s="734"/>
      <c r="V152" s="736"/>
    </row>
    <row r="153" spans="20:22" ht="14.55" x14ac:dyDescent="0.3">
      <c r="T153" s="735"/>
      <c r="U153" s="734"/>
      <c r="V153" s="736"/>
    </row>
    <row r="154" spans="20:22" ht="14.55" x14ac:dyDescent="0.3">
      <c r="T154" s="735"/>
      <c r="U154" s="734"/>
      <c r="V154" s="736"/>
    </row>
    <row r="155" spans="20:22" ht="14.55" x14ac:dyDescent="0.3">
      <c r="T155" s="735"/>
      <c r="U155" s="734"/>
      <c r="V155" s="736"/>
    </row>
    <row r="156" spans="20:22" ht="14.55" x14ac:dyDescent="0.3">
      <c r="T156" s="735"/>
      <c r="U156" s="734"/>
      <c r="V156" s="736"/>
    </row>
    <row r="157" spans="20:22" ht="14.55" x14ac:dyDescent="0.3">
      <c r="T157" s="735"/>
      <c r="U157" s="734"/>
      <c r="V157" s="736"/>
    </row>
    <row r="158" spans="20:22" ht="14.55" x14ac:dyDescent="0.3">
      <c r="T158" s="735"/>
      <c r="U158" s="734"/>
      <c r="V158" s="736"/>
    </row>
    <row r="159" spans="20:22" ht="14.55" x14ac:dyDescent="0.3">
      <c r="T159" s="735"/>
      <c r="U159" s="734"/>
      <c r="V159" s="736"/>
    </row>
    <row r="160" spans="20:22" ht="14.55" x14ac:dyDescent="0.3">
      <c r="T160" s="735"/>
      <c r="U160" s="734"/>
      <c r="V160" s="736"/>
    </row>
    <row r="161" spans="20:22" ht="14.55" x14ac:dyDescent="0.3">
      <c r="T161" s="735"/>
      <c r="U161" s="734"/>
      <c r="V161" s="736"/>
    </row>
    <row r="162" spans="20:22" ht="14.55" x14ac:dyDescent="0.3">
      <c r="T162" s="735"/>
      <c r="U162" s="734"/>
      <c r="V162" s="736"/>
    </row>
    <row r="163" spans="20:22" ht="14.55" x14ac:dyDescent="0.3">
      <c r="T163" s="735"/>
      <c r="U163" s="734"/>
      <c r="V163" s="736"/>
    </row>
    <row r="164" spans="20:22" ht="14.55" x14ac:dyDescent="0.3">
      <c r="T164" s="735"/>
      <c r="U164" s="734"/>
      <c r="V164" s="736"/>
    </row>
    <row r="165" spans="20:22" ht="14.55" x14ac:dyDescent="0.3">
      <c r="T165" s="735"/>
      <c r="U165" s="734"/>
      <c r="V165" s="736"/>
    </row>
    <row r="166" spans="20:22" ht="14.55" x14ac:dyDescent="0.3">
      <c r="T166" s="735"/>
      <c r="U166" s="734"/>
      <c r="V166" s="736"/>
    </row>
    <row r="167" spans="20:22" ht="14.55" x14ac:dyDescent="0.3">
      <c r="T167" s="735"/>
      <c r="U167" s="734"/>
      <c r="V167" s="736"/>
    </row>
    <row r="168" spans="20:22" ht="14.55" x14ac:dyDescent="0.3">
      <c r="T168" s="735"/>
      <c r="U168" s="734"/>
      <c r="V168" s="736"/>
    </row>
    <row r="169" spans="20:22" ht="14.55" x14ac:dyDescent="0.3">
      <c r="T169" s="735"/>
      <c r="U169" s="734"/>
      <c r="V169" s="758"/>
    </row>
    <row r="170" spans="20:22" ht="14.55" x14ac:dyDescent="0.3">
      <c r="T170" s="735"/>
      <c r="U170" s="734"/>
      <c r="V170" s="736"/>
    </row>
    <row r="171" spans="20:22" ht="14.55" x14ac:dyDescent="0.3">
      <c r="T171" s="735"/>
      <c r="U171" s="734"/>
      <c r="V171" s="736"/>
    </row>
    <row r="172" spans="20:22" ht="14.55" x14ac:dyDescent="0.3">
      <c r="T172" s="735"/>
      <c r="U172" s="734"/>
      <c r="V172" s="736"/>
    </row>
    <row r="173" spans="20:22" ht="14.55" x14ac:dyDescent="0.3">
      <c r="T173" s="735"/>
      <c r="U173" s="734"/>
      <c r="V173" s="736"/>
    </row>
    <row r="174" spans="20:22" ht="14.55" x14ac:dyDescent="0.3">
      <c r="T174" s="735"/>
      <c r="U174" s="734"/>
      <c r="V174" s="736"/>
    </row>
    <row r="175" spans="20:22" ht="14.55" x14ac:dyDescent="0.3">
      <c r="T175" s="735"/>
      <c r="U175" s="734"/>
      <c r="V175" s="736"/>
    </row>
    <row r="176" spans="20:22" ht="14.55" x14ac:dyDescent="0.3">
      <c r="T176" s="735"/>
      <c r="U176" s="734"/>
      <c r="V176" s="736"/>
    </row>
    <row r="177" spans="20:22" ht="14.55" x14ac:dyDescent="0.3">
      <c r="T177" s="735"/>
      <c r="U177" s="734"/>
      <c r="V177" s="736"/>
    </row>
    <row r="178" spans="20:22" ht="14.55" x14ac:dyDescent="0.3">
      <c r="T178" s="735"/>
      <c r="U178" s="734"/>
      <c r="V178" s="736"/>
    </row>
    <row r="179" spans="20:22" ht="14.55" x14ac:dyDescent="0.3">
      <c r="T179" s="735"/>
      <c r="U179" s="734"/>
      <c r="V179" s="736"/>
    </row>
    <row r="180" spans="20:22" ht="14.55" x14ac:dyDescent="0.3">
      <c r="T180" s="735"/>
      <c r="U180" s="734"/>
      <c r="V180" s="736"/>
    </row>
    <row r="181" spans="20:22" ht="14.55" x14ac:dyDescent="0.3">
      <c r="T181" s="735"/>
      <c r="U181" s="734"/>
      <c r="V181" s="736"/>
    </row>
    <row r="182" spans="20:22" ht="14.55" x14ac:dyDescent="0.3">
      <c r="T182" s="735"/>
      <c r="U182" s="734"/>
      <c r="V182" s="736"/>
    </row>
    <row r="183" spans="20:22" ht="14.55" x14ac:dyDescent="0.3">
      <c r="T183" s="735"/>
      <c r="U183" s="734"/>
      <c r="V183" s="736"/>
    </row>
    <row r="184" spans="20:22" ht="14.55" x14ac:dyDescent="0.3">
      <c r="T184" s="735"/>
      <c r="U184" s="734"/>
      <c r="V184" s="736"/>
    </row>
    <row r="185" spans="20:22" ht="14.55" x14ac:dyDescent="0.3">
      <c r="T185" s="735"/>
      <c r="U185" s="734"/>
      <c r="V185" s="736"/>
    </row>
    <row r="186" spans="20:22" ht="14.55" x14ac:dyDescent="0.3">
      <c r="T186" s="735"/>
      <c r="U186" s="734"/>
      <c r="V186" s="736"/>
    </row>
    <row r="187" spans="20:22" ht="14.55" x14ac:dyDescent="0.3">
      <c r="T187" s="735"/>
      <c r="U187" s="734"/>
      <c r="V187" s="736"/>
    </row>
    <row r="188" spans="20:22" ht="14.55" x14ac:dyDescent="0.3">
      <c r="T188" s="735"/>
      <c r="U188" s="734"/>
      <c r="V188" s="736"/>
    </row>
    <row r="189" spans="20:22" ht="14.55" x14ac:dyDescent="0.3">
      <c r="T189" s="735"/>
      <c r="U189" s="734"/>
      <c r="V189" s="736"/>
    </row>
    <row r="190" spans="20:22" ht="14.55" x14ac:dyDescent="0.3">
      <c r="T190" s="735"/>
      <c r="U190" s="734"/>
      <c r="V190" s="736"/>
    </row>
    <row r="191" spans="20:22" ht="14.55" x14ac:dyDescent="0.3">
      <c r="T191" s="735"/>
      <c r="U191" s="734"/>
      <c r="V191" s="736"/>
    </row>
    <row r="192" spans="20:22" ht="14.55" x14ac:dyDescent="0.3">
      <c r="T192" s="735"/>
      <c r="U192" s="734"/>
      <c r="V192" s="736"/>
    </row>
    <row r="193" spans="20:22" ht="14.55" x14ac:dyDescent="0.3">
      <c r="T193" s="735"/>
      <c r="U193" s="734"/>
      <c r="V193" s="736"/>
    </row>
    <row r="194" spans="20:22" ht="14.55" x14ac:dyDescent="0.3">
      <c r="T194" s="735"/>
      <c r="U194" s="734"/>
      <c r="V194" s="736"/>
    </row>
    <row r="195" spans="20:22" ht="14.55" x14ac:dyDescent="0.3">
      <c r="T195" s="735"/>
      <c r="U195" s="734"/>
      <c r="V195" s="736"/>
    </row>
    <row r="196" spans="20:22" ht="14.55" x14ac:dyDescent="0.3">
      <c r="T196" s="735"/>
      <c r="U196" s="734"/>
      <c r="V196" s="736"/>
    </row>
    <row r="197" spans="20:22" ht="14.55" x14ac:dyDescent="0.3">
      <c r="T197" s="735"/>
      <c r="U197" s="734"/>
      <c r="V197" s="736"/>
    </row>
    <row r="198" spans="20:22" ht="14.55" x14ac:dyDescent="0.3">
      <c r="T198" s="735"/>
      <c r="U198" s="734"/>
      <c r="V198" s="736"/>
    </row>
    <row r="199" spans="20:22" ht="14.55" x14ac:dyDescent="0.3">
      <c r="T199" s="735"/>
      <c r="U199" s="734"/>
      <c r="V199" s="736"/>
    </row>
    <row r="200" spans="20:22" ht="14.55" x14ac:dyDescent="0.3">
      <c r="T200" s="735"/>
      <c r="U200" s="734"/>
      <c r="V200" s="736"/>
    </row>
    <row r="201" spans="20:22" ht="14.55" x14ac:dyDescent="0.3">
      <c r="T201" s="735"/>
      <c r="U201" s="734"/>
      <c r="V201" s="736"/>
    </row>
    <row r="202" spans="20:22" ht="14.55" x14ac:dyDescent="0.3">
      <c r="T202" s="735"/>
      <c r="U202" s="734"/>
      <c r="V202" s="736"/>
    </row>
    <row r="203" spans="20:22" ht="14.55" x14ac:dyDescent="0.3">
      <c r="T203" s="735"/>
      <c r="U203" s="734"/>
      <c r="V203" s="736"/>
    </row>
    <row r="204" spans="20:22" ht="14.55" x14ac:dyDescent="0.3">
      <c r="T204" s="735"/>
      <c r="U204" s="734"/>
      <c r="V204" s="736"/>
    </row>
    <row r="205" spans="20:22" ht="14.55" x14ac:dyDescent="0.3">
      <c r="T205" s="735"/>
      <c r="U205" s="734"/>
      <c r="V205" s="736"/>
    </row>
    <row r="206" spans="20:22" ht="14.55" x14ac:dyDescent="0.3">
      <c r="T206" s="735"/>
      <c r="U206" s="734"/>
      <c r="V206" s="736"/>
    </row>
    <row r="207" spans="20:22" ht="14.55" x14ac:dyDescent="0.3">
      <c r="T207" s="735"/>
      <c r="U207" s="734"/>
      <c r="V207" s="736"/>
    </row>
    <row r="208" spans="20:22" ht="14.55" x14ac:dyDescent="0.3">
      <c r="T208" s="735"/>
      <c r="U208" s="734"/>
      <c r="V208" s="736"/>
    </row>
    <row r="209" spans="20:22" ht="14.55" x14ac:dyDescent="0.3">
      <c r="T209" s="735"/>
      <c r="U209" s="734"/>
      <c r="V209" s="736"/>
    </row>
    <row r="210" spans="20:22" ht="14.55" x14ac:dyDescent="0.3">
      <c r="T210" s="735"/>
      <c r="U210" s="734"/>
      <c r="V210" s="736"/>
    </row>
    <row r="211" spans="20:22" ht="14.55" x14ac:dyDescent="0.3">
      <c r="T211" s="735"/>
      <c r="U211" s="734"/>
      <c r="V211" s="736"/>
    </row>
    <row r="212" spans="20:22" ht="14.55" x14ac:dyDescent="0.3">
      <c r="T212" s="735"/>
      <c r="U212" s="734"/>
      <c r="V212" s="736"/>
    </row>
    <row r="213" spans="20:22" ht="14.55" x14ac:dyDescent="0.3">
      <c r="T213" s="735"/>
      <c r="U213" s="734"/>
      <c r="V213" s="736"/>
    </row>
    <row r="214" spans="20:22" ht="14.55" x14ac:dyDescent="0.3">
      <c r="T214" s="735"/>
      <c r="U214" s="734"/>
      <c r="V214" s="736"/>
    </row>
    <row r="215" spans="20:22" ht="14.55" x14ac:dyDescent="0.3">
      <c r="T215" s="735"/>
      <c r="U215" s="734"/>
      <c r="V215" s="736"/>
    </row>
    <row r="216" spans="20:22" ht="14.55" x14ac:dyDescent="0.3">
      <c r="T216" s="735"/>
      <c r="U216" s="734"/>
      <c r="V216" s="736"/>
    </row>
    <row r="217" spans="20:22" ht="14.55" x14ac:dyDescent="0.3">
      <c r="T217" s="735"/>
      <c r="U217" s="734"/>
      <c r="V217" s="736"/>
    </row>
    <row r="218" spans="20:22" ht="14.55" x14ac:dyDescent="0.3">
      <c r="T218" s="735"/>
      <c r="U218" s="734"/>
      <c r="V218" s="736"/>
    </row>
    <row r="219" spans="20:22" ht="14.55" x14ac:dyDescent="0.3">
      <c r="T219" s="735"/>
      <c r="U219" s="734"/>
      <c r="V219" s="736"/>
    </row>
    <row r="220" spans="20:22" ht="14.55" x14ac:dyDescent="0.3">
      <c r="T220" s="735"/>
      <c r="U220" s="734"/>
      <c r="V220" s="736"/>
    </row>
    <row r="221" spans="20:22" ht="14.55" x14ac:dyDescent="0.3">
      <c r="T221" s="735"/>
      <c r="U221" s="734"/>
      <c r="V221" s="736"/>
    </row>
    <row r="222" spans="20:22" ht="14.55" x14ac:dyDescent="0.3">
      <c r="T222" s="735"/>
      <c r="U222" s="734"/>
      <c r="V222" s="736"/>
    </row>
    <row r="223" spans="20:22" ht="14.55" x14ac:dyDescent="0.3">
      <c r="T223" s="735"/>
      <c r="U223" s="734"/>
      <c r="V223" s="736"/>
    </row>
    <row r="224" spans="20:22" ht="14.55" x14ac:dyDescent="0.3">
      <c r="T224" s="735"/>
      <c r="U224" s="734"/>
      <c r="V224" s="736"/>
    </row>
    <row r="225" spans="20:22" ht="14.55" x14ac:dyDescent="0.3">
      <c r="T225" s="735"/>
      <c r="U225" s="734"/>
      <c r="V225" s="736"/>
    </row>
    <row r="226" spans="20:22" ht="14.55" x14ac:dyDescent="0.3">
      <c r="T226" s="735"/>
      <c r="U226" s="734"/>
      <c r="V226" s="736"/>
    </row>
    <row r="227" spans="20:22" ht="14.55" x14ac:dyDescent="0.3">
      <c r="T227" s="735"/>
      <c r="U227" s="734"/>
      <c r="V227" s="736"/>
    </row>
    <row r="228" spans="20:22" ht="14.55" x14ac:dyDescent="0.3">
      <c r="T228" s="735"/>
      <c r="U228" s="734"/>
      <c r="V228" s="736"/>
    </row>
    <row r="229" spans="20:22" ht="14.55" x14ac:dyDescent="0.3">
      <c r="T229" s="735"/>
      <c r="U229" s="734"/>
      <c r="V229" s="736"/>
    </row>
    <row r="230" spans="20:22" ht="14.55" x14ac:dyDescent="0.3">
      <c r="T230" s="735"/>
      <c r="U230" s="734"/>
      <c r="V230" s="736"/>
    </row>
    <row r="231" spans="20:22" ht="14.55" x14ac:dyDescent="0.3">
      <c r="T231" s="735"/>
      <c r="U231" s="734"/>
      <c r="V231" s="736"/>
    </row>
    <row r="232" spans="20:22" ht="14.55" x14ac:dyDescent="0.3">
      <c r="T232" s="735"/>
      <c r="U232" s="734"/>
      <c r="V232" s="736"/>
    </row>
    <row r="233" spans="20:22" ht="14.55" x14ac:dyDescent="0.3">
      <c r="T233" s="735"/>
      <c r="U233" s="734"/>
      <c r="V233" s="736"/>
    </row>
    <row r="234" spans="20:22" ht="14.55" x14ac:dyDescent="0.3">
      <c r="T234" s="735"/>
      <c r="U234" s="734"/>
      <c r="V234" s="736"/>
    </row>
    <row r="235" spans="20:22" ht="14.55" x14ac:dyDescent="0.3">
      <c r="T235" s="735"/>
      <c r="U235" s="734"/>
      <c r="V235" s="736"/>
    </row>
    <row r="236" spans="20:22" ht="14.55" x14ac:dyDescent="0.3">
      <c r="T236" s="735"/>
      <c r="U236" s="734"/>
      <c r="V236" s="736"/>
    </row>
    <row r="237" spans="20:22" ht="14.55" x14ac:dyDescent="0.3">
      <c r="T237" s="735"/>
      <c r="U237" s="734"/>
      <c r="V237" s="736"/>
    </row>
    <row r="238" spans="20:22" ht="14.55" x14ac:dyDescent="0.3">
      <c r="T238" s="735"/>
      <c r="U238" s="734"/>
      <c r="V238" s="736"/>
    </row>
    <row r="239" spans="20:22" ht="14.55" x14ac:dyDescent="0.3">
      <c r="T239" s="735"/>
      <c r="U239" s="734"/>
      <c r="V239" s="736"/>
    </row>
    <row r="240" spans="20:22" ht="14.55" x14ac:dyDescent="0.3">
      <c r="T240" s="735"/>
      <c r="U240" s="734"/>
      <c r="V240" s="736"/>
    </row>
    <row r="241" spans="20:22" ht="14.55" x14ac:dyDescent="0.3">
      <c r="T241" s="735"/>
      <c r="U241" s="734"/>
      <c r="V241" s="736"/>
    </row>
    <row r="242" spans="20:22" ht="14.55" x14ac:dyDescent="0.3">
      <c r="T242" s="735"/>
      <c r="U242" s="734"/>
      <c r="V242" s="736"/>
    </row>
    <row r="243" spans="20:22" ht="14.55" x14ac:dyDescent="0.3">
      <c r="T243" s="735"/>
      <c r="U243" s="734"/>
      <c r="V243" s="736"/>
    </row>
    <row r="244" spans="20:22" ht="14.55" x14ac:dyDescent="0.3">
      <c r="T244" s="735"/>
      <c r="U244" s="734"/>
      <c r="V244" s="736"/>
    </row>
    <row r="245" spans="20:22" ht="14.55" x14ac:dyDescent="0.3">
      <c r="T245" s="735"/>
      <c r="U245" s="734"/>
      <c r="V245" s="736"/>
    </row>
    <row r="246" spans="20:22" ht="14.55" x14ac:dyDescent="0.3">
      <c r="T246" s="735"/>
      <c r="U246" s="734"/>
      <c r="V246" s="736"/>
    </row>
    <row r="247" spans="20:22" ht="14.55" x14ac:dyDescent="0.3">
      <c r="T247" s="735"/>
      <c r="U247" s="734"/>
      <c r="V247" s="736"/>
    </row>
    <row r="248" spans="20:22" ht="14.55" x14ac:dyDescent="0.3">
      <c r="T248" s="735"/>
      <c r="U248" s="734"/>
      <c r="V248" s="736"/>
    </row>
    <row r="249" spans="20:22" ht="14.55" x14ac:dyDescent="0.3">
      <c r="T249" s="735"/>
      <c r="U249" s="734"/>
      <c r="V249" s="736"/>
    </row>
    <row r="250" spans="20:22" ht="14.55" x14ac:dyDescent="0.3">
      <c r="T250" s="735"/>
      <c r="U250" s="734"/>
      <c r="V250" s="736"/>
    </row>
    <row r="251" spans="20:22" ht="14.55" x14ac:dyDescent="0.3">
      <c r="T251" s="735"/>
      <c r="U251" s="734"/>
      <c r="V251" s="736"/>
    </row>
    <row r="252" spans="20:22" ht="14.55" x14ac:dyDescent="0.3">
      <c r="T252" s="735"/>
      <c r="U252" s="734"/>
      <c r="V252" s="736"/>
    </row>
    <row r="253" spans="20:22" ht="14.55" x14ac:dyDescent="0.3">
      <c r="T253" s="735"/>
      <c r="U253" s="734"/>
      <c r="V253" s="736"/>
    </row>
    <row r="254" spans="20:22" ht="14.55" x14ac:dyDescent="0.3">
      <c r="T254" s="735"/>
      <c r="U254" s="734"/>
      <c r="V254" s="736"/>
    </row>
    <row r="255" spans="20:22" ht="14.55" x14ac:dyDescent="0.3">
      <c r="T255" s="735"/>
      <c r="U255" s="734"/>
      <c r="V255" s="736"/>
    </row>
    <row r="256" spans="20:22" ht="14.55" x14ac:dyDescent="0.3">
      <c r="T256" s="735"/>
      <c r="U256" s="734"/>
      <c r="V256" s="736"/>
    </row>
    <row r="257" spans="3:22" ht="14.55" x14ac:dyDescent="0.3">
      <c r="T257" s="735"/>
      <c r="U257" s="734"/>
      <c r="V257" s="736"/>
    </row>
    <row r="258" spans="3:22" ht="14.55" x14ac:dyDescent="0.3">
      <c r="T258" s="735"/>
      <c r="U258" s="734"/>
      <c r="V258" s="736"/>
    </row>
    <row r="259" spans="3:22" ht="14.55" x14ac:dyDescent="0.3">
      <c r="T259" s="735"/>
      <c r="U259" s="734"/>
      <c r="V259" s="736"/>
    </row>
    <row r="260" spans="3:22" ht="14.55" x14ac:dyDescent="0.3">
      <c r="T260" s="735"/>
      <c r="U260" s="734"/>
      <c r="V260" s="736"/>
    </row>
    <row r="261" spans="3:22" ht="14.55" x14ac:dyDescent="0.3">
      <c r="T261" s="735"/>
      <c r="U261" s="734"/>
      <c r="V261" s="736"/>
    </row>
    <row r="262" spans="3:22" ht="14.55" x14ac:dyDescent="0.3">
      <c r="T262" s="735"/>
      <c r="U262" s="734"/>
      <c r="V262" s="736"/>
    </row>
    <row r="263" spans="3:22" ht="14.55" x14ac:dyDescent="0.3">
      <c r="T263" s="735"/>
      <c r="U263" s="734"/>
      <c r="V263" s="736"/>
    </row>
    <row r="264" spans="3:22" ht="14.55" x14ac:dyDescent="0.3">
      <c r="T264" s="735"/>
      <c r="U264" s="734"/>
      <c r="V264" s="736"/>
    </row>
    <row r="265" spans="3:22" ht="14.55" x14ac:dyDescent="0.3">
      <c r="T265" s="735"/>
      <c r="U265" s="734"/>
      <c r="V265" s="736"/>
    </row>
    <row r="266" spans="3:22" ht="14.55" x14ac:dyDescent="0.3">
      <c r="C266" s="741">
        <f>'Berechnung - Bauakustik'!C106</f>
        <v>0</v>
      </c>
      <c r="D266" s="741">
        <f>'Berechnung - Bauakustik'!D106</f>
        <v>0</v>
      </c>
      <c r="E266" s="741">
        <f>'Berechnung - Bauakustik'!E106</f>
        <v>0</v>
      </c>
      <c r="F266" s="741">
        <f>'Berechnung - Bauakustik'!F106</f>
        <v>0</v>
      </c>
      <c r="G266" s="741">
        <f>'Berechnung - Bauakustik'!G106</f>
        <v>0</v>
      </c>
      <c r="H266" s="741">
        <f>'Berechnung - Bauakustik'!H106</f>
        <v>0</v>
      </c>
      <c r="I266" s="741">
        <f>'Berechnung - Bauakustik'!I106</f>
        <v>0</v>
      </c>
      <c r="J266" s="741">
        <f>'Berechnung - Bauakustik'!J106</f>
        <v>0</v>
      </c>
      <c r="K266" s="741">
        <f>'Berechnung - Bauakustik'!K106</f>
        <v>0</v>
      </c>
      <c r="L266" s="741">
        <f>'Berechnung - Bauakustik'!L106</f>
        <v>0</v>
      </c>
      <c r="M266" s="741">
        <f>'Berechnung - Bauakustik'!M106</f>
        <v>0</v>
      </c>
      <c r="N266" s="741">
        <f>'Berechnung - Bauakustik'!N106</f>
        <v>0</v>
      </c>
      <c r="O266" s="741">
        <f>'Berechnung - Bauakustik'!O106</f>
        <v>0</v>
      </c>
      <c r="P266" s="741">
        <f>'Berechnung - Bauakustik'!P106</f>
        <v>0</v>
      </c>
      <c r="T266" s="735"/>
      <c r="U266" s="734"/>
      <c r="V266" s="736"/>
    </row>
    <row r="267" spans="3:22" ht="14.55" x14ac:dyDescent="0.3">
      <c r="C267" s="741">
        <f>'Berechnung - Bauakustik'!C107</f>
        <v>0</v>
      </c>
      <c r="D267" s="741">
        <f>'Berechnung - Bauakustik'!D107</f>
        <v>0</v>
      </c>
      <c r="E267" s="741">
        <f>'Berechnung - Bauakustik'!E107</f>
        <v>0</v>
      </c>
      <c r="F267" s="741">
        <f>'Berechnung - Bauakustik'!F107</f>
        <v>0</v>
      </c>
      <c r="G267" s="741">
        <f>'Berechnung - Bauakustik'!G107</f>
        <v>0</v>
      </c>
      <c r="H267" s="741">
        <f>'Berechnung - Bauakustik'!H107</f>
        <v>0</v>
      </c>
      <c r="I267" s="741">
        <f>'Berechnung - Bauakustik'!I107</f>
        <v>0</v>
      </c>
      <c r="J267" s="741">
        <f>'Berechnung - Bauakustik'!J107</f>
        <v>0</v>
      </c>
      <c r="K267" s="741">
        <f>'Berechnung - Bauakustik'!K107</f>
        <v>0</v>
      </c>
      <c r="L267" s="741">
        <f>'Berechnung - Bauakustik'!L107</f>
        <v>0</v>
      </c>
      <c r="M267" s="741">
        <f>'Berechnung - Bauakustik'!M107</f>
        <v>0</v>
      </c>
      <c r="N267" s="741">
        <f>'Berechnung - Bauakustik'!N107</f>
        <v>0</v>
      </c>
      <c r="O267" s="741">
        <f>'Berechnung - Bauakustik'!O107</f>
        <v>0</v>
      </c>
      <c r="P267" s="741">
        <f>'Berechnung - Bauakustik'!P107</f>
        <v>0</v>
      </c>
      <c r="T267" s="735"/>
      <c r="U267" s="734"/>
      <c r="V267" s="736"/>
    </row>
    <row r="268" spans="3:22" ht="14.55" x14ac:dyDescent="0.3">
      <c r="C268" s="741">
        <f>'Berechnung - Bauakustik'!C108</f>
        <v>0</v>
      </c>
      <c r="D268" s="741">
        <f>'Berechnung - Bauakustik'!D108</f>
        <v>0</v>
      </c>
      <c r="E268" s="741">
        <f>'Berechnung - Bauakustik'!E108</f>
        <v>0</v>
      </c>
      <c r="F268" s="741">
        <f>'Berechnung - Bauakustik'!F108</f>
        <v>0</v>
      </c>
      <c r="G268" s="741">
        <f>'Berechnung - Bauakustik'!G108</f>
        <v>0</v>
      </c>
      <c r="H268" s="741">
        <f>'Berechnung - Bauakustik'!H108</f>
        <v>0</v>
      </c>
      <c r="I268" s="741">
        <f>'Berechnung - Bauakustik'!I108</f>
        <v>0</v>
      </c>
      <c r="J268" s="741">
        <f>'Berechnung - Bauakustik'!J108</f>
        <v>0</v>
      </c>
      <c r="K268" s="741">
        <f>'Berechnung - Bauakustik'!K108</f>
        <v>0</v>
      </c>
      <c r="L268" s="741">
        <f>'Berechnung - Bauakustik'!L108</f>
        <v>0</v>
      </c>
      <c r="M268" s="741">
        <f>'Berechnung - Bauakustik'!M108</f>
        <v>0</v>
      </c>
      <c r="N268" s="741">
        <f>'Berechnung - Bauakustik'!N108</f>
        <v>0</v>
      </c>
      <c r="O268" s="741">
        <f>'Berechnung - Bauakustik'!O108</f>
        <v>0</v>
      </c>
      <c r="P268" s="741">
        <f>'Berechnung - Bauakustik'!P108</f>
        <v>0</v>
      </c>
      <c r="T268" s="735"/>
      <c r="U268" s="734"/>
      <c r="V268" s="736"/>
    </row>
    <row r="269" spans="3:22" ht="14.55" x14ac:dyDescent="0.3">
      <c r="C269" s="741">
        <f>'Berechnung - Bauakustik'!C109</f>
        <v>0</v>
      </c>
      <c r="D269" s="741">
        <f>'Berechnung - Bauakustik'!D109</f>
        <v>0</v>
      </c>
      <c r="E269" s="741">
        <f>'Berechnung - Bauakustik'!E109</f>
        <v>0</v>
      </c>
      <c r="F269" s="741">
        <f>'Berechnung - Bauakustik'!F109</f>
        <v>0</v>
      </c>
      <c r="G269" s="741">
        <f>'Berechnung - Bauakustik'!G109</f>
        <v>0</v>
      </c>
      <c r="H269" s="741">
        <f>'Berechnung - Bauakustik'!H109</f>
        <v>0</v>
      </c>
      <c r="I269" s="741">
        <f>'Berechnung - Bauakustik'!I109</f>
        <v>0</v>
      </c>
      <c r="J269" s="741">
        <f>'Berechnung - Bauakustik'!J109</f>
        <v>0</v>
      </c>
      <c r="K269" s="741">
        <f>'Berechnung - Bauakustik'!K109</f>
        <v>0</v>
      </c>
      <c r="L269" s="741">
        <f>'Berechnung - Bauakustik'!L109</f>
        <v>0</v>
      </c>
      <c r="M269" s="741">
        <f>'Berechnung - Bauakustik'!M109</f>
        <v>0</v>
      </c>
      <c r="N269" s="741">
        <f>'Berechnung - Bauakustik'!N109</f>
        <v>0</v>
      </c>
      <c r="O269" s="741">
        <f>'Berechnung - Bauakustik'!O109</f>
        <v>0</v>
      </c>
      <c r="P269" s="741">
        <f>'Berechnung - Bauakustik'!P109</f>
        <v>0</v>
      </c>
      <c r="T269" s="735"/>
      <c r="U269" s="734"/>
      <c r="V269" s="736"/>
    </row>
    <row r="270" spans="3:22" ht="14.55" x14ac:dyDescent="0.3">
      <c r="C270" s="741">
        <f>'Berechnung - Bauakustik'!C110</f>
        <v>0</v>
      </c>
      <c r="D270" s="741">
        <f>'Berechnung - Bauakustik'!D110</f>
        <v>0</v>
      </c>
      <c r="E270" s="741">
        <f>'Berechnung - Bauakustik'!E110</f>
        <v>0</v>
      </c>
      <c r="F270" s="741">
        <f>'Berechnung - Bauakustik'!F110</f>
        <v>0</v>
      </c>
      <c r="G270" s="741">
        <f>'Berechnung - Bauakustik'!G110</f>
        <v>0</v>
      </c>
      <c r="H270" s="741">
        <f>'Berechnung - Bauakustik'!H110</f>
        <v>0</v>
      </c>
      <c r="I270" s="741">
        <f>'Berechnung - Bauakustik'!I110</f>
        <v>0</v>
      </c>
      <c r="J270" s="741">
        <f>'Berechnung - Bauakustik'!J110</f>
        <v>0</v>
      </c>
      <c r="K270" s="741">
        <f>'Berechnung - Bauakustik'!K110</f>
        <v>0</v>
      </c>
      <c r="L270" s="741">
        <f>'Berechnung - Bauakustik'!L110</f>
        <v>0</v>
      </c>
      <c r="M270" s="741">
        <f>'Berechnung - Bauakustik'!M110</f>
        <v>0</v>
      </c>
      <c r="N270" s="741">
        <f>'Berechnung - Bauakustik'!N110</f>
        <v>0</v>
      </c>
      <c r="O270" s="741">
        <f>'Berechnung - Bauakustik'!O110</f>
        <v>0</v>
      </c>
      <c r="P270" s="741">
        <f>'Berechnung - Bauakustik'!P110</f>
        <v>0</v>
      </c>
      <c r="T270" s="735"/>
      <c r="U270" s="734"/>
      <c r="V270" s="736"/>
    </row>
    <row r="271" spans="3:22" ht="14.55" x14ac:dyDescent="0.3">
      <c r="C271" s="741">
        <f>'Berechnung - Bauakustik'!C111</f>
        <v>0</v>
      </c>
      <c r="D271" s="741">
        <f>'Berechnung - Bauakustik'!D111</f>
        <v>0</v>
      </c>
      <c r="E271" s="741">
        <f>'Berechnung - Bauakustik'!E111</f>
        <v>0</v>
      </c>
      <c r="F271" s="741">
        <f>'Berechnung - Bauakustik'!F111</f>
        <v>0</v>
      </c>
      <c r="G271" s="741">
        <f>'Berechnung - Bauakustik'!G111</f>
        <v>0</v>
      </c>
      <c r="H271" s="741">
        <f>'Berechnung - Bauakustik'!H111</f>
        <v>0</v>
      </c>
      <c r="I271" s="741">
        <f>'Berechnung - Bauakustik'!I111</f>
        <v>0</v>
      </c>
      <c r="J271" s="741">
        <f>'Berechnung - Bauakustik'!J111</f>
        <v>0</v>
      </c>
      <c r="K271" s="741">
        <f>'Berechnung - Bauakustik'!K111</f>
        <v>0</v>
      </c>
      <c r="L271" s="741">
        <f>'Berechnung - Bauakustik'!L111</f>
        <v>0</v>
      </c>
      <c r="M271" s="741">
        <f>'Berechnung - Bauakustik'!M111</f>
        <v>0</v>
      </c>
      <c r="N271" s="741">
        <f>'Berechnung - Bauakustik'!N111</f>
        <v>0</v>
      </c>
      <c r="O271" s="741">
        <f>'Berechnung - Bauakustik'!O111</f>
        <v>0</v>
      </c>
      <c r="P271" s="741">
        <f>'Berechnung - Bauakustik'!P111</f>
        <v>0</v>
      </c>
      <c r="T271" s="735"/>
      <c r="U271" s="734"/>
      <c r="V271" s="736"/>
    </row>
    <row r="272" spans="3:22" ht="14.55" x14ac:dyDescent="0.3">
      <c r="C272" s="741">
        <f>'Berechnung - Bauakustik'!C112</f>
        <v>0</v>
      </c>
      <c r="D272" s="741">
        <f>'Berechnung - Bauakustik'!D112</f>
        <v>0</v>
      </c>
      <c r="E272" s="741">
        <f>'Berechnung - Bauakustik'!E112</f>
        <v>0</v>
      </c>
      <c r="F272" s="741">
        <f>'Berechnung - Bauakustik'!F112</f>
        <v>0</v>
      </c>
      <c r="G272" s="741">
        <f>'Berechnung - Bauakustik'!G112</f>
        <v>0</v>
      </c>
      <c r="H272" s="741">
        <f>'Berechnung - Bauakustik'!H112</f>
        <v>0</v>
      </c>
      <c r="I272" s="741">
        <f>'Berechnung - Bauakustik'!I112</f>
        <v>0</v>
      </c>
      <c r="J272" s="741">
        <f>'Berechnung - Bauakustik'!J112</f>
        <v>0</v>
      </c>
      <c r="K272" s="741">
        <f>'Berechnung - Bauakustik'!K112</f>
        <v>0</v>
      </c>
      <c r="L272" s="741">
        <f>'Berechnung - Bauakustik'!L112</f>
        <v>0</v>
      </c>
      <c r="M272" s="741">
        <f>'Berechnung - Bauakustik'!M112</f>
        <v>0</v>
      </c>
      <c r="N272" s="741">
        <f>'Berechnung - Bauakustik'!N112</f>
        <v>0</v>
      </c>
      <c r="O272" s="741">
        <f>'Berechnung - Bauakustik'!O112</f>
        <v>0</v>
      </c>
      <c r="P272" s="741">
        <f>'Berechnung - Bauakustik'!P112</f>
        <v>0</v>
      </c>
      <c r="T272" s="735"/>
      <c r="U272" s="734"/>
      <c r="V272" s="736"/>
    </row>
    <row r="273" spans="3:22" ht="14.55" x14ac:dyDescent="0.3">
      <c r="C273" s="741">
        <f>'Berechnung - Bauakustik'!C113</f>
        <v>0</v>
      </c>
      <c r="D273" s="741">
        <f>'Berechnung - Bauakustik'!D113</f>
        <v>0</v>
      </c>
      <c r="E273" s="741">
        <f>'Berechnung - Bauakustik'!E113</f>
        <v>0</v>
      </c>
      <c r="F273" s="741">
        <f>'Berechnung - Bauakustik'!F113</f>
        <v>0</v>
      </c>
      <c r="G273" s="741">
        <f>'Berechnung - Bauakustik'!G113</f>
        <v>0</v>
      </c>
      <c r="H273" s="741">
        <f>'Berechnung - Bauakustik'!H113</f>
        <v>0</v>
      </c>
      <c r="I273" s="741">
        <f>'Berechnung - Bauakustik'!I113</f>
        <v>0</v>
      </c>
      <c r="J273" s="741">
        <f>'Berechnung - Bauakustik'!J113</f>
        <v>0</v>
      </c>
      <c r="K273" s="741">
        <f>'Berechnung - Bauakustik'!K113</f>
        <v>0</v>
      </c>
      <c r="L273" s="741">
        <f>'Berechnung - Bauakustik'!L113</f>
        <v>0</v>
      </c>
      <c r="M273" s="741">
        <f>'Berechnung - Bauakustik'!M113</f>
        <v>0</v>
      </c>
      <c r="N273" s="741">
        <f>'Berechnung - Bauakustik'!N113</f>
        <v>0</v>
      </c>
      <c r="O273" s="741">
        <f>'Berechnung - Bauakustik'!O113</f>
        <v>0</v>
      </c>
      <c r="P273" s="741">
        <f>'Berechnung - Bauakustik'!P113</f>
        <v>0</v>
      </c>
      <c r="T273" s="735"/>
      <c r="U273" s="734"/>
      <c r="V273" s="736"/>
    </row>
    <row r="274" spans="3:22" ht="14.55" x14ac:dyDescent="0.3">
      <c r="T274" s="735"/>
      <c r="U274" s="734"/>
      <c r="V274" s="736"/>
    </row>
    <row r="275" spans="3:22" ht="14.55" x14ac:dyDescent="0.3">
      <c r="T275" s="735"/>
      <c r="U275" s="734"/>
      <c r="V275" s="736"/>
    </row>
    <row r="276" spans="3:22" ht="14.55" x14ac:dyDescent="0.3">
      <c r="T276" s="735"/>
      <c r="U276" s="734"/>
      <c r="V276" s="736"/>
    </row>
    <row r="277" spans="3:22" ht="14.55" x14ac:dyDescent="0.3">
      <c r="T277" s="735"/>
      <c r="U277" s="734"/>
      <c r="V277" s="736"/>
    </row>
    <row r="278" spans="3:22" ht="14.55" x14ac:dyDescent="0.3">
      <c r="T278" s="735"/>
      <c r="U278" s="734"/>
      <c r="V278" s="736"/>
    </row>
    <row r="279" spans="3:22" ht="14.55" x14ac:dyDescent="0.3">
      <c r="T279" s="735"/>
      <c r="U279" s="734"/>
      <c r="V279" s="736"/>
    </row>
    <row r="280" spans="3:22" ht="14.55" x14ac:dyDescent="0.3">
      <c r="T280" s="735"/>
      <c r="U280" s="734"/>
      <c r="V280" s="736"/>
    </row>
    <row r="281" spans="3:22" ht="14.55" x14ac:dyDescent="0.3">
      <c r="T281" s="735"/>
      <c r="U281" s="734"/>
      <c r="V281" s="736"/>
    </row>
    <row r="282" spans="3:22" ht="14.55" x14ac:dyDescent="0.3">
      <c r="T282" s="735"/>
      <c r="U282" s="734"/>
      <c r="V282" s="736"/>
    </row>
    <row r="283" spans="3:22" ht="14.55" x14ac:dyDescent="0.3">
      <c r="T283" s="735"/>
      <c r="U283" s="734"/>
      <c r="V283" s="736"/>
    </row>
    <row r="284" spans="3:22" ht="14.55" x14ac:dyDescent="0.3">
      <c r="T284" s="735"/>
      <c r="U284" s="734"/>
      <c r="V284" s="736"/>
    </row>
    <row r="285" spans="3:22" ht="14.55" x14ac:dyDescent="0.3">
      <c r="T285" s="735"/>
      <c r="U285" s="734"/>
      <c r="V285" s="736"/>
    </row>
    <row r="286" spans="3:22" ht="14.55" x14ac:dyDescent="0.3">
      <c r="T286" s="735"/>
      <c r="U286" s="734"/>
      <c r="V286" s="736"/>
    </row>
    <row r="287" spans="3:22" ht="14.55" x14ac:dyDescent="0.3">
      <c r="T287" s="735"/>
      <c r="U287" s="734"/>
      <c r="V287" s="736"/>
    </row>
    <row r="288" spans="3:22" ht="14.55" x14ac:dyDescent="0.3">
      <c r="T288" s="735"/>
      <c r="U288" s="734"/>
      <c r="V288" s="736"/>
    </row>
    <row r="289" spans="20:22" ht="14.55" x14ac:dyDescent="0.3">
      <c r="T289" s="735"/>
      <c r="U289" s="734"/>
      <c r="V289" s="736"/>
    </row>
    <row r="290" spans="20:22" ht="14.55" x14ac:dyDescent="0.3">
      <c r="T290" s="735"/>
      <c r="U290" s="734"/>
      <c r="V290" s="736"/>
    </row>
    <row r="291" spans="20:22" ht="14.55" x14ac:dyDescent="0.3">
      <c r="T291" s="735"/>
      <c r="U291" s="734"/>
      <c r="V291" s="736"/>
    </row>
    <row r="292" spans="20:22" ht="14.55" x14ac:dyDescent="0.3">
      <c r="T292" s="735"/>
      <c r="U292" s="734"/>
      <c r="V292" s="736"/>
    </row>
    <row r="293" spans="20:22" ht="14.55" x14ac:dyDescent="0.3">
      <c r="T293" s="735"/>
      <c r="U293" s="734"/>
      <c r="V293" s="736"/>
    </row>
    <row r="294" spans="20:22" ht="14.55" x14ac:dyDescent="0.3">
      <c r="T294" s="735"/>
      <c r="U294" s="734"/>
      <c r="V294" s="736"/>
    </row>
    <row r="295" spans="20:22" ht="14.55" x14ac:dyDescent="0.3">
      <c r="T295" s="735"/>
      <c r="U295" s="734"/>
      <c r="V295" s="736"/>
    </row>
    <row r="296" spans="20:22" ht="14.55" x14ac:dyDescent="0.3">
      <c r="T296" s="735"/>
      <c r="U296" s="734"/>
      <c r="V296" s="736"/>
    </row>
    <row r="297" spans="20:22" ht="14.55" x14ac:dyDescent="0.3">
      <c r="T297" s="735"/>
      <c r="U297" s="734"/>
      <c r="V297" s="736"/>
    </row>
    <row r="298" spans="20:22" ht="14.55" x14ac:dyDescent="0.3">
      <c r="T298" s="735"/>
      <c r="U298" s="734"/>
      <c r="V298" s="736"/>
    </row>
    <row r="299" spans="20:22" ht="14.55" x14ac:dyDescent="0.3">
      <c r="T299" s="735"/>
      <c r="U299" s="734"/>
      <c r="V299" s="736"/>
    </row>
    <row r="300" spans="20:22" ht="14.55" x14ac:dyDescent="0.3">
      <c r="T300" s="735"/>
      <c r="U300" s="734"/>
      <c r="V300" s="736"/>
    </row>
    <row r="301" spans="20:22" ht="14.55" x14ac:dyDescent="0.3">
      <c r="T301" s="735"/>
      <c r="U301" s="734"/>
      <c r="V301" s="736"/>
    </row>
    <row r="302" spans="20:22" ht="14.55" x14ac:dyDescent="0.3">
      <c r="T302" s="735"/>
      <c r="U302" s="734"/>
      <c r="V302" s="736"/>
    </row>
    <row r="303" spans="20:22" ht="14.55" x14ac:dyDescent="0.3">
      <c r="T303" s="735"/>
      <c r="U303" s="734"/>
      <c r="V303" s="736"/>
    </row>
    <row r="304" spans="20:22" ht="14.55" x14ac:dyDescent="0.3">
      <c r="T304" s="735"/>
      <c r="U304" s="734"/>
      <c r="V304" s="736"/>
    </row>
    <row r="305" spans="20:22" ht="14.55" x14ac:dyDescent="0.3">
      <c r="T305" s="735"/>
      <c r="U305" s="734"/>
      <c r="V305" s="736"/>
    </row>
    <row r="306" spans="20:22" ht="14.55" x14ac:dyDescent="0.3">
      <c r="T306" s="735"/>
      <c r="U306" s="734"/>
      <c r="V306" s="736"/>
    </row>
    <row r="307" spans="20:22" ht="14.55" x14ac:dyDescent="0.3">
      <c r="T307" s="735"/>
      <c r="U307" s="734"/>
      <c r="V307" s="736"/>
    </row>
    <row r="308" spans="20:22" ht="14.55" x14ac:dyDescent="0.3">
      <c r="T308" s="735"/>
      <c r="U308" s="734"/>
      <c r="V308" s="736"/>
    </row>
    <row r="309" spans="20:22" ht="14.55" x14ac:dyDescent="0.3">
      <c r="T309" s="735"/>
      <c r="U309" s="734"/>
      <c r="V309" s="736"/>
    </row>
    <row r="310" spans="20:22" ht="14.55" x14ac:dyDescent="0.3">
      <c r="T310" s="735"/>
      <c r="U310" s="734"/>
      <c r="V310" s="736"/>
    </row>
    <row r="311" spans="20:22" ht="14.55" x14ac:dyDescent="0.3">
      <c r="T311" s="735"/>
      <c r="U311" s="734"/>
      <c r="V311" s="736"/>
    </row>
    <row r="312" spans="20:22" ht="14.55" x14ac:dyDescent="0.3">
      <c r="T312" s="735"/>
      <c r="U312" s="734"/>
      <c r="V312" s="736"/>
    </row>
    <row r="313" spans="20:22" ht="14.55" x14ac:dyDescent="0.3">
      <c r="T313" s="735"/>
      <c r="U313" s="734"/>
      <c r="V313" s="736"/>
    </row>
    <row r="314" spans="20:22" ht="14.55" x14ac:dyDescent="0.3">
      <c r="T314" s="735"/>
      <c r="U314" s="734"/>
      <c r="V314" s="736"/>
    </row>
    <row r="315" spans="20:22" ht="14.55" x14ac:dyDescent="0.3">
      <c r="T315" s="735"/>
      <c r="U315" s="734"/>
      <c r="V315" s="736"/>
    </row>
    <row r="316" spans="20:22" ht="14.55" x14ac:dyDescent="0.3">
      <c r="T316" s="735"/>
      <c r="U316" s="734"/>
      <c r="V316" s="736"/>
    </row>
    <row r="317" spans="20:22" ht="14.55" x14ac:dyDescent="0.3">
      <c r="T317" s="735"/>
      <c r="U317" s="734"/>
      <c r="V317" s="736"/>
    </row>
    <row r="318" spans="20:22" ht="14.55" x14ac:dyDescent="0.3">
      <c r="T318" s="735"/>
      <c r="U318" s="734"/>
      <c r="V318" s="736"/>
    </row>
    <row r="319" spans="20:22" ht="14.55" x14ac:dyDescent="0.3">
      <c r="T319" s="735"/>
      <c r="U319" s="734"/>
      <c r="V319" s="736"/>
    </row>
    <row r="320" spans="20:22" ht="14.55" x14ac:dyDescent="0.3">
      <c r="T320" s="735"/>
      <c r="U320" s="734"/>
      <c r="V320" s="736"/>
    </row>
    <row r="321" spans="20:22" ht="14.55" x14ac:dyDescent="0.3">
      <c r="T321" s="735"/>
      <c r="U321" s="734"/>
      <c r="V321" s="736"/>
    </row>
    <row r="322" spans="20:22" ht="14.55" x14ac:dyDescent="0.3">
      <c r="T322" s="735"/>
      <c r="U322" s="734"/>
      <c r="V322" s="736"/>
    </row>
    <row r="323" spans="20:22" ht="14.55" x14ac:dyDescent="0.3">
      <c r="T323" s="735"/>
      <c r="U323" s="734"/>
      <c r="V323" s="736"/>
    </row>
    <row r="324" spans="20:22" ht="14.55" x14ac:dyDescent="0.3">
      <c r="T324" s="735"/>
      <c r="U324" s="734"/>
      <c r="V324" s="736"/>
    </row>
    <row r="325" spans="20:22" ht="14.55" x14ac:dyDescent="0.3">
      <c r="T325" s="735"/>
      <c r="U325" s="734"/>
      <c r="V325" s="736"/>
    </row>
    <row r="326" spans="20:22" ht="14.55" x14ac:dyDescent="0.3">
      <c r="T326" s="735"/>
      <c r="U326" s="734"/>
      <c r="V326" s="736"/>
    </row>
    <row r="327" spans="20:22" ht="14.55" x14ac:dyDescent="0.3">
      <c r="T327" s="735"/>
      <c r="U327" s="734"/>
      <c r="V327" s="736"/>
    </row>
    <row r="328" spans="20:22" ht="14.55" x14ac:dyDescent="0.3">
      <c r="T328" s="735"/>
      <c r="U328" s="734"/>
      <c r="V328" s="736"/>
    </row>
    <row r="329" spans="20:22" ht="14.55" x14ac:dyDescent="0.3">
      <c r="T329" s="735"/>
      <c r="U329" s="734"/>
      <c r="V329" s="736"/>
    </row>
    <row r="330" spans="20:22" ht="14.55" x14ac:dyDescent="0.3">
      <c r="T330" s="735"/>
      <c r="U330" s="734"/>
      <c r="V330" s="736"/>
    </row>
    <row r="331" spans="20:22" ht="14.55" x14ac:dyDescent="0.3">
      <c r="T331" s="735"/>
      <c r="U331" s="734"/>
      <c r="V331" s="736"/>
    </row>
    <row r="332" spans="20:22" ht="14.55" x14ac:dyDescent="0.3">
      <c r="T332" s="735"/>
      <c r="U332" s="734"/>
      <c r="V332" s="736"/>
    </row>
    <row r="333" spans="20:22" ht="14.55" x14ac:dyDescent="0.3">
      <c r="T333" s="735"/>
      <c r="U333" s="734"/>
      <c r="V333" s="736"/>
    </row>
    <row r="334" spans="20:22" ht="14.55" x14ac:dyDescent="0.3">
      <c r="T334" s="735"/>
      <c r="U334" s="734"/>
      <c r="V334" s="736"/>
    </row>
    <row r="335" spans="20:22" ht="14.55" x14ac:dyDescent="0.3">
      <c r="T335" s="735"/>
      <c r="U335" s="734"/>
      <c r="V335" s="736"/>
    </row>
    <row r="336" spans="20:22" ht="14.55" x14ac:dyDescent="0.3">
      <c r="T336" s="735"/>
      <c r="U336" s="734"/>
      <c r="V336" s="736"/>
    </row>
    <row r="337" spans="20:22" ht="14.55" x14ac:dyDescent="0.3">
      <c r="T337" s="735"/>
      <c r="U337" s="734"/>
      <c r="V337" s="736"/>
    </row>
    <row r="338" spans="20:22" ht="14.55" x14ac:dyDescent="0.3">
      <c r="T338" s="735"/>
      <c r="U338" s="734"/>
      <c r="V338" s="736"/>
    </row>
    <row r="339" spans="20:22" ht="14.55" x14ac:dyDescent="0.3">
      <c r="T339" s="735"/>
      <c r="U339" s="734"/>
      <c r="V339" s="736"/>
    </row>
    <row r="340" spans="20:22" ht="14.55" x14ac:dyDescent="0.3">
      <c r="T340" s="735"/>
      <c r="U340" s="734"/>
      <c r="V340" s="736"/>
    </row>
    <row r="341" spans="20:22" ht="14.55" x14ac:dyDescent="0.3">
      <c r="T341" s="735"/>
      <c r="U341" s="734"/>
      <c r="V341" s="736"/>
    </row>
    <row r="342" spans="20:22" ht="14.55" x14ac:dyDescent="0.3">
      <c r="T342" s="735"/>
      <c r="U342" s="734"/>
      <c r="V342" s="736"/>
    </row>
    <row r="343" spans="20:22" ht="14.55" x14ac:dyDescent="0.3">
      <c r="T343" s="735"/>
      <c r="U343" s="734"/>
      <c r="V343" s="736"/>
    </row>
    <row r="344" spans="20:22" ht="14.55" x14ac:dyDescent="0.3">
      <c r="T344" s="735"/>
      <c r="U344" s="734"/>
      <c r="V344" s="736"/>
    </row>
    <row r="345" spans="20:22" ht="14.55" x14ac:dyDescent="0.3">
      <c r="T345" s="735"/>
      <c r="U345" s="734"/>
      <c r="V345" s="736"/>
    </row>
    <row r="346" spans="20:22" ht="14.55" x14ac:dyDescent="0.3">
      <c r="T346" s="735"/>
      <c r="U346" s="734"/>
      <c r="V346" s="736"/>
    </row>
    <row r="347" spans="20:22" ht="14.55" x14ac:dyDescent="0.3">
      <c r="T347" s="735"/>
      <c r="U347" s="734"/>
      <c r="V347" s="736"/>
    </row>
    <row r="348" spans="20:22" ht="14.55" x14ac:dyDescent="0.3">
      <c r="T348" s="735"/>
      <c r="U348" s="734"/>
      <c r="V348" s="736"/>
    </row>
    <row r="349" spans="20:22" ht="14.55" x14ac:dyDescent="0.3">
      <c r="T349" s="735"/>
      <c r="U349" s="734"/>
      <c r="V349" s="736"/>
    </row>
    <row r="350" spans="20:22" ht="14.55" x14ac:dyDescent="0.3">
      <c r="T350" s="735"/>
      <c r="U350" s="734"/>
      <c r="V350" s="736"/>
    </row>
    <row r="351" spans="20:22" ht="14.55" x14ac:dyDescent="0.3">
      <c r="T351" s="735"/>
      <c r="U351" s="734"/>
      <c r="V351" s="736"/>
    </row>
    <row r="352" spans="20:22" ht="14.55" x14ac:dyDescent="0.3">
      <c r="T352" s="735"/>
      <c r="U352" s="734"/>
      <c r="V352" s="736"/>
    </row>
    <row r="353" spans="20:22" ht="14.55" x14ac:dyDescent="0.3">
      <c r="T353" s="735"/>
      <c r="U353" s="734"/>
      <c r="V353" s="736"/>
    </row>
    <row r="354" spans="20:22" ht="14.55" x14ac:dyDescent="0.3">
      <c r="T354" s="735"/>
      <c r="U354" s="734"/>
      <c r="V354" s="736"/>
    </row>
    <row r="355" spans="20:22" ht="14.55" x14ac:dyDescent="0.3">
      <c r="T355" s="735"/>
      <c r="U355" s="734"/>
      <c r="V355" s="736"/>
    </row>
    <row r="356" spans="20:22" ht="14.55" x14ac:dyDescent="0.3">
      <c r="T356" s="735"/>
      <c r="U356" s="734"/>
      <c r="V356" s="736"/>
    </row>
    <row r="357" spans="20:22" ht="14.55" x14ac:dyDescent="0.3">
      <c r="T357" s="735"/>
      <c r="U357" s="734"/>
      <c r="V357" s="736"/>
    </row>
    <row r="358" spans="20:22" ht="14.55" x14ac:dyDescent="0.3">
      <c r="T358" s="735"/>
      <c r="U358" s="734"/>
      <c r="V358" s="736"/>
    </row>
    <row r="359" spans="20:22" ht="14.55" x14ac:dyDescent="0.3">
      <c r="T359" s="735"/>
      <c r="U359" s="734"/>
      <c r="V359" s="736"/>
    </row>
    <row r="360" spans="20:22" ht="14.55" x14ac:dyDescent="0.3">
      <c r="T360" s="735"/>
      <c r="U360" s="734"/>
      <c r="V360" s="736"/>
    </row>
    <row r="361" spans="20:22" ht="14.55" x14ac:dyDescent="0.3">
      <c r="T361" s="735"/>
      <c r="U361" s="734"/>
      <c r="V361" s="736"/>
    </row>
    <row r="362" spans="20:22" ht="14.55" x14ac:dyDescent="0.3">
      <c r="T362" s="735"/>
      <c r="U362" s="734"/>
      <c r="V362" s="736"/>
    </row>
    <row r="363" spans="20:22" ht="14.55" x14ac:dyDescent="0.3">
      <c r="T363" s="735"/>
      <c r="U363" s="734"/>
      <c r="V363" s="736"/>
    </row>
    <row r="364" spans="20:22" ht="14.55" x14ac:dyDescent="0.3">
      <c r="T364" s="735"/>
      <c r="U364" s="734"/>
      <c r="V364" s="736"/>
    </row>
    <row r="365" spans="20:22" ht="14.55" x14ac:dyDescent="0.3">
      <c r="T365" s="735"/>
      <c r="U365" s="734"/>
      <c r="V365" s="736"/>
    </row>
    <row r="366" spans="20:22" ht="14.55" x14ac:dyDescent="0.3">
      <c r="T366" s="735"/>
      <c r="U366" s="734"/>
      <c r="V366" s="736"/>
    </row>
    <row r="367" spans="20:22" ht="14.55" x14ac:dyDescent="0.3">
      <c r="T367" s="735"/>
      <c r="U367" s="734"/>
      <c r="V367" s="736"/>
    </row>
    <row r="368" spans="20:22" ht="14.55" x14ac:dyDescent="0.3">
      <c r="T368" s="735"/>
      <c r="U368" s="734"/>
      <c r="V368" s="736"/>
    </row>
    <row r="369" spans="20:22" ht="14.55" x14ac:dyDescent="0.3">
      <c r="T369" s="735"/>
      <c r="U369" s="734"/>
      <c r="V369" s="736"/>
    </row>
    <row r="370" spans="20:22" ht="14.55" x14ac:dyDescent="0.3">
      <c r="T370" s="735"/>
      <c r="U370" s="734"/>
      <c r="V370" s="736"/>
    </row>
    <row r="371" spans="20:22" ht="14.55" x14ac:dyDescent="0.3">
      <c r="T371" s="735"/>
      <c r="U371" s="734"/>
      <c r="V371" s="736"/>
    </row>
    <row r="372" spans="20:22" ht="14.55" x14ac:dyDescent="0.3">
      <c r="T372" s="735"/>
      <c r="U372" s="734"/>
      <c r="V372" s="736"/>
    </row>
    <row r="373" spans="20:22" ht="14.55" x14ac:dyDescent="0.3">
      <c r="T373" s="735"/>
      <c r="U373" s="734"/>
      <c r="V373" s="736"/>
    </row>
    <row r="374" spans="20:22" ht="14.55" x14ac:dyDescent="0.3">
      <c r="T374" s="735"/>
      <c r="U374" s="734"/>
      <c r="V374" s="736"/>
    </row>
    <row r="375" spans="20:22" ht="14.55" x14ac:dyDescent="0.3">
      <c r="T375" s="735"/>
      <c r="U375" s="734"/>
      <c r="V375" s="736"/>
    </row>
    <row r="376" spans="20:22" ht="14.55" x14ac:dyDescent="0.3">
      <c r="T376" s="735"/>
      <c r="U376" s="734"/>
      <c r="V376" s="736"/>
    </row>
    <row r="377" spans="20:22" ht="14.55" x14ac:dyDescent="0.3">
      <c r="T377" s="735"/>
      <c r="U377" s="734"/>
      <c r="V377" s="736"/>
    </row>
    <row r="378" spans="20:22" ht="14.55" x14ac:dyDescent="0.3">
      <c r="T378" s="735"/>
      <c r="U378" s="734"/>
      <c r="V378" s="736"/>
    </row>
    <row r="379" spans="20:22" ht="14.55" x14ac:dyDescent="0.3">
      <c r="T379" s="735"/>
      <c r="U379" s="734"/>
      <c r="V379" s="736"/>
    </row>
    <row r="380" spans="20:22" ht="14.55" x14ac:dyDescent="0.3">
      <c r="T380" s="735"/>
      <c r="U380" s="734"/>
      <c r="V380" s="736"/>
    </row>
    <row r="381" spans="20:22" ht="14.55" x14ac:dyDescent="0.3">
      <c r="T381" s="735"/>
      <c r="U381" s="734"/>
      <c r="V381" s="736"/>
    </row>
    <row r="382" spans="20:22" ht="14.55" x14ac:dyDescent="0.3">
      <c r="T382" s="735"/>
      <c r="U382" s="734"/>
      <c r="V382" s="736"/>
    </row>
    <row r="383" spans="20:22" ht="14.55" x14ac:dyDescent="0.3">
      <c r="T383" s="735"/>
      <c r="U383" s="734"/>
      <c r="V383" s="736"/>
    </row>
    <row r="384" spans="20:22" ht="14.55" x14ac:dyDescent="0.3">
      <c r="T384" s="735"/>
      <c r="U384" s="734"/>
      <c r="V384" s="736"/>
    </row>
    <row r="385" spans="20:22" ht="14.55" x14ac:dyDescent="0.3">
      <c r="T385" s="735"/>
      <c r="U385" s="734"/>
      <c r="V385" s="736"/>
    </row>
    <row r="386" spans="20:22" ht="14.55" x14ac:dyDescent="0.3">
      <c r="T386" s="735"/>
      <c r="U386" s="734"/>
      <c r="V386" s="736"/>
    </row>
    <row r="387" spans="20:22" ht="14.55" x14ac:dyDescent="0.3">
      <c r="T387" s="735"/>
      <c r="U387" s="734"/>
      <c r="V387" s="736"/>
    </row>
    <row r="388" spans="20:22" ht="14.55" x14ac:dyDescent="0.3">
      <c r="T388" s="735"/>
      <c r="U388" s="734"/>
      <c r="V388" s="736"/>
    </row>
    <row r="389" spans="20:22" ht="14.55" x14ac:dyDescent="0.3">
      <c r="T389" s="735"/>
      <c r="U389" s="734"/>
      <c r="V389" s="736"/>
    </row>
    <row r="390" spans="20:22" ht="14.55" x14ac:dyDescent="0.3">
      <c r="T390" s="735"/>
      <c r="U390" s="734"/>
      <c r="V390" s="736"/>
    </row>
    <row r="391" spans="20:22" ht="14.55" x14ac:dyDescent="0.3">
      <c r="T391" s="735"/>
      <c r="U391" s="734"/>
      <c r="V391" s="736"/>
    </row>
    <row r="392" spans="20:22" ht="14.55" x14ac:dyDescent="0.3">
      <c r="T392" s="735"/>
      <c r="U392" s="734"/>
      <c r="V392" s="736"/>
    </row>
    <row r="393" spans="20:22" ht="14.55" x14ac:dyDescent="0.3">
      <c r="T393" s="735"/>
      <c r="U393" s="734"/>
      <c r="V393" s="736"/>
    </row>
    <row r="394" spans="20:22" ht="14.55" x14ac:dyDescent="0.3">
      <c r="T394" s="735"/>
      <c r="U394" s="734"/>
      <c r="V394" s="736"/>
    </row>
    <row r="395" spans="20:22" ht="14.55" x14ac:dyDescent="0.3">
      <c r="T395" s="735"/>
      <c r="U395" s="734"/>
      <c r="V395" s="736"/>
    </row>
    <row r="396" spans="20:22" ht="14.55" x14ac:dyDescent="0.3">
      <c r="T396" s="735"/>
      <c r="U396" s="734"/>
      <c r="V396" s="736"/>
    </row>
    <row r="397" spans="20:22" ht="14.55" x14ac:dyDescent="0.3">
      <c r="T397" s="735"/>
      <c r="U397" s="734"/>
      <c r="V397" s="736"/>
    </row>
    <row r="398" spans="20:22" ht="14.55" x14ac:dyDescent="0.3">
      <c r="T398" s="735"/>
      <c r="U398" s="734"/>
      <c r="V398" s="736"/>
    </row>
    <row r="399" spans="20:22" ht="14.55" x14ac:dyDescent="0.3">
      <c r="T399" s="735"/>
      <c r="U399" s="734"/>
      <c r="V399" s="736"/>
    </row>
    <row r="400" spans="20:22" ht="14.55" x14ac:dyDescent="0.3">
      <c r="T400" s="735"/>
      <c r="U400" s="734"/>
      <c r="V400" s="736"/>
    </row>
    <row r="401" spans="20:22" ht="14.55" x14ac:dyDescent="0.3">
      <c r="T401" s="735"/>
      <c r="U401" s="734"/>
      <c r="V401" s="736"/>
    </row>
    <row r="402" spans="20:22" ht="14.55" x14ac:dyDescent="0.3">
      <c r="T402" s="735"/>
      <c r="U402" s="734"/>
      <c r="V402" s="736"/>
    </row>
    <row r="403" spans="20:22" ht="14.55" x14ac:dyDescent="0.3">
      <c r="T403" s="735"/>
      <c r="U403" s="734"/>
      <c r="V403" s="736"/>
    </row>
    <row r="404" spans="20:22" ht="14.55" x14ac:dyDescent="0.3">
      <c r="T404" s="735"/>
      <c r="U404" s="734"/>
      <c r="V404" s="736"/>
    </row>
    <row r="405" spans="20:22" ht="14.55" x14ac:dyDescent="0.3">
      <c r="T405" s="735"/>
      <c r="U405" s="734"/>
      <c r="V405" s="736"/>
    </row>
    <row r="406" spans="20:22" ht="14.55" x14ac:dyDescent="0.3">
      <c r="T406" s="735"/>
      <c r="U406" s="734"/>
      <c r="V406" s="736"/>
    </row>
    <row r="407" spans="20:22" ht="14.55" x14ac:dyDescent="0.3">
      <c r="T407" s="735"/>
      <c r="U407" s="734"/>
      <c r="V407" s="736"/>
    </row>
    <row r="408" spans="20:22" ht="14.55" x14ac:dyDescent="0.3">
      <c r="T408" s="735"/>
      <c r="U408" s="734"/>
      <c r="V408" s="736"/>
    </row>
    <row r="409" spans="20:22" ht="14.55" x14ac:dyDescent="0.3">
      <c r="T409" s="735"/>
      <c r="U409" s="734"/>
      <c r="V409" s="736"/>
    </row>
    <row r="410" spans="20:22" ht="14.55" x14ac:dyDescent="0.3">
      <c r="T410" s="735"/>
      <c r="U410" s="734"/>
      <c r="V410" s="736"/>
    </row>
    <row r="411" spans="20:22" ht="14.55" x14ac:dyDescent="0.3">
      <c r="T411" s="735"/>
      <c r="U411" s="734"/>
      <c r="V411" s="736"/>
    </row>
    <row r="412" spans="20:22" ht="14.55" x14ac:dyDescent="0.3">
      <c r="T412" s="735"/>
      <c r="U412" s="734"/>
      <c r="V412" s="736"/>
    </row>
    <row r="413" spans="20:22" ht="14.55" x14ac:dyDescent="0.3">
      <c r="T413" s="735"/>
      <c r="U413" s="734"/>
      <c r="V413" s="736"/>
    </row>
    <row r="414" spans="20:22" ht="14.55" x14ac:dyDescent="0.3">
      <c r="T414" s="735"/>
      <c r="U414" s="734"/>
      <c r="V414" s="736"/>
    </row>
    <row r="415" spans="20:22" ht="14.55" x14ac:dyDescent="0.3">
      <c r="T415" s="735"/>
      <c r="U415" s="734"/>
      <c r="V415" s="736"/>
    </row>
    <row r="416" spans="20:22" ht="14.55" x14ac:dyDescent="0.3">
      <c r="T416" s="735"/>
      <c r="U416" s="734"/>
      <c r="V416" s="736"/>
    </row>
    <row r="417" spans="20:22" ht="14.55" x14ac:dyDescent="0.3">
      <c r="T417" s="735"/>
      <c r="U417" s="734"/>
      <c r="V417" s="736"/>
    </row>
    <row r="418" spans="20:22" ht="14.55" x14ac:dyDescent="0.3">
      <c r="T418" s="735"/>
      <c r="U418" s="734"/>
      <c r="V418" s="736"/>
    </row>
    <row r="419" spans="20:22" ht="14.55" x14ac:dyDescent="0.3">
      <c r="T419" s="735"/>
      <c r="U419" s="734"/>
      <c r="V419" s="736"/>
    </row>
    <row r="420" spans="20:22" ht="14.55" x14ac:dyDescent="0.3">
      <c r="T420" s="735"/>
      <c r="U420" s="734"/>
      <c r="V420" s="736"/>
    </row>
    <row r="421" spans="20:22" ht="14.55" x14ac:dyDescent="0.3">
      <c r="T421" s="735"/>
      <c r="U421" s="734"/>
      <c r="V421" s="736"/>
    </row>
    <row r="422" spans="20:22" ht="14.55" x14ac:dyDescent="0.3">
      <c r="T422" s="735"/>
      <c r="U422" s="734"/>
      <c r="V422" s="736"/>
    </row>
    <row r="423" spans="20:22" ht="14.55" x14ac:dyDescent="0.3">
      <c r="T423" s="735"/>
      <c r="U423" s="734"/>
      <c r="V423" s="736"/>
    </row>
    <row r="424" spans="20:22" ht="14.55" x14ac:dyDescent="0.3">
      <c r="T424" s="735"/>
      <c r="U424" s="734"/>
      <c r="V424" s="736"/>
    </row>
    <row r="425" spans="20:22" ht="14.55" x14ac:dyDescent="0.3">
      <c r="T425" s="735"/>
      <c r="U425" s="734"/>
      <c r="V425" s="736"/>
    </row>
    <row r="426" spans="20:22" ht="14.55" x14ac:dyDescent="0.3">
      <c r="T426" s="735"/>
      <c r="U426" s="734"/>
      <c r="V426" s="736"/>
    </row>
    <row r="427" spans="20:22" ht="14.55" x14ac:dyDescent="0.3">
      <c r="T427" s="735"/>
      <c r="U427" s="734"/>
      <c r="V427" s="736"/>
    </row>
    <row r="428" spans="20:22" ht="14.55" x14ac:dyDescent="0.3">
      <c r="T428" s="735"/>
      <c r="U428" s="734"/>
      <c r="V428" s="736"/>
    </row>
    <row r="429" spans="20:22" ht="14.55" x14ac:dyDescent="0.3">
      <c r="T429" s="735"/>
      <c r="U429" s="734"/>
      <c r="V429" s="736"/>
    </row>
    <row r="430" spans="20:22" ht="14.55" x14ac:dyDescent="0.3">
      <c r="T430" s="735"/>
      <c r="U430" s="734"/>
      <c r="V430" s="736"/>
    </row>
    <row r="431" spans="20:22" ht="14.55" x14ac:dyDescent="0.3">
      <c r="T431" s="735"/>
      <c r="U431" s="734"/>
      <c r="V431" s="736"/>
    </row>
    <row r="432" spans="20:22" ht="14.55" x14ac:dyDescent="0.3">
      <c r="T432" s="735"/>
      <c r="U432" s="734"/>
      <c r="V432" s="736"/>
    </row>
    <row r="433" spans="20:22" ht="14.55" x14ac:dyDescent="0.3">
      <c r="T433" s="735"/>
      <c r="U433" s="734"/>
      <c r="V433" s="736"/>
    </row>
    <row r="434" spans="20:22" ht="14.55" x14ac:dyDescent="0.3">
      <c r="T434" s="735"/>
      <c r="U434" s="734"/>
      <c r="V434" s="736"/>
    </row>
    <row r="435" spans="20:22" ht="14.55" x14ac:dyDescent="0.3">
      <c r="T435" s="735"/>
      <c r="U435" s="734"/>
      <c r="V435" s="736"/>
    </row>
    <row r="436" spans="20:22" ht="14.55" x14ac:dyDescent="0.3">
      <c r="T436" s="735"/>
      <c r="U436" s="734"/>
      <c r="V436" s="736"/>
    </row>
    <row r="437" spans="20:22" ht="14.55" x14ac:dyDescent="0.3">
      <c r="T437" s="735"/>
      <c r="U437" s="734"/>
      <c r="V437" s="736"/>
    </row>
    <row r="438" spans="20:22" ht="14.55" x14ac:dyDescent="0.3">
      <c r="T438" s="735"/>
      <c r="U438" s="734"/>
      <c r="V438" s="736"/>
    </row>
    <row r="439" spans="20:22" ht="14.55" x14ac:dyDescent="0.3">
      <c r="T439" s="735"/>
      <c r="U439" s="734"/>
      <c r="V439" s="736"/>
    </row>
    <row r="440" spans="20:22" ht="14.55" x14ac:dyDescent="0.3">
      <c r="T440" s="735"/>
      <c r="U440" s="734"/>
      <c r="V440" s="736"/>
    </row>
    <row r="441" spans="20:22" ht="14.55" x14ac:dyDescent="0.3">
      <c r="T441" s="735"/>
      <c r="U441" s="734"/>
      <c r="V441" s="736"/>
    </row>
    <row r="442" spans="20:22" ht="14.55" x14ac:dyDescent="0.3">
      <c r="T442" s="735"/>
      <c r="U442" s="734"/>
      <c r="V442" s="736"/>
    </row>
    <row r="443" spans="20:22" ht="14.55" x14ac:dyDescent="0.3">
      <c r="T443" s="735"/>
      <c r="U443" s="734"/>
      <c r="V443" s="736"/>
    </row>
    <row r="444" spans="20:22" ht="14.55" x14ac:dyDescent="0.3">
      <c r="T444" s="735"/>
      <c r="U444" s="734"/>
      <c r="V444" s="736"/>
    </row>
    <row r="445" spans="20:22" ht="14.55" x14ac:dyDescent="0.3">
      <c r="T445" s="735"/>
      <c r="U445" s="734"/>
      <c r="V445" s="736"/>
    </row>
    <row r="446" spans="20:22" ht="14.55" x14ac:dyDescent="0.3">
      <c r="T446" s="735"/>
      <c r="U446" s="734"/>
      <c r="V446" s="736"/>
    </row>
    <row r="447" spans="20:22" ht="14.55" x14ac:dyDescent="0.3">
      <c r="T447" s="735"/>
      <c r="U447" s="734"/>
      <c r="V447" s="736"/>
    </row>
    <row r="448" spans="20:22" ht="14.55" x14ac:dyDescent="0.3">
      <c r="T448" s="735"/>
      <c r="U448" s="734"/>
      <c r="V448" s="736"/>
    </row>
    <row r="449" spans="20:22" ht="14.55" x14ac:dyDescent="0.3">
      <c r="T449" s="735"/>
      <c r="U449" s="734"/>
      <c r="V449" s="736"/>
    </row>
    <row r="450" spans="20:22" ht="14.55" x14ac:dyDescent="0.3">
      <c r="T450" s="735"/>
      <c r="U450" s="734"/>
      <c r="V450" s="736"/>
    </row>
    <row r="451" spans="20:22" ht="14.55" x14ac:dyDescent="0.3">
      <c r="T451" s="735"/>
      <c r="U451" s="734"/>
      <c r="V451" s="736"/>
    </row>
    <row r="452" spans="20:22" ht="14.55" x14ac:dyDescent="0.3">
      <c r="T452" s="735"/>
      <c r="U452" s="734"/>
      <c r="V452" s="736"/>
    </row>
    <row r="453" spans="20:22" ht="14.55" x14ac:dyDescent="0.3">
      <c r="T453" s="735"/>
      <c r="U453" s="734"/>
      <c r="V453" s="736"/>
    </row>
    <row r="454" spans="20:22" ht="14.55" x14ac:dyDescent="0.3">
      <c r="T454" s="735"/>
      <c r="U454" s="734"/>
      <c r="V454" s="736"/>
    </row>
    <row r="455" spans="20:22" ht="14.55" x14ac:dyDescent="0.3">
      <c r="T455" s="735"/>
      <c r="U455" s="734"/>
      <c r="V455" s="736"/>
    </row>
    <row r="456" spans="20:22" ht="14.55" x14ac:dyDescent="0.3">
      <c r="T456" s="735"/>
      <c r="U456" s="734"/>
      <c r="V456" s="736"/>
    </row>
    <row r="457" spans="20:22" ht="14.55" x14ac:dyDescent="0.3">
      <c r="T457" s="735"/>
      <c r="U457" s="734"/>
      <c r="V457" s="736"/>
    </row>
    <row r="458" spans="20:22" ht="14.55" x14ac:dyDescent="0.3">
      <c r="T458" s="735"/>
      <c r="U458" s="734"/>
      <c r="V458" s="736"/>
    </row>
    <row r="459" spans="20:22" ht="14.55" x14ac:dyDescent="0.3">
      <c r="T459" s="735"/>
      <c r="U459" s="734"/>
      <c r="V459" s="736"/>
    </row>
    <row r="460" spans="20:22" ht="14.55" x14ac:dyDescent="0.3">
      <c r="T460" s="735"/>
      <c r="U460" s="734"/>
      <c r="V460" s="736"/>
    </row>
    <row r="461" spans="20:22" ht="14.55" x14ac:dyDescent="0.3">
      <c r="T461" s="735"/>
      <c r="U461" s="734"/>
      <c r="V461" s="736"/>
    </row>
    <row r="462" spans="20:22" ht="14.55" x14ac:dyDescent="0.3">
      <c r="T462" s="735"/>
      <c r="U462" s="734"/>
      <c r="V462" s="736"/>
    </row>
    <row r="463" spans="20:22" ht="14.55" x14ac:dyDescent="0.3">
      <c r="T463" s="735"/>
      <c r="U463" s="734"/>
      <c r="V463" s="736"/>
    </row>
    <row r="464" spans="20:22" ht="14.55" x14ac:dyDescent="0.3">
      <c r="T464" s="735"/>
      <c r="U464" s="734"/>
      <c r="V464" s="736"/>
    </row>
    <row r="465" spans="20:22" ht="14.55" x14ac:dyDescent="0.3">
      <c r="T465" s="735"/>
      <c r="U465" s="734"/>
      <c r="V465" s="736"/>
    </row>
    <row r="466" spans="20:22" ht="14.55" x14ac:dyDescent="0.3">
      <c r="T466" s="735"/>
      <c r="U466" s="734"/>
      <c r="V466" s="736"/>
    </row>
    <row r="467" spans="20:22" ht="14.55" x14ac:dyDescent="0.3">
      <c r="T467" s="735"/>
      <c r="U467" s="734"/>
      <c r="V467" s="736"/>
    </row>
    <row r="468" spans="20:22" ht="14.55" x14ac:dyDescent="0.3">
      <c r="T468" s="735"/>
      <c r="U468" s="734"/>
      <c r="V468" s="736"/>
    </row>
    <row r="469" spans="20:22" ht="14.55" x14ac:dyDescent="0.3">
      <c r="T469" s="735"/>
      <c r="U469" s="734"/>
      <c r="V469" s="736"/>
    </row>
    <row r="470" spans="20:22" ht="14.55" x14ac:dyDescent="0.3">
      <c r="T470" s="735"/>
      <c r="U470" s="734"/>
      <c r="V470" s="736"/>
    </row>
    <row r="471" spans="20:22" ht="14.55" x14ac:dyDescent="0.3">
      <c r="T471" s="735"/>
      <c r="U471" s="734"/>
      <c r="V471" s="736"/>
    </row>
    <row r="472" spans="20:22" ht="14.55" x14ac:dyDescent="0.3">
      <c r="T472" s="735"/>
      <c r="U472" s="734"/>
      <c r="V472" s="736"/>
    </row>
    <row r="473" spans="20:22" ht="14.55" x14ac:dyDescent="0.3">
      <c r="T473" s="735"/>
      <c r="U473" s="734"/>
      <c r="V473" s="736"/>
    </row>
    <row r="474" spans="20:22" ht="14.55" x14ac:dyDescent="0.3">
      <c r="T474" s="735"/>
      <c r="U474" s="734"/>
      <c r="V474" s="736"/>
    </row>
    <row r="475" spans="20:22" ht="14.55" x14ac:dyDescent="0.3">
      <c r="T475" s="735"/>
      <c r="U475" s="734"/>
      <c r="V475" s="736"/>
    </row>
    <row r="476" spans="20:22" ht="14.55" x14ac:dyDescent="0.3">
      <c r="T476" s="735"/>
      <c r="U476" s="734"/>
      <c r="V476" s="736"/>
    </row>
    <row r="477" spans="20:22" ht="14.55" x14ac:dyDescent="0.3">
      <c r="T477" s="735"/>
      <c r="U477" s="734"/>
      <c r="V477" s="736"/>
    </row>
    <row r="478" spans="20:22" ht="14.55" x14ac:dyDescent="0.3">
      <c r="T478" s="735"/>
      <c r="U478" s="734"/>
      <c r="V478" s="736"/>
    </row>
    <row r="479" spans="20:22" ht="14.55" x14ac:dyDescent="0.3">
      <c r="T479" s="735"/>
      <c r="U479" s="734"/>
      <c r="V479" s="736"/>
    </row>
    <row r="480" spans="20:22" ht="14.55" x14ac:dyDescent="0.3">
      <c r="T480" s="735"/>
      <c r="U480" s="734"/>
      <c r="V480" s="736"/>
    </row>
    <row r="481" spans="20:22" ht="14.55" x14ac:dyDescent="0.3">
      <c r="T481" s="735"/>
      <c r="U481" s="734"/>
      <c r="V481" s="736"/>
    </row>
    <row r="482" spans="20:22" ht="14.55" x14ac:dyDescent="0.3">
      <c r="T482" s="735"/>
      <c r="U482" s="734"/>
      <c r="V482" s="736"/>
    </row>
    <row r="483" spans="20:22" ht="14.55" x14ac:dyDescent="0.3">
      <c r="T483" s="735"/>
      <c r="U483" s="734"/>
      <c r="V483" s="736"/>
    </row>
    <row r="484" spans="20:22" ht="14.55" x14ac:dyDescent="0.3">
      <c r="T484" s="735"/>
      <c r="U484" s="734"/>
      <c r="V484" s="736"/>
    </row>
    <row r="485" spans="20:22" ht="14.55" x14ac:dyDescent="0.3">
      <c r="T485" s="735"/>
      <c r="U485" s="734"/>
      <c r="V485" s="736"/>
    </row>
    <row r="486" spans="20:22" ht="14.55" x14ac:dyDescent="0.3">
      <c r="T486" s="735"/>
      <c r="U486" s="734"/>
      <c r="V486" s="736"/>
    </row>
    <row r="487" spans="20:22" ht="14.55" x14ac:dyDescent="0.3">
      <c r="T487" s="735"/>
      <c r="U487" s="734"/>
      <c r="V487" s="736"/>
    </row>
    <row r="488" spans="20:22" ht="14.55" x14ac:dyDescent="0.3">
      <c r="T488" s="735"/>
      <c r="U488" s="734"/>
      <c r="V488" s="736"/>
    </row>
    <row r="489" spans="20:22" ht="14.55" x14ac:dyDescent="0.3">
      <c r="T489" s="735"/>
      <c r="U489" s="734"/>
      <c r="V489" s="736"/>
    </row>
    <row r="490" spans="20:22" ht="14.55" x14ac:dyDescent="0.3">
      <c r="T490" s="735"/>
      <c r="U490" s="734"/>
      <c r="V490" s="736"/>
    </row>
    <row r="491" spans="20:22" ht="14.55" x14ac:dyDescent="0.3">
      <c r="T491" s="735"/>
      <c r="U491" s="734"/>
      <c r="V491" s="736"/>
    </row>
    <row r="492" spans="20:22" ht="14.55" x14ac:dyDescent="0.3">
      <c r="T492" s="735"/>
      <c r="U492" s="734"/>
      <c r="V492" s="736"/>
    </row>
    <row r="493" spans="20:22" ht="14.55" x14ac:dyDescent="0.3">
      <c r="T493" s="735"/>
      <c r="U493" s="734"/>
      <c r="V493" s="736"/>
    </row>
    <row r="494" spans="20:22" ht="14.55" x14ac:dyDescent="0.3">
      <c r="T494" s="735"/>
      <c r="U494" s="734"/>
      <c r="V494" s="736"/>
    </row>
    <row r="495" spans="20:22" ht="14.55" x14ac:dyDescent="0.3">
      <c r="T495" s="735"/>
      <c r="U495" s="734"/>
      <c r="V495" s="736"/>
    </row>
    <row r="496" spans="20:22" ht="14.55" x14ac:dyDescent="0.3">
      <c r="T496" s="735"/>
      <c r="U496" s="734"/>
      <c r="V496" s="736"/>
    </row>
    <row r="497" spans="20:22" ht="14.55" x14ac:dyDescent="0.3">
      <c r="T497" s="735"/>
      <c r="U497" s="734"/>
      <c r="V497" s="736"/>
    </row>
    <row r="498" spans="20:22" ht="14.55" x14ac:dyDescent="0.3">
      <c r="T498" s="735"/>
      <c r="U498" s="734"/>
      <c r="V498" s="736"/>
    </row>
    <row r="499" spans="20:22" ht="14.55" x14ac:dyDescent="0.3">
      <c r="T499" s="735"/>
      <c r="U499" s="734"/>
      <c r="V499" s="736"/>
    </row>
    <row r="500" spans="20:22" ht="14.55" x14ac:dyDescent="0.3">
      <c r="T500" s="735"/>
      <c r="U500" s="734"/>
      <c r="V500" s="736"/>
    </row>
    <row r="501" spans="20:22" ht="14.55" x14ac:dyDescent="0.3">
      <c r="T501" s="735"/>
      <c r="U501" s="734"/>
      <c r="V501" s="736"/>
    </row>
    <row r="502" spans="20:22" ht="14.55" x14ac:dyDescent="0.3">
      <c r="T502" s="735"/>
      <c r="U502" s="734"/>
      <c r="V502" s="736"/>
    </row>
    <row r="503" spans="20:22" ht="14.55" x14ac:dyDescent="0.3">
      <c r="T503" s="735"/>
      <c r="U503" s="734"/>
      <c r="V503" s="736"/>
    </row>
    <row r="504" spans="20:22" ht="14.55" x14ac:dyDescent="0.3">
      <c r="T504" s="735"/>
      <c r="U504" s="734"/>
      <c r="V504" s="736"/>
    </row>
    <row r="505" spans="20:22" ht="14.55" x14ac:dyDescent="0.3">
      <c r="T505" s="735"/>
      <c r="U505" s="734"/>
      <c r="V505" s="736"/>
    </row>
    <row r="506" spans="20:22" ht="14.55" x14ac:dyDescent="0.3">
      <c r="T506" s="735"/>
      <c r="U506" s="734"/>
      <c r="V506" s="736"/>
    </row>
    <row r="507" spans="20:22" ht="14.55" x14ac:dyDescent="0.3">
      <c r="T507" s="735"/>
      <c r="U507" s="734"/>
      <c r="V507" s="736"/>
    </row>
    <row r="508" spans="20:22" ht="14.55" x14ac:dyDescent="0.3">
      <c r="T508" s="735"/>
      <c r="U508" s="734"/>
      <c r="V508" s="736"/>
    </row>
    <row r="509" spans="20:22" ht="14.55" x14ac:dyDescent="0.3">
      <c r="T509" s="735"/>
      <c r="U509" s="734"/>
      <c r="V509" s="736"/>
    </row>
    <row r="510" spans="20:22" ht="14.55" x14ac:dyDescent="0.3">
      <c r="T510" s="735"/>
      <c r="U510" s="734"/>
      <c r="V510" s="736"/>
    </row>
    <row r="511" spans="20:22" ht="14.55" x14ac:dyDescent="0.3">
      <c r="T511" s="735"/>
      <c r="U511" s="734"/>
      <c r="V511" s="736"/>
    </row>
    <row r="512" spans="20:22" ht="14.55" x14ac:dyDescent="0.3">
      <c r="T512" s="735"/>
      <c r="U512" s="734"/>
      <c r="V512" s="736"/>
    </row>
    <row r="513" spans="20:22" ht="14.55" x14ac:dyDescent="0.3">
      <c r="T513" s="735"/>
      <c r="U513" s="734"/>
      <c r="V513" s="736"/>
    </row>
    <row r="514" spans="20:22" ht="14.55" x14ac:dyDescent="0.3">
      <c r="T514" s="735"/>
      <c r="U514" s="734"/>
      <c r="V514" s="736"/>
    </row>
    <row r="515" spans="20:22" ht="14.55" x14ac:dyDescent="0.3">
      <c r="T515" s="735"/>
      <c r="U515" s="734"/>
      <c r="V515" s="736"/>
    </row>
    <row r="516" spans="20:22" ht="14.55" x14ac:dyDescent="0.3">
      <c r="T516" s="735"/>
      <c r="U516" s="734"/>
      <c r="V516" s="736"/>
    </row>
    <row r="517" spans="20:22" ht="14.55" x14ac:dyDescent="0.3">
      <c r="T517" s="735"/>
      <c r="U517" s="734"/>
      <c r="V517" s="736"/>
    </row>
    <row r="518" spans="20:22" ht="14.55" x14ac:dyDescent="0.3">
      <c r="T518" s="735"/>
      <c r="U518" s="734"/>
      <c r="V518" s="736"/>
    </row>
    <row r="519" spans="20:22" ht="14.55" x14ac:dyDescent="0.3">
      <c r="T519" s="735"/>
      <c r="U519" s="734"/>
      <c r="V519" s="736"/>
    </row>
    <row r="520" spans="20:22" ht="14.55" x14ac:dyDescent="0.3">
      <c r="T520" s="735"/>
      <c r="U520" s="734"/>
      <c r="V520" s="736"/>
    </row>
    <row r="521" spans="20:22" ht="14.55" x14ac:dyDescent="0.3">
      <c r="T521" s="735"/>
      <c r="U521" s="734"/>
      <c r="V521" s="736"/>
    </row>
    <row r="522" spans="20:22" ht="14.55" x14ac:dyDescent="0.3">
      <c r="T522" s="735"/>
      <c r="U522" s="734"/>
      <c r="V522" s="736"/>
    </row>
    <row r="523" spans="20:22" ht="14.55" x14ac:dyDescent="0.3">
      <c r="T523" s="735"/>
      <c r="U523" s="734"/>
      <c r="V523" s="736"/>
    </row>
    <row r="524" spans="20:22" ht="14.55" x14ac:dyDescent="0.3">
      <c r="T524" s="735"/>
      <c r="U524" s="734"/>
      <c r="V524" s="736"/>
    </row>
    <row r="525" spans="20:22" ht="14.55" x14ac:dyDescent="0.3">
      <c r="T525" s="735"/>
      <c r="U525" s="734"/>
      <c r="V525" s="736"/>
    </row>
    <row r="526" spans="20:22" ht="14.55" x14ac:dyDescent="0.3">
      <c r="T526" s="735"/>
      <c r="U526" s="734"/>
      <c r="V526" s="736"/>
    </row>
    <row r="527" spans="20:22" ht="14.55" x14ac:dyDescent="0.3">
      <c r="T527" s="735"/>
      <c r="U527" s="734"/>
      <c r="V527" s="736"/>
    </row>
    <row r="528" spans="20:22" ht="14.55" x14ac:dyDescent="0.3">
      <c r="T528" s="735"/>
      <c r="U528" s="734"/>
      <c r="V528" s="736"/>
    </row>
    <row r="529" spans="20:22" ht="14.55" x14ac:dyDescent="0.3">
      <c r="T529" s="735"/>
      <c r="U529" s="734"/>
      <c r="V529" s="736"/>
    </row>
    <row r="530" spans="20:22" ht="14.55" x14ac:dyDescent="0.3">
      <c r="T530" s="735"/>
      <c r="U530" s="734"/>
      <c r="V530" s="736"/>
    </row>
    <row r="531" spans="20:22" ht="14.55" x14ac:dyDescent="0.3">
      <c r="T531" s="735"/>
      <c r="U531" s="734"/>
      <c r="V531" s="736"/>
    </row>
    <row r="532" spans="20:22" ht="14.55" x14ac:dyDescent="0.3">
      <c r="T532" s="735"/>
      <c r="U532" s="734"/>
      <c r="V532" s="736"/>
    </row>
    <row r="533" spans="20:22" ht="14.55" x14ac:dyDescent="0.3">
      <c r="T533" s="735"/>
      <c r="U533" s="734"/>
      <c r="V533" s="736"/>
    </row>
    <row r="534" spans="20:22" ht="14.55" x14ac:dyDescent="0.3">
      <c r="T534" s="735"/>
      <c r="U534" s="734"/>
      <c r="V534" s="736"/>
    </row>
    <row r="535" spans="20:22" ht="14.55" x14ac:dyDescent="0.3">
      <c r="T535" s="735"/>
      <c r="U535" s="734"/>
      <c r="V535" s="736"/>
    </row>
    <row r="536" spans="20:22" ht="14.55" x14ac:dyDescent="0.3">
      <c r="T536" s="735"/>
      <c r="U536" s="734"/>
      <c r="V536" s="736"/>
    </row>
    <row r="537" spans="20:22" ht="14.55" x14ac:dyDescent="0.3">
      <c r="T537" s="735"/>
      <c r="U537" s="734"/>
      <c r="V537" s="736"/>
    </row>
    <row r="538" spans="20:22" ht="14.55" x14ac:dyDescent="0.3">
      <c r="T538" s="735"/>
      <c r="U538" s="734"/>
      <c r="V538" s="736"/>
    </row>
    <row r="539" spans="20:22" ht="14.55" x14ac:dyDescent="0.3">
      <c r="T539" s="735"/>
      <c r="U539" s="734"/>
      <c r="V539" s="736"/>
    </row>
    <row r="540" spans="20:22" ht="14.55" x14ac:dyDescent="0.3">
      <c r="T540" s="735"/>
      <c r="U540" s="734"/>
      <c r="V540" s="736"/>
    </row>
    <row r="541" spans="20:22" ht="14.55" x14ac:dyDescent="0.3">
      <c r="T541" s="735"/>
      <c r="U541" s="734"/>
      <c r="V541" s="736"/>
    </row>
    <row r="542" spans="20:22" ht="14.55" x14ac:dyDescent="0.3">
      <c r="T542" s="735"/>
      <c r="U542" s="734"/>
      <c r="V542" s="736"/>
    </row>
    <row r="543" spans="20:22" ht="14.55" x14ac:dyDescent="0.3">
      <c r="T543" s="735"/>
      <c r="U543" s="734"/>
      <c r="V543" s="736"/>
    </row>
    <row r="544" spans="20:22" ht="14.55" x14ac:dyDescent="0.3">
      <c r="T544" s="735"/>
      <c r="U544" s="734"/>
      <c r="V544" s="736"/>
    </row>
    <row r="545" spans="20:22" ht="14.55" x14ac:dyDescent="0.3">
      <c r="T545" s="735"/>
      <c r="U545" s="734"/>
      <c r="V545" s="736"/>
    </row>
    <row r="546" spans="20:22" ht="14.55" x14ac:dyDescent="0.3">
      <c r="T546" s="735"/>
      <c r="U546" s="734"/>
      <c r="V546" s="736"/>
    </row>
    <row r="547" spans="20:22" ht="14.55" x14ac:dyDescent="0.3">
      <c r="T547" s="735"/>
      <c r="U547" s="734"/>
      <c r="V547" s="736"/>
    </row>
    <row r="548" spans="20:22" ht="14.55" x14ac:dyDescent="0.3">
      <c r="T548" s="735"/>
      <c r="U548" s="734"/>
      <c r="V548" s="736"/>
    </row>
    <row r="549" spans="20:22" ht="14.55" x14ac:dyDescent="0.3">
      <c r="T549" s="735"/>
      <c r="U549" s="734"/>
      <c r="V549" s="736"/>
    </row>
    <row r="550" spans="20:22" ht="14.55" x14ac:dyDescent="0.3">
      <c r="T550" s="735"/>
      <c r="U550" s="734"/>
      <c r="V550" s="736"/>
    </row>
    <row r="551" spans="20:22" ht="14.55" x14ac:dyDescent="0.3">
      <c r="T551" s="735"/>
      <c r="U551" s="734"/>
      <c r="V551" s="736"/>
    </row>
    <row r="552" spans="20:22" ht="14.55" x14ac:dyDescent="0.3">
      <c r="T552" s="735"/>
      <c r="U552" s="734"/>
      <c r="V552" s="736"/>
    </row>
    <row r="553" spans="20:22" ht="14.55" x14ac:dyDescent="0.3">
      <c r="T553" s="735"/>
      <c r="U553" s="734"/>
      <c r="V553" s="736"/>
    </row>
    <row r="554" spans="20:22" ht="14.55" x14ac:dyDescent="0.3">
      <c r="T554" s="735"/>
      <c r="U554" s="734"/>
      <c r="V554" s="736"/>
    </row>
    <row r="555" spans="20:22" ht="14.55" x14ac:dyDescent="0.3">
      <c r="T555" s="735"/>
      <c r="U555" s="734"/>
      <c r="V555" s="736"/>
    </row>
    <row r="556" spans="20:22" ht="14.55" x14ac:dyDescent="0.3">
      <c r="T556" s="735"/>
      <c r="U556" s="734"/>
      <c r="V556" s="736"/>
    </row>
    <row r="557" spans="20:22" ht="14.55" x14ac:dyDescent="0.3">
      <c r="T557" s="735"/>
      <c r="U557" s="734"/>
      <c r="V557" s="736"/>
    </row>
    <row r="558" spans="20:22" ht="14.55" x14ac:dyDescent="0.3">
      <c r="T558" s="735"/>
      <c r="U558" s="734"/>
      <c r="V558" s="736"/>
    </row>
    <row r="559" spans="20:22" ht="14.55" x14ac:dyDescent="0.3">
      <c r="T559" s="735"/>
      <c r="U559" s="734"/>
      <c r="V559" s="736"/>
    </row>
    <row r="560" spans="20:22" ht="14.55" x14ac:dyDescent="0.3">
      <c r="T560" s="735"/>
      <c r="U560" s="734"/>
      <c r="V560" s="736"/>
    </row>
    <row r="561" spans="20:22" ht="14.55" x14ac:dyDescent="0.3">
      <c r="T561" s="735"/>
      <c r="U561" s="734"/>
      <c r="V561" s="736"/>
    </row>
    <row r="562" spans="20:22" ht="14.55" x14ac:dyDescent="0.3">
      <c r="T562" s="735"/>
      <c r="U562" s="734"/>
      <c r="V562" s="736"/>
    </row>
    <row r="563" spans="20:22" ht="14.55" x14ac:dyDescent="0.3">
      <c r="T563" s="735"/>
      <c r="U563" s="734"/>
      <c r="V563" s="736"/>
    </row>
    <row r="564" spans="20:22" ht="14.55" x14ac:dyDescent="0.3">
      <c r="T564" s="735"/>
      <c r="U564" s="734"/>
      <c r="V564" s="736"/>
    </row>
    <row r="565" spans="20:22" ht="14.55" x14ac:dyDescent="0.3">
      <c r="T565" s="735"/>
      <c r="U565" s="734"/>
      <c r="V565" s="736"/>
    </row>
    <row r="566" spans="20:22" ht="14.55" x14ac:dyDescent="0.3">
      <c r="T566" s="735"/>
      <c r="U566" s="734"/>
      <c r="V566" s="736"/>
    </row>
    <row r="567" spans="20:22" ht="14.55" x14ac:dyDescent="0.3">
      <c r="T567" s="735"/>
      <c r="U567" s="734"/>
      <c r="V567" s="736"/>
    </row>
    <row r="568" spans="20:22" ht="14.55" x14ac:dyDescent="0.3">
      <c r="T568" s="735"/>
      <c r="U568" s="734"/>
      <c r="V568" s="736"/>
    </row>
    <row r="569" spans="20:22" ht="14.55" x14ac:dyDescent="0.3">
      <c r="T569" s="735"/>
      <c r="U569" s="734"/>
      <c r="V569" s="736"/>
    </row>
    <row r="570" spans="20:22" ht="14.55" x14ac:dyDescent="0.3">
      <c r="T570" s="735"/>
      <c r="U570" s="734"/>
      <c r="V570" s="736"/>
    </row>
    <row r="571" spans="20:22" ht="14.55" x14ac:dyDescent="0.3">
      <c r="T571" s="735"/>
      <c r="U571" s="734"/>
      <c r="V571" s="736"/>
    </row>
    <row r="572" spans="20:22" ht="14.55" x14ac:dyDescent="0.3">
      <c r="T572" s="735"/>
      <c r="U572" s="734"/>
      <c r="V572" s="736"/>
    </row>
    <row r="573" spans="20:22" ht="14.55" x14ac:dyDescent="0.3">
      <c r="T573" s="735"/>
      <c r="U573" s="734"/>
      <c r="V573" s="736"/>
    </row>
    <row r="574" spans="20:22" ht="14.55" x14ac:dyDescent="0.3">
      <c r="T574" s="735"/>
      <c r="U574" s="734"/>
      <c r="V574" s="736"/>
    </row>
    <row r="575" spans="20:22" ht="14.55" x14ac:dyDescent="0.3">
      <c r="T575" s="735"/>
      <c r="U575" s="734"/>
      <c r="V575" s="736"/>
    </row>
    <row r="576" spans="20:22" ht="14.55" x14ac:dyDescent="0.3">
      <c r="T576" s="735"/>
      <c r="U576" s="734"/>
      <c r="V576" s="736"/>
    </row>
    <row r="577" spans="20:22" ht="14.55" x14ac:dyDescent="0.3">
      <c r="T577" s="735"/>
      <c r="U577" s="734"/>
      <c r="V577" s="736"/>
    </row>
    <row r="578" spans="20:22" ht="14.55" x14ac:dyDescent="0.3">
      <c r="T578" s="735"/>
      <c r="U578" s="734"/>
      <c r="V578" s="736"/>
    </row>
    <row r="579" spans="20:22" ht="14.55" x14ac:dyDescent="0.3">
      <c r="T579" s="735"/>
      <c r="U579" s="734"/>
      <c r="V579" s="736"/>
    </row>
    <row r="580" spans="20:22" ht="14.55" x14ac:dyDescent="0.3">
      <c r="T580" s="735"/>
      <c r="U580" s="734"/>
      <c r="V580" s="736"/>
    </row>
    <row r="581" spans="20:22" ht="14.55" x14ac:dyDescent="0.3">
      <c r="T581" s="735"/>
      <c r="U581" s="734"/>
      <c r="V581" s="736"/>
    </row>
  </sheetData>
  <sheetProtection selectLockedCells="1"/>
  <mergeCells count="102">
    <mergeCell ref="P5:Q5"/>
    <mergeCell ref="D7:E7"/>
    <mergeCell ref="G7:H7"/>
    <mergeCell ref="J7:K7"/>
    <mergeCell ref="M7:N7"/>
    <mergeCell ref="P7:Q7"/>
    <mergeCell ref="B4:B7"/>
    <mergeCell ref="D4:E4"/>
    <mergeCell ref="G4:H4"/>
    <mergeCell ref="J4:K4"/>
    <mergeCell ref="M4:N4"/>
    <mergeCell ref="P4:Q4"/>
    <mergeCell ref="D5:E5"/>
    <mergeCell ref="G5:H5"/>
    <mergeCell ref="J5:K5"/>
    <mergeCell ref="M5:N5"/>
    <mergeCell ref="B39:E39"/>
    <mergeCell ref="G39:H39"/>
    <mergeCell ref="I39:J39"/>
    <mergeCell ref="K39:L39"/>
    <mergeCell ref="B43:E43"/>
    <mergeCell ref="G43:H43"/>
    <mergeCell ref="D31:H31"/>
    <mergeCell ref="D33:D37"/>
    <mergeCell ref="G33:G37"/>
    <mergeCell ref="G38:H38"/>
    <mergeCell ref="I38:J38"/>
    <mergeCell ref="K38:L38"/>
    <mergeCell ref="B44:E44"/>
    <mergeCell ref="G44:H44"/>
    <mergeCell ref="G48:H48"/>
    <mergeCell ref="I48:J48"/>
    <mergeCell ref="K48:M48"/>
    <mergeCell ref="E49:E50"/>
    <mergeCell ref="L49:M49"/>
    <mergeCell ref="L50:M50"/>
    <mergeCell ref="L51:M51"/>
    <mergeCell ref="L61:M61"/>
    <mergeCell ref="L62:M62"/>
    <mergeCell ref="L63:M63"/>
    <mergeCell ref="L67:M67"/>
    <mergeCell ref="B68:E68"/>
    <mergeCell ref="L68:M68"/>
    <mergeCell ref="L52:M52"/>
    <mergeCell ref="L53:M53"/>
    <mergeCell ref="L54:M54"/>
    <mergeCell ref="L55:M55"/>
    <mergeCell ref="E57:E58"/>
    <mergeCell ref="L57:M57"/>
    <mergeCell ref="L58:M58"/>
    <mergeCell ref="L59:M59"/>
    <mergeCell ref="L60:M60"/>
    <mergeCell ref="D57:D63"/>
    <mergeCell ref="D49:D55"/>
    <mergeCell ref="L76:M76"/>
    <mergeCell ref="B77:E77"/>
    <mergeCell ref="L77:M77"/>
    <mergeCell ref="B78:E78"/>
    <mergeCell ref="L78:M78"/>
    <mergeCell ref="B79:E79"/>
    <mergeCell ref="L79:M79"/>
    <mergeCell ref="B69:E69"/>
    <mergeCell ref="L69:M69"/>
    <mergeCell ref="B70:E70"/>
    <mergeCell ref="L70:M70"/>
    <mergeCell ref="B71:E71"/>
    <mergeCell ref="L71:M71"/>
    <mergeCell ref="G88:H88"/>
    <mergeCell ref="I88:J88"/>
    <mergeCell ref="K88:M88"/>
    <mergeCell ref="B89:E89"/>
    <mergeCell ref="L89:M89"/>
    <mergeCell ref="H91:K91"/>
    <mergeCell ref="B80:E80"/>
    <mergeCell ref="L80:M80"/>
    <mergeCell ref="C82:C86"/>
    <mergeCell ref="L82:M82"/>
    <mergeCell ref="L83:M83"/>
    <mergeCell ref="L84:M84"/>
    <mergeCell ref="L85:M85"/>
    <mergeCell ref="L86:M86"/>
    <mergeCell ref="H95:I95"/>
    <mergeCell ref="J95:K95"/>
    <mergeCell ref="H96:I96"/>
    <mergeCell ref="J96:K96"/>
    <mergeCell ref="H97:I97"/>
    <mergeCell ref="J97:K97"/>
    <mergeCell ref="H92:I92"/>
    <mergeCell ref="J92:K92"/>
    <mergeCell ref="H93:I93"/>
    <mergeCell ref="J93:K93"/>
    <mergeCell ref="H94:I94"/>
    <mergeCell ref="J94:K94"/>
    <mergeCell ref="H101:I101"/>
    <mergeCell ref="J101:K101"/>
    <mergeCell ref="H102:I102"/>
    <mergeCell ref="H98:I98"/>
    <mergeCell ref="J98:K98"/>
    <mergeCell ref="H99:I99"/>
    <mergeCell ref="J99:K99"/>
    <mergeCell ref="H100:I100"/>
    <mergeCell ref="J100:K100"/>
  </mergeCells>
  <conditionalFormatting sqref="C106:P114">
    <cfRule type="cellIs" dxfId="786" priority="8" operator="greaterThan">
      <formula>0</formula>
    </cfRule>
  </conditionalFormatting>
  <conditionalFormatting sqref="B8:B27">
    <cfRule type="colorScale" priority="7">
      <colorScale>
        <cfvo type="min"/>
        <cfvo type="percentile" val="50"/>
        <cfvo type="max"/>
        <color rgb="FF63BE7B"/>
        <color rgb="FFFFEB84"/>
        <color rgb="FFF8696B"/>
      </colorScale>
    </cfRule>
  </conditionalFormatting>
  <conditionalFormatting sqref="D8:D27">
    <cfRule type="colorScale" priority="6">
      <colorScale>
        <cfvo type="min"/>
        <cfvo type="percentile" val="50"/>
        <cfvo type="max"/>
        <color rgb="FF63BE7B"/>
        <color rgb="FFFFEB84"/>
        <color rgb="FFF8696B"/>
      </colorScale>
    </cfRule>
  </conditionalFormatting>
  <conditionalFormatting sqref="E8:E27">
    <cfRule type="colorScale" priority="5">
      <colorScale>
        <cfvo type="min"/>
        <cfvo type="percentile" val="50"/>
        <cfvo type="max"/>
        <color rgb="FF63BE7B"/>
        <color rgb="FFFFEB84"/>
        <color rgb="FFF8696B"/>
      </colorScale>
    </cfRule>
  </conditionalFormatting>
  <conditionalFormatting sqref="G8:G27">
    <cfRule type="colorScale" priority="4">
      <colorScale>
        <cfvo type="min"/>
        <cfvo type="percentile" val="50"/>
        <cfvo type="max"/>
        <color rgb="FF63BE7B"/>
        <color rgb="FFFFEB84"/>
        <color rgb="FFF8696B"/>
      </colorScale>
    </cfRule>
  </conditionalFormatting>
  <conditionalFormatting sqref="H8:H27">
    <cfRule type="colorScale" priority="3">
      <colorScale>
        <cfvo type="min"/>
        <cfvo type="percentile" val="50"/>
        <cfvo type="max"/>
        <color rgb="FF63BE7B"/>
        <color rgb="FFFFEB84"/>
        <color rgb="FFF8696B"/>
      </colorScale>
    </cfRule>
  </conditionalFormatting>
  <conditionalFormatting sqref="J8:J27">
    <cfRule type="colorScale" priority="2">
      <colorScale>
        <cfvo type="min"/>
        <cfvo type="percentile" val="50"/>
        <cfvo type="max"/>
        <color rgb="FF63BE7B"/>
        <color rgb="FFFFEB84"/>
        <color rgb="FFF8696B"/>
      </colorScale>
    </cfRule>
  </conditionalFormatting>
  <conditionalFormatting sqref="K8:K27">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9592-D6F4-4CF4-B826-34DF955DE61B}">
  <sheetPr>
    <tabColor rgb="FFFFC000"/>
  </sheetPr>
  <dimension ref="A2:V581"/>
  <sheetViews>
    <sheetView workbookViewId="0"/>
  </sheetViews>
  <sheetFormatPr baseColWidth="10" defaultColWidth="11.44140625" defaultRowHeight="13.9" x14ac:dyDescent="0.25"/>
  <cols>
    <col min="1" max="1" width="3.21875" style="641" customWidth="1"/>
    <col min="2" max="2" width="30.44140625" style="641" customWidth="1"/>
    <col min="3" max="3" width="10.5546875" style="641" bestFit="1" customWidth="1"/>
    <col min="4" max="5" width="15.77734375" style="641" customWidth="1"/>
    <col min="6" max="6" width="10.5546875" style="641" bestFit="1" customWidth="1"/>
    <col min="7" max="7" width="17" style="641" customWidth="1"/>
    <col min="8" max="8" width="17.21875" style="641" customWidth="1"/>
    <col min="9" max="9" width="11.44140625" style="641" customWidth="1"/>
    <col min="10" max="11" width="15.77734375" style="641" customWidth="1"/>
    <col min="12" max="12" width="10.5546875" style="641" bestFit="1" customWidth="1"/>
    <col min="13" max="14" width="15.77734375" style="641" customWidth="1"/>
    <col min="15" max="15" width="10.5546875" style="641" bestFit="1" customWidth="1"/>
    <col min="16" max="17" width="15.77734375" style="641" customWidth="1"/>
    <col min="18" max="19" width="11.44140625" style="641"/>
    <col min="20" max="20" width="49" style="641" bestFit="1" customWidth="1"/>
    <col min="21" max="21" width="27.44140625" style="641" bestFit="1" customWidth="1"/>
    <col min="22" max="22" width="98.77734375" style="641" customWidth="1"/>
    <col min="23" max="16384" width="11.44140625" style="641"/>
  </cols>
  <sheetData>
    <row r="2" spans="1:17" x14ac:dyDescent="0.25">
      <c r="B2" s="630" t="s">
        <v>547</v>
      </c>
    </row>
    <row r="3" spans="1:17" ht="14.55" thickBot="1" x14ac:dyDescent="0.3"/>
    <row r="4" spans="1:17" ht="14.55" x14ac:dyDescent="0.25">
      <c r="A4" s="651"/>
      <c r="B4" s="1443" t="s">
        <v>300</v>
      </c>
      <c r="C4" s="593"/>
      <c r="D4" s="1448" t="s">
        <v>301</v>
      </c>
      <c r="E4" s="1449"/>
      <c r="F4" s="593"/>
      <c r="G4" s="1448" t="s">
        <v>302</v>
      </c>
      <c r="H4" s="1449"/>
      <c r="I4" s="593"/>
      <c r="J4" s="1448" t="s">
        <v>303</v>
      </c>
      <c r="K4" s="1449"/>
      <c r="L4" s="593"/>
      <c r="M4" s="1805" t="s">
        <v>304</v>
      </c>
      <c r="N4" s="1806"/>
      <c r="O4" s="593"/>
      <c r="P4" s="1805" t="s">
        <v>305</v>
      </c>
      <c r="Q4" s="1806"/>
    </row>
    <row r="5" spans="1:17" ht="14.55" x14ac:dyDescent="0.25">
      <c r="A5" s="651"/>
      <c r="B5" s="1444"/>
      <c r="C5" s="593"/>
      <c r="D5" s="1450" t="s">
        <v>306</v>
      </c>
      <c r="E5" s="1451"/>
      <c r="F5" s="593"/>
      <c r="G5" s="1450" t="s">
        <v>307</v>
      </c>
      <c r="H5" s="1451"/>
      <c r="I5" s="593"/>
      <c r="J5" s="1450" t="s">
        <v>308</v>
      </c>
      <c r="K5" s="1451"/>
      <c r="L5" s="593"/>
      <c r="M5" s="1803" t="s">
        <v>548</v>
      </c>
      <c r="N5" s="1804"/>
      <c r="O5" s="593"/>
      <c r="P5" s="1803" t="s">
        <v>549</v>
      </c>
      <c r="Q5" s="1804"/>
    </row>
    <row r="6" spans="1:17" ht="14.55" x14ac:dyDescent="0.25">
      <c r="A6" s="651"/>
      <c r="B6" s="1444"/>
      <c r="C6" s="593"/>
      <c r="D6" s="595" t="s">
        <v>311</v>
      </c>
      <c r="E6" s="596" t="s">
        <v>312</v>
      </c>
      <c r="F6" s="593"/>
      <c r="G6" s="595" t="s">
        <v>311</v>
      </c>
      <c r="H6" s="596" t="s">
        <v>312</v>
      </c>
      <c r="I6" s="593"/>
      <c r="J6" s="595" t="s">
        <v>311</v>
      </c>
      <c r="K6" s="596" t="s">
        <v>312</v>
      </c>
      <c r="L6" s="593"/>
      <c r="M6" s="595" t="s">
        <v>311</v>
      </c>
      <c r="N6" s="596" t="s">
        <v>312</v>
      </c>
      <c r="O6" s="593"/>
      <c r="P6" s="595" t="s">
        <v>311</v>
      </c>
      <c r="Q6" s="596" t="s">
        <v>312</v>
      </c>
    </row>
    <row r="7" spans="1:17" ht="15.2" thickBot="1" x14ac:dyDescent="0.3">
      <c r="A7" s="651"/>
      <c r="B7" s="1445"/>
      <c r="C7" s="593"/>
      <c r="D7" s="1446" t="s">
        <v>3</v>
      </c>
      <c r="E7" s="1447"/>
      <c r="F7" s="593"/>
      <c r="G7" s="1446" t="s">
        <v>3</v>
      </c>
      <c r="H7" s="1447"/>
      <c r="I7" s="593"/>
      <c r="J7" s="1446" t="s">
        <v>3</v>
      </c>
      <c r="K7" s="1447"/>
      <c r="L7" s="593"/>
      <c r="M7" s="1441" t="s">
        <v>3</v>
      </c>
      <c r="N7" s="1442"/>
      <c r="O7" s="593"/>
      <c r="P7" s="1441" t="s">
        <v>3</v>
      </c>
      <c r="Q7" s="1442"/>
    </row>
    <row r="8" spans="1:17" ht="14.55" x14ac:dyDescent="0.25">
      <c r="A8" s="651"/>
      <c r="B8" s="567">
        <v>50000</v>
      </c>
      <c r="C8" s="564"/>
      <c r="D8" s="463">
        <v>1714</v>
      </c>
      <c r="E8" s="463">
        <v>2226</v>
      </c>
      <c r="F8" s="564"/>
      <c r="G8" s="463">
        <f>E8</f>
        <v>2226</v>
      </c>
      <c r="H8" s="463">
        <v>2737</v>
      </c>
      <c r="I8" s="564"/>
      <c r="J8" s="463">
        <f>H8</f>
        <v>2737</v>
      </c>
      <c r="K8" s="463">
        <v>3279</v>
      </c>
      <c r="L8" s="564"/>
      <c r="M8" s="463">
        <f>K8</f>
        <v>3279</v>
      </c>
      <c r="N8" s="463">
        <v>3790</v>
      </c>
      <c r="O8" s="564"/>
      <c r="P8" s="463">
        <f>N8</f>
        <v>3790</v>
      </c>
      <c r="Q8" s="463">
        <v>4301</v>
      </c>
    </row>
    <row r="9" spans="1:17" ht="14.55" x14ac:dyDescent="0.25">
      <c r="A9" s="651"/>
      <c r="B9" s="713">
        <v>75000</v>
      </c>
      <c r="C9" s="564"/>
      <c r="D9" s="569">
        <v>1805</v>
      </c>
      <c r="E9" s="569">
        <v>2343</v>
      </c>
      <c r="F9" s="564"/>
      <c r="G9" s="569">
        <f t="shared" ref="G9:G26" si="0">E9</f>
        <v>2343</v>
      </c>
      <c r="H9" s="569">
        <v>2881</v>
      </c>
      <c r="I9" s="564"/>
      <c r="J9" s="569">
        <f t="shared" ref="J9:J27" si="1">H9</f>
        <v>2881</v>
      </c>
      <c r="K9" s="569">
        <v>3452</v>
      </c>
      <c r="L9" s="564"/>
      <c r="M9" s="569">
        <f t="shared" ref="M9:M27" si="2">K9</f>
        <v>3452</v>
      </c>
      <c r="N9" s="569">
        <v>3990</v>
      </c>
      <c r="O9" s="564"/>
      <c r="P9" s="569">
        <f t="shared" ref="P9:P27" si="3">N9</f>
        <v>3990</v>
      </c>
      <c r="Q9" s="569">
        <v>4528</v>
      </c>
    </row>
    <row r="10" spans="1:17" ht="14.55" x14ac:dyDescent="0.25">
      <c r="A10" s="651"/>
      <c r="B10" s="713">
        <v>100000</v>
      </c>
      <c r="C10" s="564"/>
      <c r="D10" s="569">
        <v>1892</v>
      </c>
      <c r="E10" s="569">
        <v>2457</v>
      </c>
      <c r="F10" s="564"/>
      <c r="G10" s="569">
        <f t="shared" si="0"/>
        <v>2457</v>
      </c>
      <c r="H10" s="569">
        <v>3021</v>
      </c>
      <c r="I10" s="564"/>
      <c r="J10" s="569">
        <f t="shared" si="1"/>
        <v>3021</v>
      </c>
      <c r="K10" s="569">
        <v>3619</v>
      </c>
      <c r="L10" s="564"/>
      <c r="M10" s="569">
        <f t="shared" si="2"/>
        <v>3619</v>
      </c>
      <c r="N10" s="569">
        <v>4183</v>
      </c>
      <c r="O10" s="564"/>
      <c r="P10" s="569">
        <f t="shared" si="3"/>
        <v>4183</v>
      </c>
      <c r="Q10" s="569">
        <v>4748</v>
      </c>
    </row>
    <row r="11" spans="1:17" ht="14.55" x14ac:dyDescent="0.25">
      <c r="A11" s="651"/>
      <c r="B11" s="571">
        <v>150000</v>
      </c>
      <c r="C11" s="564"/>
      <c r="D11" s="569">
        <v>2061</v>
      </c>
      <c r="E11" s="569">
        <v>2676</v>
      </c>
      <c r="F11" s="564"/>
      <c r="G11" s="569">
        <f t="shared" si="0"/>
        <v>2676</v>
      </c>
      <c r="H11" s="569">
        <v>3291</v>
      </c>
      <c r="I11" s="564"/>
      <c r="J11" s="569">
        <f t="shared" si="1"/>
        <v>3291</v>
      </c>
      <c r="K11" s="569">
        <v>3942</v>
      </c>
      <c r="L11" s="564"/>
      <c r="M11" s="569">
        <f t="shared" si="2"/>
        <v>3942</v>
      </c>
      <c r="N11" s="569">
        <v>4557</v>
      </c>
      <c r="O11" s="564"/>
      <c r="P11" s="569">
        <f t="shared" si="3"/>
        <v>4557</v>
      </c>
      <c r="Q11" s="569">
        <v>5171</v>
      </c>
    </row>
    <row r="12" spans="1:17" ht="15.2" thickBot="1" x14ac:dyDescent="0.3">
      <c r="A12" s="651"/>
      <c r="B12" s="714">
        <v>200000</v>
      </c>
      <c r="C12" s="564"/>
      <c r="D12" s="574">
        <v>2225</v>
      </c>
      <c r="E12" s="574">
        <v>2888</v>
      </c>
      <c r="F12" s="564"/>
      <c r="G12" s="574">
        <f t="shared" si="0"/>
        <v>2888</v>
      </c>
      <c r="H12" s="574">
        <v>3551</v>
      </c>
      <c r="I12" s="564"/>
      <c r="J12" s="574">
        <f t="shared" si="1"/>
        <v>3551</v>
      </c>
      <c r="K12" s="574">
        <v>4254</v>
      </c>
      <c r="L12" s="564"/>
      <c r="M12" s="574">
        <f t="shared" si="2"/>
        <v>4254</v>
      </c>
      <c r="N12" s="574">
        <v>4917</v>
      </c>
      <c r="O12" s="564"/>
      <c r="P12" s="574">
        <f t="shared" si="3"/>
        <v>4917</v>
      </c>
      <c r="Q12" s="574">
        <v>5581</v>
      </c>
    </row>
    <row r="13" spans="1:17" ht="14.55" x14ac:dyDescent="0.25">
      <c r="A13" s="651"/>
      <c r="B13" s="567">
        <v>250000</v>
      </c>
      <c r="C13" s="564"/>
      <c r="D13" s="463">
        <v>2384</v>
      </c>
      <c r="E13" s="463">
        <v>3095</v>
      </c>
      <c r="F13" s="564"/>
      <c r="G13" s="463">
        <f t="shared" si="0"/>
        <v>3095</v>
      </c>
      <c r="H13" s="463">
        <v>3806</v>
      </c>
      <c r="I13" s="564"/>
      <c r="J13" s="463">
        <f t="shared" si="1"/>
        <v>3806</v>
      </c>
      <c r="K13" s="463">
        <v>4558</v>
      </c>
      <c r="L13" s="564"/>
      <c r="M13" s="463">
        <f t="shared" si="2"/>
        <v>4558</v>
      </c>
      <c r="N13" s="463">
        <v>5269</v>
      </c>
      <c r="O13" s="564"/>
      <c r="P13" s="463">
        <f t="shared" si="3"/>
        <v>5269</v>
      </c>
      <c r="Q13" s="463">
        <v>5980</v>
      </c>
    </row>
    <row r="14" spans="1:17" ht="14.55" x14ac:dyDescent="0.25">
      <c r="A14" s="651"/>
      <c r="B14" s="571">
        <v>300000</v>
      </c>
      <c r="C14" s="564"/>
      <c r="D14" s="569">
        <v>2540</v>
      </c>
      <c r="E14" s="569">
        <v>3297</v>
      </c>
      <c r="F14" s="564"/>
      <c r="G14" s="569">
        <f t="shared" si="0"/>
        <v>3297</v>
      </c>
      <c r="H14" s="569">
        <v>4055</v>
      </c>
      <c r="I14" s="564"/>
      <c r="J14" s="569">
        <f t="shared" si="1"/>
        <v>4055</v>
      </c>
      <c r="K14" s="569">
        <v>4857</v>
      </c>
      <c r="L14" s="564"/>
      <c r="M14" s="569">
        <f t="shared" si="2"/>
        <v>4857</v>
      </c>
      <c r="N14" s="569">
        <v>5614</v>
      </c>
      <c r="O14" s="564"/>
      <c r="P14" s="569">
        <f t="shared" si="3"/>
        <v>5614</v>
      </c>
      <c r="Q14" s="569">
        <v>6371</v>
      </c>
    </row>
    <row r="15" spans="1:17" ht="14.55" x14ac:dyDescent="0.25">
      <c r="A15" s="651"/>
      <c r="B15" s="571">
        <v>400000</v>
      </c>
      <c r="C15" s="564"/>
      <c r="D15" s="569">
        <v>2844</v>
      </c>
      <c r="E15" s="569">
        <v>3693</v>
      </c>
      <c r="F15" s="564"/>
      <c r="G15" s="569">
        <f t="shared" si="0"/>
        <v>3693</v>
      </c>
      <c r="H15" s="569">
        <v>4541</v>
      </c>
      <c r="I15" s="564"/>
      <c r="J15" s="569">
        <f t="shared" si="1"/>
        <v>4541</v>
      </c>
      <c r="K15" s="569">
        <v>5439</v>
      </c>
      <c r="L15" s="564"/>
      <c r="M15" s="569">
        <f t="shared" si="2"/>
        <v>5439</v>
      </c>
      <c r="N15" s="569">
        <v>6287</v>
      </c>
      <c r="O15" s="564"/>
      <c r="P15" s="569">
        <f t="shared" si="3"/>
        <v>6287</v>
      </c>
      <c r="Q15" s="569">
        <v>7136</v>
      </c>
    </row>
    <row r="16" spans="1:17" ht="14.55" x14ac:dyDescent="0.25">
      <c r="A16" s="651"/>
      <c r="B16" s="571">
        <v>500000</v>
      </c>
      <c r="C16" s="564"/>
      <c r="D16" s="569">
        <v>3141</v>
      </c>
      <c r="E16" s="569">
        <v>4078</v>
      </c>
      <c r="F16" s="564"/>
      <c r="G16" s="569">
        <f t="shared" si="0"/>
        <v>4078</v>
      </c>
      <c r="H16" s="569">
        <v>5015</v>
      </c>
      <c r="I16" s="564"/>
      <c r="J16" s="569">
        <f t="shared" si="1"/>
        <v>5015</v>
      </c>
      <c r="K16" s="569">
        <v>6007</v>
      </c>
      <c r="L16" s="564"/>
      <c r="M16" s="569">
        <f t="shared" si="2"/>
        <v>6007</v>
      </c>
      <c r="N16" s="569">
        <v>6944</v>
      </c>
      <c r="O16" s="564"/>
      <c r="P16" s="569">
        <f t="shared" si="3"/>
        <v>6944</v>
      </c>
      <c r="Q16" s="569">
        <v>7881</v>
      </c>
    </row>
    <row r="17" spans="1:17" ht="15.2" thickBot="1" x14ac:dyDescent="0.3">
      <c r="A17" s="651"/>
      <c r="B17" s="714">
        <v>750000</v>
      </c>
      <c r="C17" s="564"/>
      <c r="D17" s="574">
        <v>3860</v>
      </c>
      <c r="E17" s="574">
        <v>5011</v>
      </c>
      <c r="F17" s="564"/>
      <c r="G17" s="574">
        <f t="shared" si="0"/>
        <v>5011</v>
      </c>
      <c r="H17" s="574">
        <v>6163</v>
      </c>
      <c r="I17" s="564"/>
      <c r="J17" s="574">
        <f t="shared" si="1"/>
        <v>6163</v>
      </c>
      <c r="K17" s="574">
        <v>7382</v>
      </c>
      <c r="L17" s="564"/>
      <c r="M17" s="574">
        <f t="shared" si="2"/>
        <v>7382</v>
      </c>
      <c r="N17" s="574">
        <v>8533</v>
      </c>
      <c r="O17" s="564"/>
      <c r="P17" s="574">
        <f t="shared" si="3"/>
        <v>8533</v>
      </c>
      <c r="Q17" s="574">
        <v>9684</v>
      </c>
    </row>
    <row r="18" spans="1:17" ht="14.55" x14ac:dyDescent="0.25">
      <c r="A18" s="651"/>
      <c r="B18" s="567">
        <v>1000000</v>
      </c>
      <c r="C18" s="564"/>
      <c r="D18" s="463">
        <v>4555</v>
      </c>
      <c r="E18" s="463">
        <v>5913</v>
      </c>
      <c r="F18" s="564"/>
      <c r="G18" s="463">
        <f t="shared" si="0"/>
        <v>5913</v>
      </c>
      <c r="H18" s="463">
        <v>7272</v>
      </c>
      <c r="I18" s="564"/>
      <c r="J18" s="463">
        <f t="shared" si="1"/>
        <v>7272</v>
      </c>
      <c r="K18" s="463">
        <v>8710</v>
      </c>
      <c r="L18" s="564"/>
      <c r="M18" s="463">
        <f t="shared" si="2"/>
        <v>8710</v>
      </c>
      <c r="N18" s="463">
        <v>10069</v>
      </c>
      <c r="O18" s="564"/>
      <c r="P18" s="463">
        <f t="shared" si="3"/>
        <v>10069</v>
      </c>
      <c r="Q18" s="463">
        <v>11427</v>
      </c>
    </row>
    <row r="19" spans="1:17" ht="14.55" x14ac:dyDescent="0.25">
      <c r="A19" s="651"/>
      <c r="B19" s="571">
        <v>1500000</v>
      </c>
      <c r="C19" s="564"/>
      <c r="D19" s="569">
        <v>5896</v>
      </c>
      <c r="E19" s="569">
        <v>7655</v>
      </c>
      <c r="F19" s="564"/>
      <c r="G19" s="569">
        <f t="shared" si="0"/>
        <v>7655</v>
      </c>
      <c r="H19" s="569">
        <v>9413</v>
      </c>
      <c r="I19" s="564"/>
      <c r="J19" s="569">
        <f t="shared" si="1"/>
        <v>9413</v>
      </c>
      <c r="K19" s="569">
        <v>11275</v>
      </c>
      <c r="L19" s="564"/>
      <c r="M19" s="569">
        <f t="shared" si="2"/>
        <v>11275</v>
      </c>
      <c r="N19" s="569">
        <v>13034</v>
      </c>
      <c r="O19" s="564"/>
      <c r="P19" s="569">
        <f t="shared" si="3"/>
        <v>13034</v>
      </c>
      <c r="Q19" s="569">
        <v>14792</v>
      </c>
    </row>
    <row r="20" spans="1:17" ht="14.55" x14ac:dyDescent="0.25">
      <c r="A20" s="651"/>
      <c r="B20" s="571">
        <v>2000000</v>
      </c>
      <c r="C20" s="564"/>
      <c r="D20" s="569">
        <v>7193</v>
      </c>
      <c r="E20" s="569">
        <v>9338</v>
      </c>
      <c r="F20" s="564"/>
      <c r="G20" s="569">
        <f t="shared" si="0"/>
        <v>9338</v>
      </c>
      <c r="H20" s="569">
        <v>11483</v>
      </c>
      <c r="I20" s="564"/>
      <c r="J20" s="569">
        <f t="shared" si="1"/>
        <v>11483</v>
      </c>
      <c r="K20" s="569">
        <v>13755</v>
      </c>
      <c r="L20" s="564"/>
      <c r="M20" s="569">
        <f t="shared" si="2"/>
        <v>13755</v>
      </c>
      <c r="N20" s="569">
        <v>15900</v>
      </c>
      <c r="O20" s="564"/>
      <c r="P20" s="569">
        <f t="shared" si="3"/>
        <v>15900</v>
      </c>
      <c r="Q20" s="569">
        <v>18045</v>
      </c>
    </row>
    <row r="21" spans="1:17" ht="14.55" x14ac:dyDescent="0.25">
      <c r="A21" s="651"/>
      <c r="B21" s="571">
        <v>2500000</v>
      </c>
      <c r="C21" s="564"/>
      <c r="D21" s="569">
        <v>8457</v>
      </c>
      <c r="E21" s="569">
        <v>10979</v>
      </c>
      <c r="F21" s="564"/>
      <c r="G21" s="569">
        <f t="shared" si="0"/>
        <v>10979</v>
      </c>
      <c r="H21" s="569">
        <v>13501</v>
      </c>
      <c r="I21" s="564"/>
      <c r="J21" s="569">
        <f t="shared" si="1"/>
        <v>13501</v>
      </c>
      <c r="K21" s="569">
        <v>16172</v>
      </c>
      <c r="L21" s="564"/>
      <c r="M21" s="569">
        <f t="shared" si="2"/>
        <v>16172</v>
      </c>
      <c r="N21" s="569">
        <v>18694</v>
      </c>
      <c r="O21" s="564"/>
      <c r="P21" s="569">
        <f t="shared" si="3"/>
        <v>18694</v>
      </c>
      <c r="Q21" s="569">
        <v>21217</v>
      </c>
    </row>
    <row r="22" spans="1:17" ht="15.2" thickBot="1" x14ac:dyDescent="0.3">
      <c r="A22" s="651"/>
      <c r="B22" s="714">
        <v>3000000</v>
      </c>
      <c r="C22" s="564"/>
      <c r="D22" s="574">
        <v>9696</v>
      </c>
      <c r="E22" s="574">
        <v>12588</v>
      </c>
      <c r="F22" s="564"/>
      <c r="G22" s="574">
        <f t="shared" si="0"/>
        <v>12588</v>
      </c>
      <c r="H22" s="574">
        <v>15479</v>
      </c>
      <c r="I22" s="564"/>
      <c r="J22" s="574">
        <f t="shared" si="1"/>
        <v>15479</v>
      </c>
      <c r="K22" s="574">
        <v>18541</v>
      </c>
      <c r="L22" s="564"/>
      <c r="M22" s="574">
        <f t="shared" si="2"/>
        <v>18541</v>
      </c>
      <c r="N22" s="574">
        <v>21433</v>
      </c>
      <c r="O22" s="564"/>
      <c r="P22" s="574">
        <f t="shared" si="3"/>
        <v>21433</v>
      </c>
      <c r="Q22" s="574">
        <v>24325</v>
      </c>
    </row>
    <row r="23" spans="1:17" ht="14.55" x14ac:dyDescent="0.25">
      <c r="A23" s="651"/>
      <c r="B23" s="567">
        <v>4000000</v>
      </c>
      <c r="C23" s="564"/>
      <c r="D23" s="463">
        <v>12115</v>
      </c>
      <c r="E23" s="463">
        <v>15729</v>
      </c>
      <c r="F23" s="564"/>
      <c r="G23" s="463">
        <f t="shared" si="0"/>
        <v>15729</v>
      </c>
      <c r="H23" s="463">
        <v>19342</v>
      </c>
      <c r="I23" s="564"/>
      <c r="J23" s="463">
        <f t="shared" si="1"/>
        <v>19342</v>
      </c>
      <c r="K23" s="463">
        <v>23168</v>
      </c>
      <c r="L23" s="564"/>
      <c r="M23" s="463">
        <f t="shared" si="2"/>
        <v>23168</v>
      </c>
      <c r="N23" s="463">
        <v>26781</v>
      </c>
      <c r="O23" s="564"/>
      <c r="P23" s="463">
        <f t="shared" si="3"/>
        <v>26781</v>
      </c>
      <c r="Q23" s="463">
        <v>30395</v>
      </c>
    </row>
    <row r="24" spans="1:17" ht="14.55" x14ac:dyDescent="0.25">
      <c r="A24" s="651"/>
      <c r="B24" s="571">
        <v>5000000</v>
      </c>
      <c r="C24" s="564"/>
      <c r="D24" s="569">
        <v>14474</v>
      </c>
      <c r="E24" s="569">
        <v>18791</v>
      </c>
      <c r="F24" s="564"/>
      <c r="G24" s="569">
        <f t="shared" si="0"/>
        <v>18791</v>
      </c>
      <c r="H24" s="569">
        <v>23108</v>
      </c>
      <c r="I24" s="564"/>
      <c r="J24" s="569">
        <f t="shared" si="1"/>
        <v>23108</v>
      </c>
      <c r="K24" s="569">
        <v>27679</v>
      </c>
      <c r="L24" s="564"/>
      <c r="M24" s="569">
        <f t="shared" si="2"/>
        <v>27679</v>
      </c>
      <c r="N24" s="569">
        <v>31996</v>
      </c>
      <c r="O24" s="564"/>
      <c r="P24" s="569">
        <f t="shared" si="3"/>
        <v>31996</v>
      </c>
      <c r="Q24" s="569">
        <v>36313</v>
      </c>
    </row>
    <row r="25" spans="1:17" ht="14.55" x14ac:dyDescent="0.25">
      <c r="A25" s="651"/>
      <c r="B25" s="571">
        <v>6000000</v>
      </c>
      <c r="C25" s="564"/>
      <c r="D25" s="569">
        <v>16786</v>
      </c>
      <c r="E25" s="569">
        <v>21793</v>
      </c>
      <c r="F25" s="564"/>
      <c r="G25" s="569">
        <f t="shared" si="0"/>
        <v>21793</v>
      </c>
      <c r="H25" s="569">
        <v>26799</v>
      </c>
      <c r="I25" s="564"/>
      <c r="J25" s="569">
        <f t="shared" si="1"/>
        <v>26799</v>
      </c>
      <c r="K25" s="569">
        <v>32100</v>
      </c>
      <c r="L25" s="564"/>
      <c r="M25" s="569">
        <f t="shared" si="2"/>
        <v>32100</v>
      </c>
      <c r="N25" s="569">
        <v>37107</v>
      </c>
      <c r="O25" s="564"/>
      <c r="P25" s="569">
        <f t="shared" si="3"/>
        <v>37107</v>
      </c>
      <c r="Q25" s="569">
        <v>42113</v>
      </c>
    </row>
    <row r="26" spans="1:17" ht="14.55" x14ac:dyDescent="0.25">
      <c r="A26" s="651"/>
      <c r="B26" s="571">
        <v>7000000</v>
      </c>
      <c r="C26" s="564"/>
      <c r="D26" s="569">
        <v>19060</v>
      </c>
      <c r="E26" s="569">
        <v>24744</v>
      </c>
      <c r="F26" s="564"/>
      <c r="G26" s="569">
        <f t="shared" si="0"/>
        <v>24744</v>
      </c>
      <c r="H26" s="569">
        <v>30429</v>
      </c>
      <c r="I26" s="564"/>
      <c r="J26" s="569">
        <f t="shared" si="1"/>
        <v>30429</v>
      </c>
      <c r="K26" s="569">
        <v>36448</v>
      </c>
      <c r="L26" s="564"/>
      <c r="M26" s="569">
        <f t="shared" si="2"/>
        <v>36448</v>
      </c>
      <c r="N26" s="569">
        <v>42133</v>
      </c>
      <c r="O26" s="564"/>
      <c r="P26" s="569">
        <f t="shared" si="3"/>
        <v>42133</v>
      </c>
      <c r="Q26" s="569">
        <v>47817</v>
      </c>
    </row>
    <row r="27" spans="1:17" ht="15.2" thickBot="1" x14ac:dyDescent="0.3">
      <c r="A27" s="651"/>
      <c r="B27" s="578">
        <v>7500000</v>
      </c>
      <c r="C27" s="564"/>
      <c r="D27" s="582">
        <v>20184</v>
      </c>
      <c r="E27" s="582">
        <v>26204</v>
      </c>
      <c r="F27" s="564"/>
      <c r="G27" s="582">
        <f>E27</f>
        <v>26204</v>
      </c>
      <c r="H27" s="582">
        <v>32224</v>
      </c>
      <c r="I27" s="564"/>
      <c r="J27" s="582">
        <f t="shared" si="1"/>
        <v>32224</v>
      </c>
      <c r="K27" s="582">
        <v>38598</v>
      </c>
      <c r="L27" s="564"/>
      <c r="M27" s="582">
        <f t="shared" si="2"/>
        <v>38598</v>
      </c>
      <c r="N27" s="582">
        <v>44618</v>
      </c>
      <c r="O27" s="564"/>
      <c r="P27" s="582">
        <f t="shared" si="3"/>
        <v>44618</v>
      </c>
      <c r="Q27" s="582">
        <v>50638</v>
      </c>
    </row>
    <row r="28" spans="1:17" ht="14.55" x14ac:dyDescent="0.25">
      <c r="A28" s="603"/>
      <c r="B28" s="603"/>
      <c r="C28" s="603"/>
      <c r="D28" s="603"/>
      <c r="E28" s="603"/>
      <c r="F28" s="603"/>
      <c r="G28" s="603"/>
      <c r="H28" s="603"/>
      <c r="I28" s="603"/>
      <c r="J28" s="603"/>
      <c r="K28" s="603"/>
      <c r="L28" s="603"/>
      <c r="M28" s="603"/>
      <c r="N28" s="603"/>
      <c r="O28" s="603"/>
      <c r="P28" s="603"/>
      <c r="Q28" s="603"/>
    </row>
    <row r="29" spans="1:17" ht="14.55" x14ac:dyDescent="0.25">
      <c r="A29" s="603"/>
      <c r="B29" s="633" t="s">
        <v>538</v>
      </c>
      <c r="C29" s="603"/>
      <c r="D29" s="603"/>
      <c r="E29" s="631"/>
      <c r="F29" s="603"/>
      <c r="G29" s="603"/>
      <c r="H29" s="631"/>
      <c r="I29" s="603"/>
      <c r="J29" s="603"/>
      <c r="K29" s="603"/>
      <c r="L29" s="603"/>
      <c r="M29" s="603"/>
      <c r="N29" s="603"/>
      <c r="O29" s="603"/>
      <c r="P29" s="603"/>
      <c r="Q29" s="603"/>
    </row>
    <row r="30" spans="1:17" ht="14.55" x14ac:dyDescent="0.25">
      <c r="A30" s="603"/>
      <c r="B30" s="603"/>
      <c r="C30" s="603"/>
      <c r="D30" s="603"/>
      <c r="E30" s="631"/>
      <c r="F30" s="603"/>
      <c r="G30" s="603"/>
      <c r="H30" s="631"/>
      <c r="I30" s="603"/>
      <c r="J30" s="603"/>
      <c r="K30" s="603"/>
      <c r="L30" s="603"/>
      <c r="M30" s="603"/>
      <c r="N30" s="603"/>
      <c r="O30" s="603"/>
      <c r="P30" s="603"/>
      <c r="Q30" s="603"/>
    </row>
    <row r="31" spans="1:17" ht="14.55" x14ac:dyDescent="0.25">
      <c r="A31" s="603"/>
      <c r="B31" s="603"/>
      <c r="C31" s="603"/>
      <c r="D31" s="1452"/>
      <c r="E31" s="1452"/>
      <c r="F31" s="1452"/>
      <c r="G31" s="1452"/>
      <c r="H31" s="1452"/>
      <c r="I31" s="717"/>
      <c r="J31" s="635"/>
      <c r="K31" s="635"/>
      <c r="L31" s="635"/>
      <c r="M31" s="635"/>
      <c r="N31" s="635"/>
      <c r="O31" s="603"/>
      <c r="P31" s="603"/>
      <c r="Q31" s="603"/>
    </row>
    <row r="32" spans="1:17" ht="14.55" x14ac:dyDescent="0.25">
      <c r="A32" s="603"/>
      <c r="B32" s="603"/>
      <c r="C32" s="603"/>
      <c r="D32" s="603"/>
      <c r="E32" s="631"/>
      <c r="F32" s="603"/>
      <c r="G32" s="603"/>
      <c r="H32" s="631"/>
      <c r="I32" s="603"/>
      <c r="J32" s="603"/>
      <c r="K32" s="603"/>
      <c r="L32" s="603"/>
      <c r="M32" s="603"/>
      <c r="N32" s="603"/>
      <c r="O32" s="603"/>
      <c r="P32" s="603"/>
      <c r="Q32" s="603"/>
    </row>
    <row r="33" spans="1:17" ht="14.55" x14ac:dyDescent="0.25">
      <c r="A33" s="603"/>
      <c r="B33" s="603"/>
      <c r="C33" s="555"/>
      <c r="D33" s="1417" t="s">
        <v>316</v>
      </c>
      <c r="E33" s="597">
        <v>1</v>
      </c>
      <c r="F33" s="555"/>
      <c r="G33" s="1417" t="s">
        <v>317</v>
      </c>
      <c r="H33" s="597" t="s">
        <v>135</v>
      </c>
      <c r="I33" s="555"/>
      <c r="J33" s="603"/>
      <c r="K33" s="638"/>
      <c r="L33" s="555"/>
      <c r="M33" s="603"/>
      <c r="N33" s="638"/>
      <c r="O33" s="586"/>
      <c r="P33" s="651"/>
      <c r="Q33" s="651"/>
    </row>
    <row r="34" spans="1:17" ht="14.55" x14ac:dyDescent="0.25">
      <c r="A34" s="603"/>
      <c r="B34" s="603"/>
      <c r="C34" s="555"/>
      <c r="D34" s="1417"/>
      <c r="E34" s="597">
        <v>2</v>
      </c>
      <c r="F34" s="555"/>
      <c r="G34" s="1417"/>
      <c r="H34" s="597" t="s">
        <v>318</v>
      </c>
      <c r="I34" s="555"/>
      <c r="J34" s="603"/>
      <c r="K34" s="638"/>
      <c r="L34" s="555"/>
      <c r="M34" s="603"/>
      <c r="N34" s="638"/>
      <c r="O34" s="586"/>
      <c r="P34" s="651"/>
      <c r="Q34" s="651"/>
    </row>
    <row r="35" spans="1:17" ht="14.55" x14ac:dyDescent="0.25">
      <c r="A35" s="603"/>
      <c r="B35" s="603"/>
      <c r="C35" s="603"/>
      <c r="D35" s="1417"/>
      <c r="E35" s="597">
        <v>3</v>
      </c>
      <c r="F35" s="603"/>
      <c r="G35" s="1417"/>
      <c r="H35" s="597" t="s">
        <v>319</v>
      </c>
      <c r="I35" s="603"/>
      <c r="J35" s="603"/>
      <c r="K35" s="638"/>
      <c r="L35" s="603"/>
      <c r="M35" s="603"/>
      <c r="N35" s="638"/>
      <c r="O35" s="603"/>
      <c r="P35" s="603"/>
      <c r="Q35" s="603"/>
    </row>
    <row r="36" spans="1:17" ht="14.55" x14ac:dyDescent="0.25">
      <c r="A36" s="603"/>
      <c r="B36" s="603"/>
      <c r="C36" s="603"/>
      <c r="D36" s="1417"/>
      <c r="E36" s="597">
        <v>4</v>
      </c>
      <c r="F36" s="603"/>
      <c r="G36" s="1417"/>
      <c r="H36" s="597" t="s">
        <v>320</v>
      </c>
      <c r="I36" s="603"/>
      <c r="J36" s="603"/>
      <c r="K36" s="638"/>
      <c r="L36" s="603"/>
      <c r="M36" s="603"/>
      <c r="N36" s="638"/>
      <c r="O36" s="603"/>
      <c r="P36" s="603"/>
      <c r="Q36" s="603"/>
    </row>
    <row r="37" spans="1:17" ht="14.55" x14ac:dyDescent="0.25">
      <c r="A37" s="603"/>
      <c r="B37" s="603"/>
      <c r="C37" s="603"/>
      <c r="D37" s="1417"/>
      <c r="E37" s="597">
        <v>5</v>
      </c>
      <c r="F37" s="603"/>
      <c r="G37" s="1417"/>
      <c r="H37" s="597" t="s">
        <v>321</v>
      </c>
      <c r="I37" s="603"/>
      <c r="J37" s="603"/>
      <c r="K37" s="638"/>
      <c r="L37" s="603"/>
      <c r="M37" s="603"/>
      <c r="N37" s="638"/>
      <c r="O37" s="603"/>
      <c r="P37" s="603"/>
      <c r="Q37" s="603"/>
    </row>
    <row r="38" spans="1:17" ht="15.2" thickBot="1" x14ac:dyDescent="0.35">
      <c r="B38" s="594"/>
      <c r="C38" s="594"/>
      <c r="D38" s="594"/>
      <c r="E38" s="594"/>
      <c r="F38" s="594"/>
      <c r="G38" s="1418" t="s">
        <v>322</v>
      </c>
      <c r="H38" s="1418"/>
      <c r="I38" s="1414" t="s">
        <v>323</v>
      </c>
      <c r="J38" s="1414"/>
      <c r="K38" s="1414" t="s">
        <v>324</v>
      </c>
      <c r="L38" s="1414"/>
      <c r="M38" s="594"/>
    </row>
    <row r="39" spans="1:17" ht="15.2" thickBot="1" x14ac:dyDescent="0.3">
      <c r="B39" s="1405" t="s">
        <v>325</v>
      </c>
      <c r="C39" s="1406"/>
      <c r="D39" s="1406"/>
      <c r="E39" s="1407"/>
      <c r="F39" s="603"/>
      <c r="G39" s="1400">
        <f>'Bauphysik - Raumakustik'!H8</f>
        <v>0</v>
      </c>
      <c r="H39" s="1401"/>
      <c r="I39" s="1400">
        <f>'Bauphysik - Raumakustik'!L8</f>
        <v>0</v>
      </c>
      <c r="J39" s="1401"/>
      <c r="K39" s="1400">
        <f>'Bauphysik - Raumakustik'!P8</f>
        <v>0</v>
      </c>
      <c r="L39" s="1401"/>
      <c r="M39" s="718"/>
      <c r="N39" s="718"/>
    </row>
    <row r="40" spans="1:17" ht="14.55" x14ac:dyDescent="0.3">
      <c r="B40" s="603"/>
      <c r="C40" s="603"/>
      <c r="D40" s="603"/>
      <c r="E40" s="603"/>
      <c r="F40" s="603"/>
      <c r="G40" s="603"/>
      <c r="H40" s="603"/>
      <c r="I40" s="594"/>
      <c r="J40" s="594"/>
      <c r="K40" s="594"/>
      <c r="L40" s="594"/>
      <c r="M40" s="603"/>
      <c r="N40" s="603"/>
    </row>
    <row r="41" spans="1:17" ht="14.55" x14ac:dyDescent="0.3">
      <c r="B41" s="633"/>
      <c r="C41" s="603"/>
      <c r="D41" s="603"/>
      <c r="E41" s="603"/>
      <c r="F41" s="603"/>
      <c r="G41" s="603"/>
      <c r="H41" s="603"/>
      <c r="I41" s="594"/>
      <c r="J41" s="594"/>
      <c r="K41" s="594"/>
      <c r="L41" s="594"/>
      <c r="M41" s="603"/>
      <c r="N41" s="603"/>
    </row>
    <row r="42" spans="1:17" ht="14.55" x14ac:dyDescent="0.3">
      <c r="B42" s="603"/>
      <c r="C42" s="603"/>
      <c r="D42" s="603"/>
      <c r="E42" s="603"/>
      <c r="F42" s="603"/>
      <c r="G42" s="603"/>
      <c r="H42" s="603"/>
      <c r="I42" s="594"/>
      <c r="J42" s="594"/>
      <c r="K42" s="594"/>
      <c r="L42" s="594"/>
      <c r="M42" s="603"/>
      <c r="N42" s="603"/>
    </row>
    <row r="43" spans="1:17" ht="14.55" x14ac:dyDescent="0.3">
      <c r="B43" s="1422" t="s">
        <v>316</v>
      </c>
      <c r="C43" s="1423"/>
      <c r="D43" s="1423"/>
      <c r="E43" s="1424"/>
      <c r="F43" s="644"/>
      <c r="G43" s="1462">
        <f>'Bauphysik - Raumakustik'!F13</f>
        <v>1</v>
      </c>
      <c r="H43" s="1463"/>
      <c r="I43" s="594"/>
      <c r="J43" s="594"/>
      <c r="K43" s="719"/>
      <c r="L43" s="594"/>
      <c r="M43" s="645"/>
      <c r="N43" s="645"/>
    </row>
    <row r="44" spans="1:17" ht="14.55" x14ac:dyDescent="0.3">
      <c r="B44" s="1422" t="s">
        <v>317</v>
      </c>
      <c r="C44" s="1423"/>
      <c r="D44" s="1423"/>
      <c r="E44" s="1424"/>
      <c r="F44" s="644"/>
      <c r="G44" s="1462" t="str">
        <f>'Bauphysik - Raumakustik'!F14</f>
        <v>Basishonorarsatz</v>
      </c>
      <c r="H44" s="1463"/>
      <c r="I44" s="594"/>
      <c r="J44" s="594"/>
      <c r="K44" s="594"/>
      <c r="L44" s="594"/>
      <c r="M44" s="645"/>
      <c r="N44" s="645"/>
    </row>
    <row r="45" spans="1:17" ht="14.55" x14ac:dyDescent="0.3">
      <c r="B45" s="603"/>
      <c r="C45" s="603"/>
      <c r="D45" s="603"/>
      <c r="E45" s="603"/>
      <c r="F45" s="603"/>
      <c r="G45" s="603"/>
      <c r="H45" s="603"/>
      <c r="I45" s="594"/>
      <c r="J45" s="594"/>
      <c r="K45" s="594"/>
      <c r="L45" s="594"/>
      <c r="M45" s="594"/>
    </row>
    <row r="46" spans="1:17" ht="14.55" x14ac:dyDescent="0.3">
      <c r="B46" s="603"/>
      <c r="C46" s="603"/>
      <c r="D46" s="603"/>
      <c r="E46" s="603"/>
      <c r="F46" s="603"/>
      <c r="G46" s="603"/>
      <c r="H46" s="603"/>
      <c r="I46" s="594"/>
      <c r="J46" s="594"/>
      <c r="K46" s="594"/>
      <c r="L46" s="594"/>
      <c r="M46" s="594"/>
    </row>
    <row r="47" spans="1:17" ht="14.55" x14ac:dyDescent="0.3">
      <c r="B47" s="633" t="s">
        <v>326</v>
      </c>
      <c r="C47" s="603"/>
      <c r="D47" s="603"/>
      <c r="E47" s="603"/>
      <c r="F47" s="603"/>
      <c r="G47" s="603"/>
      <c r="H47" s="603"/>
      <c r="I47" s="594"/>
      <c r="J47" s="594"/>
      <c r="K47" s="594"/>
      <c r="L47" s="594"/>
      <c r="M47" s="594"/>
    </row>
    <row r="48" spans="1:17" ht="14.55" x14ac:dyDescent="0.3">
      <c r="B48" s="603"/>
      <c r="C48" s="603"/>
      <c r="D48" s="603"/>
      <c r="E48" s="603"/>
      <c r="F48" s="603"/>
      <c r="G48" s="1418" t="s">
        <v>322</v>
      </c>
      <c r="H48" s="1418"/>
      <c r="I48" s="1414" t="s">
        <v>323</v>
      </c>
      <c r="J48" s="1414"/>
      <c r="K48" s="1466" t="s">
        <v>324</v>
      </c>
      <c r="L48" s="1466"/>
      <c r="M48" s="1466"/>
    </row>
    <row r="49" spans="2:14" ht="14.55" x14ac:dyDescent="0.25">
      <c r="C49" s="709"/>
      <c r="D49" s="1397" t="s">
        <v>327</v>
      </c>
      <c r="E49" s="1425" t="s">
        <v>316</v>
      </c>
      <c r="F49" s="646"/>
      <c r="G49" s="720" t="s">
        <v>328</v>
      </c>
      <c r="H49" s="721">
        <f>IF($G$39&lt;$B$8,0,IF($G$39&gt;$B$27,0,VLOOKUP($G$39,$B$8:$B$27,1)))</f>
        <v>0</v>
      </c>
      <c r="I49" s="720" t="s">
        <v>328</v>
      </c>
      <c r="J49" s="721">
        <f>IF($I$39&lt;$B$8,0,IF($I$39&gt;$B$27,0,VLOOKUP($I$39,$B$8:$B$27,1)))</f>
        <v>0</v>
      </c>
      <c r="K49" s="720" t="s">
        <v>328</v>
      </c>
      <c r="L49" s="1458">
        <f>IF($K$39&lt;$B$8,0,IF($K$39&gt;$B$27,0,VLOOKUP(K39,B8:B27,1)))</f>
        <v>0</v>
      </c>
      <c r="M49" s="1459"/>
      <c r="N49" s="646"/>
    </row>
    <row r="50" spans="2:14" ht="14.55" x14ac:dyDescent="0.25">
      <c r="B50" s="709"/>
      <c r="C50" s="709"/>
      <c r="D50" s="1398"/>
      <c r="E50" s="1426"/>
      <c r="F50" s="603"/>
      <c r="G50" s="649" t="s">
        <v>135</v>
      </c>
      <c r="H50" s="650" t="s">
        <v>321</v>
      </c>
      <c r="I50" s="649" t="s">
        <v>135</v>
      </c>
      <c r="J50" s="650" t="s">
        <v>321</v>
      </c>
      <c r="K50" s="649" t="s">
        <v>135</v>
      </c>
      <c r="L50" s="1460" t="s">
        <v>321</v>
      </c>
      <c r="M50" s="1461"/>
      <c r="N50" s="651"/>
    </row>
    <row r="51" spans="2:14" ht="14.55" x14ac:dyDescent="0.25">
      <c r="B51" s="709"/>
      <c r="C51" s="709"/>
      <c r="D51" s="1398"/>
      <c r="E51" s="759">
        <v>1</v>
      </c>
      <c r="F51" s="603"/>
      <c r="G51" s="648">
        <f>IF($G$39&lt;$B$8,0,IF($G$39&gt;$B$27,0,VLOOKUP($H$49,$B$8:$Q$27,3)))</f>
        <v>0</v>
      </c>
      <c r="H51" s="648">
        <f>IF($G$39&lt;$B$8,0,IF($G$39&gt;$B$27,0,VLOOKUP(G51,$D$8:$E$27,2)))</f>
        <v>0</v>
      </c>
      <c r="I51" s="648">
        <f>IF($I$39&lt;$B$8,0,IF($I$39&gt;$B$27,0,VLOOKUP($J$49,$B$8:$Q$27,6)))</f>
        <v>0</v>
      </c>
      <c r="J51" s="648">
        <f>IF($I$39&lt;$B$8,0,IF($I$39&gt;$B$27,0,VLOOKUP(I51,$D$8:$E$27,2)))</f>
        <v>0</v>
      </c>
      <c r="K51" s="648">
        <f>IF($K$39&lt;$B$8,0,IF($K$39&gt;$B$27,0,VLOOKUP($L$49,$B$8:$Q$27,3)))</f>
        <v>0</v>
      </c>
      <c r="L51" s="1472">
        <f>IF($K$39&lt;$B$8,0,IF($K$39&gt;$B$27,0,VLOOKUP(K51,$D$8:$E$27,2)))</f>
        <v>0</v>
      </c>
      <c r="M51" s="1473"/>
      <c r="N51" s="646"/>
    </row>
    <row r="52" spans="2:14" ht="14.55" x14ac:dyDescent="0.25">
      <c r="B52" s="709"/>
      <c r="C52" s="709"/>
      <c r="D52" s="1398"/>
      <c r="E52" s="759">
        <v>2</v>
      </c>
      <c r="F52" s="603"/>
      <c r="G52" s="648">
        <f>IF($G$39&lt;$B$8,0,IF($G$39&gt;$B$27,0,VLOOKUP($H$49,$B$8:$Q$27,6)))</f>
        <v>0</v>
      </c>
      <c r="H52" s="648">
        <f>IF($G$39&lt;$B$8,0,IF($G$39&gt;$B$27,0,VLOOKUP(G52,$G$8:$H$27,2)))</f>
        <v>0</v>
      </c>
      <c r="I52" s="648">
        <f>IF($I$39&lt;$B$8,0,IF($I$39&gt;$B$27,0,VLOOKUP($J$49,$B$8:$Q$27,6)))</f>
        <v>0</v>
      </c>
      <c r="J52" s="648">
        <f>IF($I$39&lt;$B$8,0,IF($I$39&gt;$B$27,0,VLOOKUP(I52,$G$8:$H$27,2)))</f>
        <v>0</v>
      </c>
      <c r="K52" s="648">
        <f>IF($K$39&lt;$B$8,0,IF($K$39&gt;$B$27,0,VLOOKUP($L$49,$B$8:$Q$27,6)))</f>
        <v>0</v>
      </c>
      <c r="L52" s="1472">
        <f>IF($K$39&lt;$B$8,0,IF($K$39&gt;$B$27,0,VLOOKUP(K52,$G$8:$H$27,2)))</f>
        <v>0</v>
      </c>
      <c r="M52" s="1473"/>
      <c r="N52" s="646"/>
    </row>
    <row r="53" spans="2:14" ht="14.55" x14ac:dyDescent="0.25">
      <c r="B53" s="709"/>
      <c r="C53" s="709"/>
      <c r="D53" s="1398"/>
      <c r="E53" s="759">
        <v>3</v>
      </c>
      <c r="F53" s="603"/>
      <c r="G53" s="648">
        <f>IF($G$39&lt;$B$8,0,IF($G$39&gt;$B$27,0,VLOOKUP($H$49,$B$8:$Q$27,9)))</f>
        <v>0</v>
      </c>
      <c r="H53" s="648">
        <f>IF($G$39&lt;$B$8,0,IF($G$39&gt;$B$27,0,VLOOKUP(G53,$J$8:$K$27,2)))</f>
        <v>0</v>
      </c>
      <c r="I53" s="648">
        <f>IF($I$39&lt;$B$8,0,IF($I$39&gt;$B$27,0,VLOOKUP($J$49,$B$8:$Q$27,9)))</f>
        <v>0</v>
      </c>
      <c r="J53" s="648">
        <f>IF($I$39&lt;$B$8,0,IF($I$39&gt;$B$27,0,VLOOKUP(I53,$J$8:$K$27,2)))</f>
        <v>0</v>
      </c>
      <c r="K53" s="648">
        <f>IF($K$39&lt;$B$8,0,IF($K$39&gt;$B$27,0,VLOOKUP($L$49,$B$8:$Q$27,9)))</f>
        <v>0</v>
      </c>
      <c r="L53" s="1472">
        <f>IF($K$39&lt;$B$8,0,IF($K$39&gt;$B$27,0,VLOOKUP(K53,$J$8:$K$27,2)))</f>
        <v>0</v>
      </c>
      <c r="M53" s="1473"/>
      <c r="N53" s="646"/>
    </row>
    <row r="54" spans="2:14" ht="14.55" x14ac:dyDescent="0.25">
      <c r="B54" s="709"/>
      <c r="C54" s="709"/>
      <c r="D54" s="1398"/>
      <c r="E54" s="759">
        <v>4</v>
      </c>
      <c r="F54" s="603"/>
      <c r="G54" s="648">
        <f>IF($G$39&lt;$B$8,0,IF($G$39&gt;$B$27,0,VLOOKUP($H$49,$B$8:$Q$27,12)))</f>
        <v>0</v>
      </c>
      <c r="H54" s="648">
        <f>IF($G$39&lt;$B$8,0,IF($G$39&gt;$B$27,0,VLOOKUP(G54,$M$8:$N$27,2)))</f>
        <v>0</v>
      </c>
      <c r="I54" s="648">
        <f>IF($I$39&lt;$B$8,0,IF($I$39&gt;$B$27,0,VLOOKUP($J$49,$B$8:$Q$27,12)))</f>
        <v>0</v>
      </c>
      <c r="J54" s="648">
        <f>IF($I$39&lt;$B$8,0,IF($I$39&gt;$B$27,0,VLOOKUP(I54,$M$8:$N$27,2)))</f>
        <v>0</v>
      </c>
      <c r="K54" s="648">
        <f>IF($K$39&lt;$B$8,0,IF($K$39&gt;$B$27,0,VLOOKUP($L$49,$B$8:$Q$27,12)))</f>
        <v>0</v>
      </c>
      <c r="L54" s="1472">
        <f>IF($K$39&lt;$B$8,0,IF($K$39&gt;$B$27,0,VLOOKUP(K54,$M$8:$N$27,2)))</f>
        <v>0</v>
      </c>
      <c r="M54" s="1473"/>
      <c r="N54" s="646"/>
    </row>
    <row r="55" spans="2:14" ht="14.55" x14ac:dyDescent="0.25">
      <c r="B55" s="709"/>
      <c r="C55" s="709"/>
      <c r="D55" s="1399"/>
      <c r="E55" s="759">
        <v>5</v>
      </c>
      <c r="F55" s="603"/>
      <c r="G55" s="648">
        <f>IF($G$39&lt;$B$8,0,IF($G$39&gt;$B$27,0,VLOOKUP($H$49,$B$8:$Q$27,15)))</f>
        <v>0</v>
      </c>
      <c r="H55" s="648">
        <f>IF($G$39&lt;$B$8,0,IF($G$39&gt;$B$27,0,VLOOKUP(G55,$P$8:$Q$27,2)))</f>
        <v>0</v>
      </c>
      <c r="I55" s="648">
        <f>IF($I$39&lt;$B$8,0,IF($I$39&gt;$B$27,0,VLOOKUP($J$49,$B$8:$Q$27,15)))</f>
        <v>0</v>
      </c>
      <c r="J55" s="648">
        <f>IF($I$39&lt;$B$8,0,IF($I$39&gt;$B$27,0,VLOOKUP(I55,$P$8:$Q$27,2)))</f>
        <v>0</v>
      </c>
      <c r="K55" s="648">
        <f>IF($K$39&lt;$B$8,0,IF($K$39&gt;$B$27,0,VLOOKUP($L$49,$B$8:$Q$27,15)))</f>
        <v>0</v>
      </c>
      <c r="L55" s="1472">
        <f>IF($K$39&lt;$B$8,0,IF($K$39&gt;$B$27,0,VLOOKUP(K55,$P$8:$Q$27,2)))</f>
        <v>0</v>
      </c>
      <c r="M55" s="1473"/>
      <c r="N55" s="646"/>
    </row>
    <row r="56" spans="2:14" ht="14.55" x14ac:dyDescent="0.25">
      <c r="B56" s="652"/>
      <c r="C56" s="652"/>
      <c r="D56" s="652"/>
      <c r="E56" s="603"/>
      <c r="F56" s="603"/>
      <c r="G56" s="722"/>
      <c r="H56" s="651"/>
    </row>
    <row r="57" spans="2:14" ht="14.55" x14ac:dyDescent="0.25">
      <c r="C57" s="709"/>
      <c r="D57" s="1397" t="s">
        <v>329</v>
      </c>
      <c r="E57" s="1425" t="s">
        <v>316</v>
      </c>
      <c r="F57" s="603"/>
      <c r="G57" s="647" t="s">
        <v>328</v>
      </c>
      <c r="H57" s="648" cm="1">
        <f t="array" ref="H57">IF($G$39&lt;$B$8,0,IF(G39&gt;B27,0,INDEX(B8:B27,MATCH(G39,B8:B27,1)+1,1)))</f>
        <v>0</v>
      </c>
      <c r="I57" s="647" t="s">
        <v>328</v>
      </c>
      <c r="J57" s="648">
        <f>IF(I39&lt;25000,0,IF(I39&gt;25000000,0,INDEX(B8:B27,MATCH(I39,B8:B27,1)+1,1)))</f>
        <v>0</v>
      </c>
      <c r="K57" s="647" t="s">
        <v>328</v>
      </c>
      <c r="L57" s="1458" cm="1">
        <f t="array" ref="L57">IF($K$39&lt;$B$8,0,IF($K$39&gt;$B$27,0,INDEX(B8:B27,MATCH(K39,B8:B27,1)+1,1)))</f>
        <v>0</v>
      </c>
      <c r="M57" s="1459"/>
      <c r="N57" s="646"/>
    </row>
    <row r="58" spans="2:14" ht="14.55" x14ac:dyDescent="0.25">
      <c r="B58" s="709"/>
      <c r="C58" s="709"/>
      <c r="D58" s="1398"/>
      <c r="E58" s="1426"/>
      <c r="F58" s="603"/>
      <c r="G58" s="649" t="s">
        <v>135</v>
      </c>
      <c r="H58" s="650" t="s">
        <v>321</v>
      </c>
      <c r="I58" s="649" t="s">
        <v>135</v>
      </c>
      <c r="J58" s="650" t="s">
        <v>321</v>
      </c>
      <c r="K58" s="649" t="s">
        <v>135</v>
      </c>
      <c r="L58" s="1460" t="s">
        <v>321</v>
      </c>
      <c r="M58" s="1461"/>
      <c r="N58" s="651"/>
    </row>
    <row r="59" spans="2:14" ht="14.55" x14ac:dyDescent="0.25">
      <c r="B59" s="709"/>
      <c r="C59" s="709"/>
      <c r="D59" s="1398"/>
      <c r="E59" s="759">
        <v>1</v>
      </c>
      <c r="F59" s="603"/>
      <c r="G59" s="648">
        <f>IF($G$39&lt;$B$8,0,IF($G$39&gt;$B$27,0,VLOOKUP($H$57,$B$8:$Q$27,3)))</f>
        <v>0</v>
      </c>
      <c r="H59" s="648">
        <f>IF($G$39&lt;$B$8,0,IF($G$39&gt;$B$27,0,VLOOKUP(G59,$D$8:$E$27,2)))</f>
        <v>0</v>
      </c>
      <c r="I59" s="648">
        <f>IF($I$39&lt;$B$8,0,IF($I$39&gt;$B$27,0,VLOOKUP($J$57,$B$8:$Q$27,3)))</f>
        <v>0</v>
      </c>
      <c r="J59" s="648">
        <f>IF($I$39&lt;$B$8,0,IF($I$39&gt;$B$27,0,VLOOKUP(I59,$D$8:$E$27,2)))</f>
        <v>0</v>
      </c>
      <c r="K59" s="648">
        <f>IF($K$39&lt;$B$8,0,IF($K$39&gt;$B$27,0,VLOOKUP($L$57,$B$8:$Q$27,3)))</f>
        <v>0</v>
      </c>
      <c r="L59" s="1472">
        <f>IF($K$39&lt;$B$8,0,IF($K$39&gt;$B$27,0,VLOOKUP(K59,$D$8:$E$27,2)))</f>
        <v>0</v>
      </c>
      <c r="M59" s="1473"/>
      <c r="N59" s="646"/>
    </row>
    <row r="60" spans="2:14" ht="14.55" x14ac:dyDescent="0.25">
      <c r="B60" s="709"/>
      <c r="C60" s="709"/>
      <c r="D60" s="1398"/>
      <c r="E60" s="759">
        <v>2</v>
      </c>
      <c r="F60" s="603"/>
      <c r="G60" s="648">
        <f>IF($G$39&lt;$B$8,0,IF($G$39&gt;$B$27,0,VLOOKUP($H$57,$B$8:$Q$27,6)))</f>
        <v>0</v>
      </c>
      <c r="H60" s="648">
        <f>IF($G$39&lt;$B$8,0,IF($G$39&gt;$B$27,0,VLOOKUP(G60,$G$8:$H$27,2)))</f>
        <v>0</v>
      </c>
      <c r="I60" s="648">
        <f>IF($I$39&lt;$B$8,0,IF($I$39&gt;$B$27,0,VLOOKUP($J$57,$B$8:$Q$27,6)))</f>
        <v>0</v>
      </c>
      <c r="J60" s="648">
        <f>IF($I$39&lt;$B$8,0,IF($I$39&gt;$B$27,0,VLOOKUP(I60,$G$8:$H$27,2)))</f>
        <v>0</v>
      </c>
      <c r="K60" s="648">
        <f>IF($K$39&lt;$B$8,0,IF($K$39&gt;$B$27,0,VLOOKUP($L$57,$B$8:$Q$27,6)))</f>
        <v>0</v>
      </c>
      <c r="L60" s="1472">
        <f>IF($K$39&lt;$B$8,0,IF($K$39&gt;$B$27,0,VLOOKUP(K60,$G$8:$H$27,2)))</f>
        <v>0</v>
      </c>
      <c r="M60" s="1473"/>
      <c r="N60" s="646"/>
    </row>
    <row r="61" spans="2:14" ht="14.55" x14ac:dyDescent="0.25">
      <c r="B61" s="709"/>
      <c r="C61" s="709"/>
      <c r="D61" s="1398"/>
      <c r="E61" s="759">
        <v>3</v>
      </c>
      <c r="F61" s="603"/>
      <c r="G61" s="648">
        <f>IF($G$39&lt;$B$8,0,IF($G$39&gt;$B$27,0,VLOOKUP($H$57,$B$8:$Q$27,9)))</f>
        <v>0</v>
      </c>
      <c r="H61" s="648">
        <f>IF($G$39&lt;$B$8,0,IF($G$39&gt;$B$27,0,VLOOKUP(G61,$J$8:$K$27,2)))</f>
        <v>0</v>
      </c>
      <c r="I61" s="648">
        <f>IF($I$39&lt;$B$8,0,IF($I$39&gt;$B$27,0,VLOOKUP($J$57,$B$8:$Q$27,9)))</f>
        <v>0</v>
      </c>
      <c r="J61" s="648">
        <f>IF($I$39&lt;$B$8,0,IF($I$39&gt;$B$27,0,VLOOKUP(I61,$J$8:$K$27,2)))</f>
        <v>0</v>
      </c>
      <c r="K61" s="648">
        <f>IF($K$39&lt;$B$8,0,IF($K$39&gt;$B$27,0,VLOOKUP($L$57,$B$8:$Q$27,9)))</f>
        <v>0</v>
      </c>
      <c r="L61" s="1472">
        <f>IF($K$39&lt;$B$8,0,IF($K$39&gt;$B$27,0,VLOOKUP(K61,$J$8:$K$27,2)))</f>
        <v>0</v>
      </c>
      <c r="M61" s="1473"/>
      <c r="N61" s="646"/>
    </row>
    <row r="62" spans="2:14" ht="14.55" x14ac:dyDescent="0.25">
      <c r="B62" s="709"/>
      <c r="C62" s="709"/>
      <c r="D62" s="1398"/>
      <c r="E62" s="759">
        <v>4</v>
      </c>
      <c r="F62" s="603"/>
      <c r="G62" s="648">
        <f>IF($G$39&lt;$B$8,0,IF($G$39&gt;$B$27,0,VLOOKUP($H$57,$B$8:$Q$27,12)))</f>
        <v>0</v>
      </c>
      <c r="H62" s="648">
        <f>IF($G$39&lt;$B$8,0,IF($G$39&gt;$B$27,0,VLOOKUP(G62,$M$8:$N$27,2)))</f>
        <v>0</v>
      </c>
      <c r="I62" s="648">
        <f>IF($I$39&lt;$B$8,0,IF($I$39&gt;$B$27,0,VLOOKUP($J$57,$B$8:$Q$27,12)))</f>
        <v>0</v>
      </c>
      <c r="J62" s="648">
        <f>IF($I$39&lt;$B$8,0,IF($I$39&gt;$B$27,0,VLOOKUP(I62,$M$8:$N$27,2)))</f>
        <v>0</v>
      </c>
      <c r="K62" s="648">
        <f>IF($K$39&lt;$B$8,0,IF($K$39&gt;$B$27,0,VLOOKUP($L$57,$B$8:$Q$27,12)))</f>
        <v>0</v>
      </c>
      <c r="L62" s="1472">
        <f>IF($K$39&lt;$B$8,0,IF($K$39&gt;$B$27,0,VLOOKUP(K62,$M$8:$N$27,2)))</f>
        <v>0</v>
      </c>
      <c r="M62" s="1473"/>
      <c r="N62" s="646"/>
    </row>
    <row r="63" spans="2:14" ht="14.55" x14ac:dyDescent="0.25">
      <c r="B63" s="709"/>
      <c r="C63" s="709"/>
      <c r="D63" s="1399"/>
      <c r="E63" s="759">
        <v>5</v>
      </c>
      <c r="F63" s="603"/>
      <c r="G63" s="648">
        <f>IF($G$39&lt;$B$8,0,IF($G$39&gt;$B$27,0,VLOOKUP($H$57,$B$8:$Q$27,15)))</f>
        <v>0</v>
      </c>
      <c r="H63" s="648">
        <f>IF($G$39&lt;$B$8,0,IF($G$39&gt;$B$27,0,VLOOKUP(G63,$P$8:$Q$27,2)))</f>
        <v>0</v>
      </c>
      <c r="I63" s="648">
        <f>IF($I$39&lt;$B$8,0,IF($I$39&gt;$B$27,0,VLOOKUP($J$57,$B$8:$Q$27,15)))</f>
        <v>0</v>
      </c>
      <c r="J63" s="648">
        <f>IF($I$39&lt;$B$8,0,IF($I$39&gt;$B$27,0,VLOOKUP(I63,$P$8:$Q$27,2)))</f>
        <v>0</v>
      </c>
      <c r="K63" s="648">
        <f>IF($K$39&lt;$B$8,0,IF($K$39&gt;$B$27,0,VLOOKUP($L$57,$B$8:$Q$27,15)))</f>
        <v>0</v>
      </c>
      <c r="L63" s="1472">
        <f>IF($K$39&lt;$B$8,0,IF($K$39&gt;$B$27,0,VLOOKUP(K63,$P$8:$Q$27,2)))</f>
        <v>0</v>
      </c>
      <c r="M63" s="1473"/>
      <c r="N63" s="646"/>
    </row>
    <row r="65" spans="2:14" x14ac:dyDescent="0.25">
      <c r="B65" s="630" t="s">
        <v>330</v>
      </c>
    </row>
    <row r="67" spans="2:14" ht="14.55" x14ac:dyDescent="0.25">
      <c r="B67" s="652"/>
      <c r="C67" s="652"/>
      <c r="D67" s="652"/>
      <c r="E67" s="603"/>
      <c r="F67" s="603"/>
      <c r="G67" s="649" t="s">
        <v>135</v>
      </c>
      <c r="H67" s="650" t="s">
        <v>321</v>
      </c>
      <c r="I67" s="649" t="s">
        <v>135</v>
      </c>
      <c r="J67" s="650" t="s">
        <v>321</v>
      </c>
      <c r="K67" s="649" t="s">
        <v>135</v>
      </c>
      <c r="L67" s="1417" t="s">
        <v>321</v>
      </c>
      <c r="M67" s="1417"/>
      <c r="N67" s="651"/>
    </row>
    <row r="68" spans="2:14" ht="14.55" x14ac:dyDescent="0.25">
      <c r="B68" s="1416" t="s">
        <v>327</v>
      </c>
      <c r="C68" s="1416"/>
      <c r="D68" s="1416"/>
      <c r="E68" s="1416"/>
      <c r="F68" s="603"/>
      <c r="G68" s="655">
        <f>VLOOKUP($G$43,$E$51:$H$55,3)</f>
        <v>0</v>
      </c>
      <c r="H68" s="655">
        <f>VLOOKUP(G43,$E$51:$H$55,4)</f>
        <v>0</v>
      </c>
      <c r="I68" s="655">
        <f>VLOOKUP($G$43,$E$51:$J$55,5)</f>
        <v>0</v>
      </c>
      <c r="J68" s="655">
        <f>VLOOKUP(G43,$E$51:$J$55,6)</f>
        <v>0</v>
      </c>
      <c r="K68" s="655">
        <f>VLOOKUP($G$43,$E$51:$K$55,7)</f>
        <v>0</v>
      </c>
      <c r="L68" s="1469">
        <f>VLOOKUP(G43,$E$51:$M$55,8)</f>
        <v>0</v>
      </c>
      <c r="M68" s="1469"/>
      <c r="N68" s="656"/>
    </row>
    <row r="69" spans="2:14" ht="14.55" x14ac:dyDescent="0.25">
      <c r="B69" s="1416" t="s">
        <v>329</v>
      </c>
      <c r="C69" s="1416"/>
      <c r="D69" s="1416"/>
      <c r="E69" s="1416"/>
      <c r="F69" s="603"/>
      <c r="G69" s="655">
        <f>VLOOKUP($G$43,$E$59:$H$63,3)</f>
        <v>0</v>
      </c>
      <c r="H69" s="655">
        <f>VLOOKUP(G43,$E$59:$H$63,4)</f>
        <v>0</v>
      </c>
      <c r="I69" s="655">
        <f>VLOOKUP($G$43,$E$59:$J$63,5)</f>
        <v>0</v>
      </c>
      <c r="J69" s="655">
        <f>VLOOKUP(G43,$E$59:$K$63,6)</f>
        <v>0</v>
      </c>
      <c r="K69" s="655">
        <f>VLOOKUP($G$43,$E$59:$K$63,7)</f>
        <v>0</v>
      </c>
      <c r="L69" s="1469">
        <f>VLOOKUP(G43,$E$59:$M$63,8)</f>
        <v>0</v>
      </c>
      <c r="M69" s="1469"/>
      <c r="N69" s="656"/>
    </row>
    <row r="70" spans="2:14" ht="14.55" x14ac:dyDescent="0.25">
      <c r="B70" s="1659" t="s">
        <v>331</v>
      </c>
      <c r="C70" s="1660"/>
      <c r="D70" s="1660"/>
      <c r="E70" s="1661"/>
      <c r="F70" s="603"/>
      <c r="G70" s="723">
        <f t="shared" ref="G70:L70" si="4">G69-G68</f>
        <v>0</v>
      </c>
      <c r="H70" s="723">
        <f t="shared" si="4"/>
        <v>0</v>
      </c>
      <c r="I70" s="723">
        <f t="shared" si="4"/>
        <v>0</v>
      </c>
      <c r="J70" s="723">
        <f t="shared" si="4"/>
        <v>0</v>
      </c>
      <c r="K70" s="723">
        <f t="shared" si="4"/>
        <v>0</v>
      </c>
      <c r="L70" s="1470">
        <f t="shared" si="4"/>
        <v>0</v>
      </c>
      <c r="M70" s="1470"/>
      <c r="N70" s="724"/>
    </row>
    <row r="71" spans="2:14" ht="14.55" x14ac:dyDescent="0.25">
      <c r="B71" s="1416" t="s">
        <v>332</v>
      </c>
      <c r="C71" s="1416"/>
      <c r="D71" s="1416"/>
      <c r="E71" s="1416"/>
      <c r="F71" s="603"/>
      <c r="G71" s="723">
        <f>G39-H49</f>
        <v>0</v>
      </c>
      <c r="H71" s="659">
        <f>G43</f>
        <v>1</v>
      </c>
      <c r="I71" s="723">
        <f>I39-J49</f>
        <v>0</v>
      </c>
      <c r="J71" s="659">
        <f>G43</f>
        <v>1</v>
      </c>
      <c r="K71" s="723">
        <f>K39-L49</f>
        <v>0</v>
      </c>
      <c r="L71" s="1471">
        <f>G43</f>
        <v>1</v>
      </c>
      <c r="M71" s="1471"/>
      <c r="N71" s="725"/>
    </row>
    <row r="74" spans="2:14" x14ac:dyDescent="0.25">
      <c r="B74" s="630" t="s">
        <v>333</v>
      </c>
    </row>
    <row r="76" spans="2:14" ht="14.55" x14ac:dyDescent="0.25">
      <c r="B76" s="603"/>
      <c r="C76" s="603"/>
      <c r="D76" s="651"/>
      <c r="E76" s="603"/>
      <c r="F76" s="651"/>
      <c r="G76" s="649" t="s">
        <v>135</v>
      </c>
      <c r="H76" s="650" t="s">
        <v>321</v>
      </c>
      <c r="I76" s="649" t="s">
        <v>135</v>
      </c>
      <c r="J76" s="650" t="s">
        <v>321</v>
      </c>
      <c r="K76" s="649" t="s">
        <v>135</v>
      </c>
      <c r="L76" s="1417" t="s">
        <v>321</v>
      </c>
      <c r="M76" s="1417"/>
      <c r="N76" s="651"/>
    </row>
    <row r="77" spans="2:14" ht="14.55" x14ac:dyDescent="0.25">
      <c r="B77" s="1416" t="s">
        <v>334</v>
      </c>
      <c r="C77" s="1416"/>
      <c r="D77" s="1416"/>
      <c r="E77" s="1416"/>
      <c r="F77" s="660"/>
      <c r="G77" s="655">
        <f t="shared" ref="G77:L77" si="5">G68</f>
        <v>0</v>
      </c>
      <c r="H77" s="655">
        <f t="shared" si="5"/>
        <v>0</v>
      </c>
      <c r="I77" s="655">
        <f t="shared" si="5"/>
        <v>0</v>
      </c>
      <c r="J77" s="655">
        <f t="shared" si="5"/>
        <v>0</v>
      </c>
      <c r="K77" s="655">
        <f t="shared" si="5"/>
        <v>0</v>
      </c>
      <c r="L77" s="1469">
        <f t="shared" si="5"/>
        <v>0</v>
      </c>
      <c r="M77" s="1469"/>
      <c r="N77" s="656"/>
    </row>
    <row r="78" spans="2:14" ht="14.55" x14ac:dyDescent="0.25">
      <c r="B78" s="1416" t="s">
        <v>335</v>
      </c>
      <c r="C78" s="1416"/>
      <c r="D78" s="1416"/>
      <c r="E78" s="1416"/>
      <c r="F78" s="660"/>
      <c r="G78" s="655">
        <f>G71</f>
        <v>0</v>
      </c>
      <c r="H78" s="655">
        <f>G71</f>
        <v>0</v>
      </c>
      <c r="I78" s="655">
        <f>I71</f>
        <v>0</v>
      </c>
      <c r="J78" s="655">
        <f>I71</f>
        <v>0</v>
      </c>
      <c r="K78" s="655">
        <f>K71</f>
        <v>0</v>
      </c>
      <c r="L78" s="1469">
        <f>K71</f>
        <v>0</v>
      </c>
      <c r="M78" s="1469"/>
      <c r="N78" s="656"/>
    </row>
    <row r="79" spans="2:14" ht="14.55" x14ac:dyDescent="0.25">
      <c r="B79" s="1416" t="s">
        <v>336</v>
      </c>
      <c r="C79" s="1416"/>
      <c r="D79" s="1416"/>
      <c r="E79" s="1416"/>
      <c r="F79" s="660"/>
      <c r="G79" s="655">
        <f t="shared" ref="G79:L79" si="6">G70</f>
        <v>0</v>
      </c>
      <c r="H79" s="655">
        <f t="shared" si="6"/>
        <v>0</v>
      </c>
      <c r="I79" s="655">
        <f t="shared" si="6"/>
        <v>0</v>
      </c>
      <c r="J79" s="655">
        <f t="shared" si="6"/>
        <v>0</v>
      </c>
      <c r="K79" s="655">
        <f t="shared" si="6"/>
        <v>0</v>
      </c>
      <c r="L79" s="1469">
        <f t="shared" si="6"/>
        <v>0</v>
      </c>
      <c r="M79" s="1469"/>
      <c r="N79" s="656"/>
    </row>
    <row r="80" spans="2:14" ht="14.55" x14ac:dyDescent="0.25">
      <c r="B80" s="1416" t="s">
        <v>337</v>
      </c>
      <c r="C80" s="1416"/>
      <c r="D80" s="1416"/>
      <c r="E80" s="1416"/>
      <c r="F80" s="660"/>
      <c r="G80" s="655">
        <f>H57-H49</f>
        <v>0</v>
      </c>
      <c r="H80" s="655">
        <f>H57-H49</f>
        <v>0</v>
      </c>
      <c r="I80" s="655">
        <f>J57-J49</f>
        <v>0</v>
      </c>
      <c r="J80" s="655">
        <f>J57-J49</f>
        <v>0</v>
      </c>
      <c r="K80" s="655">
        <f>L57-L49</f>
        <v>0</v>
      </c>
      <c r="L80" s="1469">
        <f>L57-L49</f>
        <v>0</v>
      </c>
      <c r="M80" s="1469"/>
      <c r="N80" s="656"/>
    </row>
    <row r="81" spans="2:22" ht="15.2" thickBot="1" x14ac:dyDescent="0.3">
      <c r="B81" s="603"/>
      <c r="C81" s="603"/>
      <c r="D81" s="603"/>
      <c r="E81" s="646"/>
      <c r="F81" s="646"/>
      <c r="G81" s="661"/>
      <c r="H81" s="603"/>
    </row>
    <row r="82" spans="2:22" ht="14.55" x14ac:dyDescent="0.25">
      <c r="B82" s="662"/>
      <c r="C82" s="1417"/>
      <c r="D82" s="597" t="s">
        <v>135</v>
      </c>
      <c r="E82" s="664"/>
      <c r="F82" s="656"/>
      <c r="G82" s="603"/>
      <c r="H82" s="665">
        <f>IF(G80=0,0,G77+((G78*G79)/G80))</f>
        <v>0</v>
      </c>
      <c r="J82" s="665">
        <f>IF(I80=0,0,I77+((I78*I79)/I80))</f>
        <v>0</v>
      </c>
      <c r="L82" s="1476">
        <f>IF(K80=0,0,K77+((K78*K79)/K80))</f>
        <v>0</v>
      </c>
      <c r="M82" s="1477"/>
      <c r="N82" s="656"/>
    </row>
    <row r="83" spans="2:22" ht="14.55" x14ac:dyDescent="0.25">
      <c r="B83" s="666" t="s">
        <v>338</v>
      </c>
      <c r="C83" s="1417"/>
      <c r="D83" s="597" t="s">
        <v>318</v>
      </c>
      <c r="E83" s="664"/>
      <c r="F83" s="656"/>
      <c r="G83" s="603"/>
      <c r="H83" s="667">
        <f>((H86-H82)*0.25)+H82</f>
        <v>0</v>
      </c>
      <c r="J83" s="667">
        <f>((J86-J82)*0.25)+J82</f>
        <v>0</v>
      </c>
      <c r="L83" s="1478">
        <f>((L86-L82)*0.25)+L82</f>
        <v>0</v>
      </c>
      <c r="M83" s="1479"/>
      <c r="N83" s="656"/>
    </row>
    <row r="84" spans="2:22" ht="14.55" x14ac:dyDescent="0.25">
      <c r="B84" s="666"/>
      <c r="C84" s="1417"/>
      <c r="D84" s="597" t="s">
        <v>319</v>
      </c>
      <c r="E84" s="664"/>
      <c r="F84" s="656"/>
      <c r="G84" s="603"/>
      <c r="H84" s="667">
        <f>(H86+H82)/2</f>
        <v>0</v>
      </c>
      <c r="J84" s="667">
        <f>(J86+J82)/2</f>
        <v>0</v>
      </c>
      <c r="L84" s="1478">
        <f>(L86+L82)/2</f>
        <v>0</v>
      </c>
      <c r="M84" s="1479"/>
      <c r="N84" s="656"/>
    </row>
    <row r="85" spans="2:22" ht="14.55" x14ac:dyDescent="0.25">
      <c r="B85" s="666" t="s">
        <v>339</v>
      </c>
      <c r="C85" s="1417"/>
      <c r="D85" s="597" t="s">
        <v>320</v>
      </c>
      <c r="E85" s="664"/>
      <c r="F85" s="656"/>
      <c r="G85" s="603"/>
      <c r="H85" s="667">
        <f>((H86-H82)*0.75)+H82</f>
        <v>0</v>
      </c>
      <c r="J85" s="667">
        <f>((J86-J82)*0.75)+J82</f>
        <v>0</v>
      </c>
      <c r="L85" s="1478">
        <f>((L86-L82)*0.75)+L82</f>
        <v>0</v>
      </c>
      <c r="M85" s="1479"/>
      <c r="N85" s="656"/>
    </row>
    <row r="86" spans="2:22" ht="15.2" thickBot="1" x14ac:dyDescent="0.3">
      <c r="B86" s="668"/>
      <c r="C86" s="1417"/>
      <c r="D86" s="597" t="s">
        <v>321</v>
      </c>
      <c r="E86" s="664"/>
      <c r="F86" s="656"/>
      <c r="G86" s="603"/>
      <c r="H86" s="669">
        <f>IF(H80=0,0,H77+((H78*H79)/H80))</f>
        <v>0</v>
      </c>
      <c r="J86" s="669">
        <f>IF(J80=0,0,J77+((J78*J79)/J80))</f>
        <v>0</v>
      </c>
      <c r="L86" s="1480">
        <f>IF(L80=0,0,L77+((L78*L79)/L80))</f>
        <v>0</v>
      </c>
      <c r="M86" s="1481"/>
      <c r="N86" s="656"/>
    </row>
    <row r="88" spans="2:22" ht="15.2" thickBot="1" x14ac:dyDescent="0.35">
      <c r="B88" s="603"/>
      <c r="C88" s="603"/>
      <c r="D88" s="603"/>
      <c r="E88" s="603"/>
      <c r="F88" s="603"/>
      <c r="G88" s="1418" t="s">
        <v>322</v>
      </c>
      <c r="H88" s="1418"/>
      <c r="I88" s="1414" t="s">
        <v>323</v>
      </c>
      <c r="J88" s="1414"/>
      <c r="K88" s="1466" t="s">
        <v>324</v>
      </c>
      <c r="L88" s="1466"/>
      <c r="M88" s="1466"/>
      <c r="N88" s="633"/>
    </row>
    <row r="89" spans="2:22" ht="15.2" thickBot="1" x14ac:dyDescent="0.3">
      <c r="B89" s="1402" t="s">
        <v>340</v>
      </c>
      <c r="C89" s="1403"/>
      <c r="D89" s="1403"/>
      <c r="E89" s="1404"/>
      <c r="F89" s="603"/>
      <c r="G89" s="670">
        <f>G43</f>
        <v>1</v>
      </c>
      <c r="H89" s="671">
        <f>IF($G$44="Basishonorarsatz",H82,IF($G$44="Viertelsatz",H83,IF($G$44="Mittelsatz",H84,IF($G$44="Dreiviertelsatz",H85,H86))))</f>
        <v>0</v>
      </c>
      <c r="I89" s="726"/>
      <c r="J89" s="727">
        <f>IF($G$44="Basishonorarsatz",J82,IF($G$44="Viertelsatz",J83,IF($G$44="Mittelsatz",J84,IF($G$44="Dreiviertelsatz",J85,J86))))</f>
        <v>0</v>
      </c>
      <c r="K89" s="726"/>
      <c r="L89" s="1412">
        <f>IF($G$44="Basishonorarsatz",L82,IF($G$44="Viertelsatz",L83,IF($G$44="Mittelsatz",L84,IF($G$44="Dreiviertelsatz",L85,L86))))</f>
        <v>0</v>
      </c>
      <c r="M89" s="1413"/>
      <c r="N89" s="728"/>
    </row>
    <row r="90" spans="2:22" ht="14.55" thickBot="1" x14ac:dyDescent="0.3">
      <c r="B90" s="641" t="s">
        <v>341</v>
      </c>
    </row>
    <row r="91" spans="2:22" ht="15" customHeight="1" thickBot="1" x14ac:dyDescent="0.3">
      <c r="B91" s="641" t="s">
        <v>342</v>
      </c>
      <c r="G91" s="678"/>
      <c r="H91" s="1633" t="s">
        <v>343</v>
      </c>
      <c r="I91" s="1634"/>
      <c r="J91" s="1634"/>
      <c r="K91" s="1635"/>
      <c r="L91" s="790"/>
      <c r="M91" s="791"/>
    </row>
    <row r="92" spans="2:22" ht="14.55" thickBot="1" x14ac:dyDescent="0.3">
      <c r="B92" s="641" t="s">
        <v>344</v>
      </c>
      <c r="G92" s="679"/>
      <c r="H92" s="1636" t="s">
        <v>539</v>
      </c>
      <c r="I92" s="1637"/>
      <c r="J92" s="1467" t="s">
        <v>346</v>
      </c>
      <c r="K92" s="1468"/>
      <c r="L92" s="741"/>
      <c r="M92" s="741"/>
      <c r="T92" s="630"/>
      <c r="U92" s="630"/>
      <c r="V92" s="630"/>
    </row>
    <row r="93" spans="2:22" ht="14.55" x14ac:dyDescent="0.3">
      <c r="B93" s="641" t="s">
        <v>349</v>
      </c>
      <c r="G93" s="680">
        <v>1</v>
      </c>
      <c r="H93" s="1638">
        <f>IF('Bauphysik - Raumakustik'!T37="ja",'Bauphysik - Raumakustik'!J37,0)</f>
        <v>0</v>
      </c>
      <c r="I93" s="1639"/>
      <c r="J93" s="1801">
        <f>IF('Bauphysik - Raumakustik'!T37="ja",'Bauphysik - Raumakustik'!L43,0)</f>
        <v>0</v>
      </c>
      <c r="K93" s="1802"/>
      <c r="L93" s="741">
        <f>H93+J93</f>
        <v>0</v>
      </c>
      <c r="M93" s="741"/>
      <c r="T93" s="594"/>
      <c r="U93" s="594"/>
      <c r="V93" s="594"/>
    </row>
    <row r="94" spans="2:22" ht="14.55" x14ac:dyDescent="0.3">
      <c r="G94" s="682">
        <v>2</v>
      </c>
      <c r="H94" s="1408">
        <f>IF('Bauphysik - Raumakustik'!T44="ja",'Bauphysik - Raumakustik'!J44,0)</f>
        <v>0</v>
      </c>
      <c r="I94" s="1409"/>
      <c r="J94" s="1437">
        <f>IF('Bauphysik - Raumakustik'!T44="ja",'Bauphysik - Raumakustik'!L56,0)</f>
        <v>0</v>
      </c>
      <c r="K94" s="1438"/>
      <c r="L94" s="741">
        <f t="shared" ref="L94:L99" si="7">H94+J94</f>
        <v>0</v>
      </c>
      <c r="M94" s="741"/>
      <c r="T94" s="733"/>
      <c r="U94" s="734"/>
      <c r="V94" s="733"/>
    </row>
    <row r="95" spans="2:22" ht="14.55" x14ac:dyDescent="0.3">
      <c r="B95" s="641" t="s">
        <v>341</v>
      </c>
      <c r="G95" s="682">
        <v>3</v>
      </c>
      <c r="H95" s="1408">
        <f>IF('Bauphysik - Raumakustik'!T60="ja",'Bauphysik - Raumakustik'!J60,0)</f>
        <v>0</v>
      </c>
      <c r="I95" s="1409"/>
      <c r="J95" s="1437">
        <f>IF('Bauphysik - Raumakustik'!T60="ja",'Bauphysik - Raumakustik'!L73,0)</f>
        <v>0</v>
      </c>
      <c r="K95" s="1438"/>
      <c r="L95" s="741">
        <f t="shared" si="7"/>
        <v>0</v>
      </c>
      <c r="M95" s="741"/>
      <c r="T95" s="735"/>
      <c r="U95" s="734"/>
      <c r="V95" s="736"/>
    </row>
    <row r="96" spans="2:22" ht="14.55" x14ac:dyDescent="0.3">
      <c r="B96" s="641" t="s">
        <v>350</v>
      </c>
      <c r="G96" s="682">
        <v>4</v>
      </c>
      <c r="H96" s="1408">
        <f>IF('Bauphysik - Raumakustik'!T77="ja",'Bauphysik - Raumakustik'!J77,0)</f>
        <v>0</v>
      </c>
      <c r="I96" s="1409"/>
      <c r="J96" s="1437">
        <f>IF('Bauphysik - Raumakustik'!T77="ja",'Bauphysik - Raumakustik'!L88,0)</f>
        <v>0</v>
      </c>
      <c r="K96" s="1438"/>
      <c r="L96" s="741">
        <f t="shared" si="7"/>
        <v>0</v>
      </c>
      <c r="M96" s="741"/>
      <c r="T96" s="735"/>
      <c r="U96" s="734"/>
      <c r="V96" s="736"/>
    </row>
    <row r="97" spans="2:22" ht="14.55" x14ac:dyDescent="0.3">
      <c r="G97" s="682" t="s">
        <v>351</v>
      </c>
      <c r="H97" s="1408">
        <f>IF('Bauphysik - Raumakustik'!T89="ja",'Bauphysik - Raumakustik'!J89,0)</f>
        <v>0</v>
      </c>
      <c r="I97" s="1409"/>
      <c r="J97" s="1437">
        <f>IF('Bauphysik - Raumakustik'!T89="ja",'Bauphysik - Raumakustik'!R89,0)</f>
        <v>0</v>
      </c>
      <c r="K97" s="1438"/>
      <c r="L97" s="741">
        <f t="shared" si="7"/>
        <v>0</v>
      </c>
      <c r="M97" s="741"/>
      <c r="T97" s="735"/>
      <c r="U97" s="734"/>
      <c r="V97" s="736"/>
    </row>
    <row r="98" spans="2:22" ht="14.55" x14ac:dyDescent="0.3">
      <c r="G98" s="682" t="s">
        <v>352</v>
      </c>
      <c r="H98" s="1408">
        <f>IF('Bauphysik - Raumakustik'!T92="ja",'Bauphysik - Raumakustik'!J92,0)</f>
        <v>0</v>
      </c>
      <c r="I98" s="1409"/>
      <c r="J98" s="1437">
        <f>IF('Bauphysik - Raumakustik'!T92="ja",'Bauphysik - Raumakustik'!R92,0)</f>
        <v>0</v>
      </c>
      <c r="K98" s="1438"/>
      <c r="L98" s="741">
        <f t="shared" si="7"/>
        <v>0</v>
      </c>
      <c r="M98" s="741"/>
      <c r="T98" s="735"/>
      <c r="U98" s="734"/>
      <c r="V98" s="736"/>
    </row>
    <row r="99" spans="2:22" ht="14.55" x14ac:dyDescent="0.3">
      <c r="G99" s="683">
        <v>6</v>
      </c>
      <c r="H99" s="1408">
        <f>IF('Bauphysik - Raumakustik'!T96="ja",'Bauphysik - Raumakustik'!J96,0)</f>
        <v>0</v>
      </c>
      <c r="I99" s="1409"/>
      <c r="J99" s="1437">
        <f>IF('Bauphysik - Raumakustik'!T96="ja",'Bauphysik - Raumakustik'!L102,0)</f>
        <v>0</v>
      </c>
      <c r="K99" s="1438"/>
      <c r="L99" s="741">
        <f t="shared" si="7"/>
        <v>0</v>
      </c>
      <c r="M99" s="741"/>
      <c r="T99" s="735"/>
      <c r="U99" s="734"/>
      <c r="V99" s="736"/>
    </row>
    <row r="100" spans="2:22" ht="15.2" thickBot="1" x14ac:dyDescent="0.35">
      <c r="G100" s="792">
        <v>7</v>
      </c>
      <c r="H100" s="1408">
        <f>IF('Bauphysik - Raumakustik'!T103="ja",'Bauphysik - Raumakustik'!J103,0)</f>
        <v>0</v>
      </c>
      <c r="I100" s="1409"/>
      <c r="J100" s="1437">
        <f>IF('Bauphysik - Raumakustik'!T103="ja",'Bauphysik - Raumakustik'!L109,0)</f>
        <v>0</v>
      </c>
      <c r="K100" s="1438"/>
      <c r="L100" s="741"/>
      <c r="M100" s="741"/>
      <c r="T100" s="735"/>
      <c r="U100" s="734"/>
      <c r="V100" s="736"/>
    </row>
    <row r="101" spans="2:22" ht="15.2" thickBot="1" x14ac:dyDescent="0.35">
      <c r="G101" s="685" t="s">
        <v>357</v>
      </c>
      <c r="H101" s="1433">
        <f>SUM(H93:I100)</f>
        <v>0</v>
      </c>
      <c r="I101" s="1434"/>
      <c r="J101" s="1439">
        <f>SUM(J93:K100)</f>
        <v>0</v>
      </c>
      <c r="K101" s="1440"/>
      <c r="L101" s="762"/>
      <c r="M101" s="762"/>
      <c r="T101" s="735"/>
      <c r="U101" s="734"/>
      <c r="V101" s="736"/>
    </row>
    <row r="102" spans="2:22" ht="14.25" customHeight="1" thickBot="1" x14ac:dyDescent="0.35">
      <c r="G102" s="685" t="s">
        <v>540</v>
      </c>
      <c r="H102" s="1431">
        <f>H101*'Bauphysik - Raumakustik'!F21+H101</f>
        <v>0</v>
      </c>
      <c r="I102" s="1432"/>
      <c r="J102" s="740"/>
      <c r="T102" s="735"/>
      <c r="U102" s="734"/>
      <c r="V102" s="736"/>
    </row>
    <row r="103" spans="2:22" ht="14.55" x14ac:dyDescent="0.3">
      <c r="K103" s="741"/>
      <c r="T103" s="735"/>
      <c r="U103" s="734"/>
      <c r="V103" s="736"/>
    </row>
    <row r="104" spans="2:22" ht="15.2" thickBot="1" x14ac:dyDescent="0.35">
      <c r="T104" s="735"/>
      <c r="U104" s="734"/>
      <c r="V104" s="736"/>
    </row>
    <row r="105" spans="2:22" ht="15.2" thickBot="1" x14ac:dyDescent="0.35">
      <c r="B105" s="688" t="s">
        <v>105</v>
      </c>
      <c r="C105" s="689" t="s">
        <v>285</v>
      </c>
      <c r="D105" s="690" t="s">
        <v>286</v>
      </c>
      <c r="E105" s="690" t="s">
        <v>287</v>
      </c>
      <c r="F105" s="690" t="s">
        <v>288</v>
      </c>
      <c r="G105" s="690" t="s">
        <v>289</v>
      </c>
      <c r="H105" s="690" t="s">
        <v>290</v>
      </c>
      <c r="I105" s="690"/>
      <c r="J105" s="690"/>
      <c r="K105" s="690"/>
      <c r="L105" s="690"/>
      <c r="M105" s="690" t="s">
        <v>295</v>
      </c>
      <c r="N105" s="690" t="s">
        <v>296</v>
      </c>
      <c r="O105" s="690"/>
      <c r="P105" s="690"/>
      <c r="Q105" s="793" t="s">
        <v>360</v>
      </c>
      <c r="T105" s="735"/>
      <c r="U105" s="734"/>
      <c r="V105" s="736"/>
    </row>
    <row r="106" spans="2:22" ht="14.55" x14ac:dyDescent="0.3">
      <c r="B106" s="692">
        <f>IF(Überblick!$H$53&gt;=1,1,"")</f>
        <v>1</v>
      </c>
      <c r="C106" s="794">
        <f>IF($B106='Bauphysik - Raumakustik'!$U$37,'Bauphysik - Raumakustik'!$J$37*'Bauphysik - Raumakustik'!$F$21+'Bauphysik - Raumakustik'!$J$37+'Bauphysik - Raumakustik'!$R$37+'Bauphysik - Raumakustik'!$R$40+'Bauphysik - Raumakustik'!$R$39+'Bauphysik - Raumakustik'!$R$42,0)</f>
        <v>0</v>
      </c>
      <c r="D106" s="745">
        <f>IF($B106='Bauphysik - Raumakustik'!$U$44,'Bauphysik - Raumakustik'!$J$44*'Bauphysik - Raumakustik'!$F$21+'Bauphysik - Raumakustik'!$J$44+'Bauphysik - Raumakustik'!$L$56,0)</f>
        <v>0</v>
      </c>
      <c r="E106" s="745">
        <f>IF($B106='Bauphysik - Raumakustik'!$U$60,'Bauphysik - Raumakustik'!$J$60*'Bauphysik - Raumakustik'!$F$21+'Bauphysik - Raumakustik'!$J$60+'Bauphysik - Raumakustik'!$L$73,0)</f>
        <v>0</v>
      </c>
      <c r="F106" s="745">
        <f>IF($B106='Bauphysik - Raumakustik'!$U$77,'Bauphysik - Raumakustik'!$J$77*'Bauphysik - Raumakustik'!$F$21+'Bauphysik - Raumakustik'!$J$77+'Bauphysik - Raumakustik'!$L$88,0)</f>
        <v>0</v>
      </c>
      <c r="G106" s="745">
        <f>IF($B106='Bauphysik - Raumakustik'!$U$89,'Bauphysik - Raumakustik'!$J$89*'Bauphysik - Raumakustik'!$F$21+'Bauphysik - Raumakustik'!$J$89+'Bauphysik - Raumakustik'!$R$89+'Bauphysik - Raumakustik'!$R$90+'Bauphysik - Raumakustik'!$R$91,0)</f>
        <v>0</v>
      </c>
      <c r="H106" s="745">
        <f>IF($B106='Bauphysik - Raumakustik'!$U$92,'Bauphysik - Raumakustik'!$J$92*'Bauphysik - Raumakustik'!$F$21+'Bauphysik - Raumakustik'!$J$92+'Bauphysik - Raumakustik'!$R$92,0)</f>
        <v>0</v>
      </c>
      <c r="I106" s="745"/>
      <c r="J106" s="745"/>
      <c r="K106" s="745"/>
      <c r="L106" s="745"/>
      <c r="M106" s="745">
        <f>IF($B106='Bauphysik - Raumakustik'!$U$96,'Bauphysik - Raumakustik'!$J$96*'Bauphysik - Raumakustik'!$F$21+'Bauphysik - Raumakustik'!$J$96+'Bauphysik - Raumakustik'!$L$102,0)</f>
        <v>0</v>
      </c>
      <c r="N106" s="745">
        <f>IF($B106='Bauphysik - Raumakustik'!$U$103,'Bauphysik - Raumakustik'!$J$103*'Bauphysik - Raumakustik'!$F$21+'Bauphysik - Raumakustik'!$J$103+'Bauphysik - Raumakustik'!$L$109,0)</f>
        <v>0</v>
      </c>
      <c r="O106" s="745"/>
      <c r="P106" s="745"/>
      <c r="Q106" s="795">
        <f>SUM(C106:P106)</f>
        <v>0</v>
      </c>
      <c r="T106" s="735"/>
      <c r="U106" s="734"/>
      <c r="V106" s="736"/>
    </row>
    <row r="107" spans="2:22" ht="14.55" x14ac:dyDescent="0.3">
      <c r="B107" s="696">
        <f>IF(Überblick!$H$53&gt;=2,2,"")</f>
        <v>2</v>
      </c>
      <c r="C107" s="796">
        <f>IF($B107='Bauphysik - Raumakustik'!$U$37,'Bauphysik - Raumakustik'!$J$37*'Bauphysik - Raumakustik'!$F$21+'Bauphysik - Raumakustik'!$J$37+'Bauphysik - Raumakustik'!$R$37+'Bauphysik - Raumakustik'!$R$40,0)</f>
        <v>0</v>
      </c>
      <c r="D107" s="749">
        <f>IF($B107='Bauphysik - Raumakustik'!$U$44,'Bauphysik - Raumakustik'!$J$44*'Bauphysik - Raumakustik'!$F$21+'Bauphysik - Raumakustik'!$J$44+'Bauphysik - Raumakustik'!$L$56,0)</f>
        <v>0</v>
      </c>
      <c r="E107" s="749">
        <f>IF($B107='Bauphysik - Raumakustik'!$U$60,'Bauphysik - Raumakustik'!$J$60*'Bauphysik - Raumakustik'!$F$21+'Bauphysik - Raumakustik'!$J$60+'Bauphysik - Raumakustik'!$L$73,0)</f>
        <v>0</v>
      </c>
      <c r="F107" s="749">
        <f>IF($B107='Bauphysik - Raumakustik'!$U$77,'Bauphysik - Raumakustik'!$J$77*'Bauphysik - Raumakustik'!$F$21+'Bauphysik - Raumakustik'!$J$77+'Bauphysik - Raumakustik'!$L$88,0)</f>
        <v>0</v>
      </c>
      <c r="G107" s="749">
        <f>IF($B107='Bauphysik - Raumakustik'!$U$89,'Bauphysik - Raumakustik'!$J$89*'Bauphysik - Raumakustik'!$F$21+'Bauphysik - Raumakustik'!$J$89+'Bauphysik - Raumakustik'!$R$89+'Bauphysik - Raumakustik'!$R$90+'Bauphysik - Raumakustik'!$R$91,0)</f>
        <v>0</v>
      </c>
      <c r="H107" s="749">
        <f>IF($B107='Bauphysik - Raumakustik'!$U$92,'Bauphysik - Raumakustik'!$J$92*'Bauphysik - Raumakustik'!$F$21+'Bauphysik - Raumakustik'!$J$92+'Bauphysik - Raumakustik'!$R$92,0)</f>
        <v>0</v>
      </c>
      <c r="I107" s="749"/>
      <c r="J107" s="749"/>
      <c r="K107" s="749"/>
      <c r="L107" s="749"/>
      <c r="M107" s="749">
        <f>IF($B107='Bauphysik - Raumakustik'!$U$96,'Bauphysik - Raumakustik'!$J$96*'Bauphysik - Raumakustik'!$F$21+'Bauphysik - Raumakustik'!$J$96+'Bauphysik - Raumakustik'!$L$102,0)</f>
        <v>0</v>
      </c>
      <c r="N107" s="749">
        <f>IF($B107='Bauphysik - Raumakustik'!$U$103,'Bauphysik - Raumakustik'!$J$103*'Bauphysik - Raumakustik'!$F$21+'Bauphysik - Raumakustik'!$J$103+'Bauphysik - Raumakustik'!$L$109,0)</f>
        <v>0</v>
      </c>
      <c r="O107" s="749"/>
      <c r="P107" s="749"/>
      <c r="Q107" s="797">
        <f t="shared" ref="Q107:Q114" si="8">SUM(C107:P107)</f>
        <v>0</v>
      </c>
      <c r="T107" s="735"/>
      <c r="U107" s="734"/>
      <c r="V107" s="736"/>
    </row>
    <row r="108" spans="2:22" ht="14.55" x14ac:dyDescent="0.3">
      <c r="B108" s="696">
        <f>IF(Überblick!$H$53&gt;=3,3,"")</f>
        <v>3</v>
      </c>
      <c r="C108" s="796">
        <f>IF($B108='Bauphysik - Raumakustik'!$U$37,'Bauphysik - Raumakustik'!$J$37*'Bauphysik - Raumakustik'!$F$21+'Bauphysik - Raumakustik'!$J$37+'Bauphysik - Raumakustik'!$R$37+'Bauphysik - Raumakustik'!$R$40,0)</f>
        <v>0</v>
      </c>
      <c r="D108" s="749">
        <f>IF($B108='Bauphysik - Raumakustik'!$U$44,'Bauphysik - Raumakustik'!$J$44*'Bauphysik - Raumakustik'!$F$21+'Bauphysik - Raumakustik'!$J$44+'Bauphysik - Raumakustik'!$L$56,0)</f>
        <v>0</v>
      </c>
      <c r="E108" s="749">
        <f>IF($B108='Bauphysik - Raumakustik'!$U$60,'Bauphysik - Raumakustik'!$J$60*'Bauphysik - Raumakustik'!$F$21+'Bauphysik - Raumakustik'!$J$60+'Bauphysik - Raumakustik'!$L$73,0)</f>
        <v>0</v>
      </c>
      <c r="F108" s="749">
        <f>IF($B108='Bauphysik - Raumakustik'!$U$77,'Bauphysik - Raumakustik'!$J$77*'Bauphysik - Raumakustik'!$F$21+'Bauphysik - Raumakustik'!$J$77+'Bauphysik - Raumakustik'!$L$88,0)</f>
        <v>0</v>
      </c>
      <c r="G108" s="749">
        <f>IF($B108='Bauphysik - Raumakustik'!$U$89,'Bauphysik - Raumakustik'!$J$89*'Bauphysik - Raumakustik'!$F$21+'Bauphysik - Raumakustik'!$J$89+'Bauphysik - Raumakustik'!$R$89+'Bauphysik - Raumakustik'!$R$90+'Bauphysik - Raumakustik'!$R$91,0)</f>
        <v>0</v>
      </c>
      <c r="H108" s="749">
        <f>IF($B108='Bauphysik - Raumakustik'!$U$92,'Bauphysik - Raumakustik'!$J$92*'Bauphysik - Raumakustik'!$F$21+'Bauphysik - Raumakustik'!$J$92+'Bauphysik - Raumakustik'!$R$92,0)</f>
        <v>0</v>
      </c>
      <c r="I108" s="749"/>
      <c r="J108" s="749"/>
      <c r="K108" s="749"/>
      <c r="L108" s="749"/>
      <c r="M108" s="749">
        <f>IF($B108='Bauphysik - Raumakustik'!$U$96,'Bauphysik - Raumakustik'!$J$96*'Bauphysik - Raumakustik'!$F$21+'Bauphysik - Raumakustik'!$J$96+'Bauphysik - Raumakustik'!$L$102,0)</f>
        <v>0</v>
      </c>
      <c r="N108" s="749">
        <f>IF($B108='Bauphysik - Raumakustik'!$U$103,'Bauphysik - Raumakustik'!$J$103*'Bauphysik - Raumakustik'!$F$21+'Bauphysik - Raumakustik'!$J$103+'Bauphysik - Raumakustik'!$L$109,0)</f>
        <v>0</v>
      </c>
      <c r="O108" s="749"/>
      <c r="P108" s="749"/>
      <c r="Q108" s="797">
        <f t="shared" si="8"/>
        <v>0</v>
      </c>
      <c r="T108" s="735"/>
      <c r="U108" s="734"/>
      <c r="V108" s="736"/>
    </row>
    <row r="109" spans="2:22" ht="14.55" x14ac:dyDescent="0.3">
      <c r="B109" s="696">
        <f>IF(Überblick!$H$53&gt;=4,4,"")</f>
        <v>4</v>
      </c>
      <c r="C109" s="796">
        <f>IF($B109='Bauphysik - Raumakustik'!$U$37,'Bauphysik - Raumakustik'!$J$37*'Bauphysik - Raumakustik'!$F$21+'Bauphysik - Raumakustik'!$J$37+'Bauphysik - Raumakustik'!$R$37+'Bauphysik - Raumakustik'!$R$40,0)</f>
        <v>0</v>
      </c>
      <c r="D109" s="749">
        <f>IF($B109='Bauphysik - Raumakustik'!$U$44,'Bauphysik - Raumakustik'!$J$44*'Bauphysik - Raumakustik'!$F$21+'Bauphysik - Raumakustik'!$J$44+'Bauphysik - Raumakustik'!$L$56,0)</f>
        <v>0</v>
      </c>
      <c r="E109" s="749">
        <f>IF($B109='Bauphysik - Raumakustik'!$U$60,'Bauphysik - Raumakustik'!$J$60*'Bauphysik - Raumakustik'!$F$21+'Bauphysik - Raumakustik'!$J$60+'Bauphysik - Raumakustik'!$L$73,0)</f>
        <v>0</v>
      </c>
      <c r="F109" s="749">
        <f>IF($B109='Bauphysik - Raumakustik'!$U$77,'Bauphysik - Raumakustik'!$J$77*'Bauphysik - Raumakustik'!$F$21+'Bauphysik - Raumakustik'!$J$77+'Bauphysik - Raumakustik'!$L$88,0)</f>
        <v>0</v>
      </c>
      <c r="G109" s="749">
        <f>IF($B109='Bauphysik - Raumakustik'!$U$89,'Bauphysik - Raumakustik'!$J$89*'Bauphysik - Raumakustik'!$F$21+'Bauphysik - Raumakustik'!$J$89+'Bauphysik - Raumakustik'!$R$89+'Bauphysik - Raumakustik'!$R$90+'Bauphysik - Raumakustik'!$R$91,0)</f>
        <v>0</v>
      </c>
      <c r="H109" s="749">
        <f>IF($B109='Bauphysik - Raumakustik'!$U$92,'Bauphysik - Raumakustik'!$J$92*'Bauphysik - Raumakustik'!$F$21+'Bauphysik - Raumakustik'!$J$92+'Bauphysik - Raumakustik'!$R$92,0)</f>
        <v>0</v>
      </c>
      <c r="I109" s="749"/>
      <c r="J109" s="749"/>
      <c r="K109" s="749"/>
      <c r="L109" s="749"/>
      <c r="M109" s="749">
        <f>IF($B109='Bauphysik - Raumakustik'!$U$96,'Bauphysik - Raumakustik'!$J$96*'Bauphysik - Raumakustik'!$F$21+'Bauphysik - Raumakustik'!$J$96+'Bauphysik - Raumakustik'!$L$102,0)</f>
        <v>0</v>
      </c>
      <c r="N109" s="749">
        <f>IF($B109='Bauphysik - Raumakustik'!$U$103,'Bauphysik - Raumakustik'!$J$103*'Bauphysik - Raumakustik'!$F$21+'Bauphysik - Raumakustik'!$J$103+'Bauphysik - Raumakustik'!$L$109,0)</f>
        <v>0</v>
      </c>
      <c r="O109" s="749"/>
      <c r="P109" s="749"/>
      <c r="Q109" s="797">
        <f>SUM(C109:P109)</f>
        <v>0</v>
      </c>
      <c r="T109" s="735"/>
      <c r="U109" s="734"/>
      <c r="V109" s="736"/>
    </row>
    <row r="110" spans="2:22" ht="14.55" x14ac:dyDescent="0.3">
      <c r="B110" s="696">
        <f>IF(Überblick!$H$53&gt;=5,5,"")</f>
        <v>5</v>
      </c>
      <c r="C110" s="796">
        <f>IF($B110='Bauphysik - Raumakustik'!$U$37,'Bauphysik - Raumakustik'!$J$37*'Bauphysik - Raumakustik'!$F$21+'Bauphysik - Raumakustik'!$J$37+'Bauphysik - Raumakustik'!$R$37+'Bauphysik - Raumakustik'!$R$40,0)</f>
        <v>0</v>
      </c>
      <c r="D110" s="749">
        <f>IF($B110='Bauphysik - Raumakustik'!$U$44,'Bauphysik - Raumakustik'!$J$44*'Bauphysik - Raumakustik'!$F$21+'Bauphysik - Raumakustik'!$J$44+'Bauphysik - Raumakustik'!$L$56,0)</f>
        <v>0</v>
      </c>
      <c r="E110" s="749">
        <f>IF($B110='Bauphysik - Raumakustik'!$U$60,'Bauphysik - Raumakustik'!$J$60*'Bauphysik - Raumakustik'!$F$21+'Bauphysik - Raumakustik'!$J$60+'Bauphysik - Raumakustik'!$L$73,0)</f>
        <v>0</v>
      </c>
      <c r="F110" s="749">
        <f>IF($B110='Bauphysik - Raumakustik'!$U$77,'Bauphysik - Raumakustik'!$J$77*'Bauphysik - Raumakustik'!$F$21+'Bauphysik - Raumakustik'!$J$77+'Bauphysik - Raumakustik'!$L$88,0)</f>
        <v>0</v>
      </c>
      <c r="G110" s="749">
        <f>IF($B110='Bauphysik - Raumakustik'!$U$89,'Bauphysik - Raumakustik'!$J$89*'Bauphysik - Raumakustik'!$F$21+'Bauphysik - Raumakustik'!$J$89+'Bauphysik - Raumakustik'!$R$89+'Bauphysik - Raumakustik'!$R$90+'Bauphysik - Raumakustik'!$R$91,0)</f>
        <v>0</v>
      </c>
      <c r="H110" s="749">
        <f>IF($B110='Bauphysik - Raumakustik'!$U$92,'Bauphysik - Raumakustik'!$J$92*'Bauphysik - Raumakustik'!$F$21+'Bauphysik - Raumakustik'!$J$92+'Bauphysik - Raumakustik'!$R$92,0)</f>
        <v>0</v>
      </c>
      <c r="I110" s="749"/>
      <c r="J110" s="749"/>
      <c r="K110" s="749"/>
      <c r="L110" s="749"/>
      <c r="M110" s="749">
        <f>IF($B110='Bauphysik - Raumakustik'!$U$96,'Bauphysik - Raumakustik'!$J$96*'Bauphysik - Raumakustik'!$F$21+'Bauphysik - Raumakustik'!$J$96+'Bauphysik - Raumakustik'!$L$102,0)</f>
        <v>0</v>
      </c>
      <c r="N110" s="749">
        <f>IF($B110='Bauphysik - Raumakustik'!$U$103,'Bauphysik - Raumakustik'!$J$103*'Bauphysik - Raumakustik'!$F$21+'Bauphysik - Raumakustik'!$J$103+'Bauphysik - Raumakustik'!$L$109,0)</f>
        <v>0</v>
      </c>
      <c r="O110" s="749"/>
      <c r="P110" s="749"/>
      <c r="Q110" s="797">
        <f t="shared" si="8"/>
        <v>0</v>
      </c>
      <c r="T110" s="735"/>
      <c r="U110" s="734"/>
      <c r="V110" s="736"/>
    </row>
    <row r="111" spans="2:22" ht="14.55" x14ac:dyDescent="0.3">
      <c r="B111" s="696">
        <f>IF(Überblick!$H$53&gt;=6,6,"")</f>
        <v>6</v>
      </c>
      <c r="C111" s="796">
        <f>IF($B111='Bauphysik - Raumakustik'!$U$37,'Bauphysik - Raumakustik'!$J$37*'Bauphysik - Raumakustik'!$F$21+'Bauphysik - Raumakustik'!$J$37+'Bauphysik - Raumakustik'!$R$37+'Bauphysik - Raumakustik'!$R$40,0)</f>
        <v>0</v>
      </c>
      <c r="D111" s="749">
        <f>IF($B111='Bauphysik - Raumakustik'!$U$44,'Bauphysik - Raumakustik'!$J$44*'Bauphysik - Raumakustik'!$F$21+'Bauphysik - Raumakustik'!$J$44+'Bauphysik - Raumakustik'!$L$56,0)</f>
        <v>0</v>
      </c>
      <c r="E111" s="749">
        <f>IF($B111='Bauphysik - Raumakustik'!$U$60,'Bauphysik - Raumakustik'!$J$60*'Bauphysik - Raumakustik'!$F$21+'Bauphysik - Raumakustik'!$J$60+'Bauphysik - Raumakustik'!$L$73,0)</f>
        <v>0</v>
      </c>
      <c r="F111" s="749">
        <f>IF($B111='Bauphysik - Raumakustik'!$U$77,'Bauphysik - Raumakustik'!$J$77*'Bauphysik - Raumakustik'!$F$21+'Bauphysik - Raumakustik'!$J$77+'Bauphysik - Raumakustik'!$L$88,0)</f>
        <v>0</v>
      </c>
      <c r="G111" s="749">
        <f>IF($B111='Bauphysik - Raumakustik'!$U$89,'Bauphysik - Raumakustik'!$J$89*'Bauphysik - Raumakustik'!$F$21+'Bauphysik - Raumakustik'!$J$89+'Bauphysik - Raumakustik'!$R$89+'Bauphysik - Raumakustik'!$R$90+'Bauphysik - Raumakustik'!$R$91,0)</f>
        <v>0</v>
      </c>
      <c r="H111" s="749">
        <f>IF($B111='Bauphysik - Raumakustik'!$U$92,'Bauphysik - Raumakustik'!$J$92*'Bauphysik - Raumakustik'!$F$21+'Bauphysik - Raumakustik'!$J$92+'Bauphysik - Raumakustik'!$R$92,0)</f>
        <v>0</v>
      </c>
      <c r="I111" s="749"/>
      <c r="J111" s="749"/>
      <c r="K111" s="749"/>
      <c r="L111" s="749"/>
      <c r="M111" s="749">
        <f>IF($B111='Bauphysik - Raumakustik'!$U$96,'Bauphysik - Raumakustik'!$J$96*'Bauphysik - Raumakustik'!$F$21+'Bauphysik - Raumakustik'!$J$96+'Bauphysik - Raumakustik'!$L$102,0)</f>
        <v>0</v>
      </c>
      <c r="N111" s="749">
        <f>IF($B111='Bauphysik - Raumakustik'!$U$103,'Bauphysik - Raumakustik'!$J$103*'Bauphysik - Raumakustik'!$F$21+'Bauphysik - Raumakustik'!$J$103+'Bauphysik - Raumakustik'!$L$109,0)</f>
        <v>0</v>
      </c>
      <c r="O111" s="749"/>
      <c r="P111" s="749"/>
      <c r="Q111" s="797">
        <f t="shared" si="8"/>
        <v>0</v>
      </c>
      <c r="T111" s="735"/>
      <c r="U111" s="734"/>
      <c r="V111" s="736"/>
    </row>
    <row r="112" spans="2:22" ht="14.55" x14ac:dyDescent="0.3">
      <c r="B112" s="696" t="str">
        <f>IF(Überblick!$H$53&gt;=7,7,"")</f>
        <v/>
      </c>
      <c r="C112" s="796">
        <f>IF($B112='Bauphysik - Raumakustik'!$U$37,'Bauphysik - Raumakustik'!$J$37*'Bauphysik - Raumakustik'!$F$21+'Bauphysik - Raumakustik'!$J$37+'Bauphysik - Raumakustik'!$R$37+'Bauphysik - Raumakustik'!$R$40,0)</f>
        <v>0</v>
      </c>
      <c r="D112" s="749">
        <f>IF($B112='Bauphysik - Raumakustik'!$U$44,'Bauphysik - Raumakustik'!$J$44*'Bauphysik - Raumakustik'!$F$21+'Bauphysik - Raumakustik'!$J$44+'Bauphysik - Raumakustik'!$L$56,0)</f>
        <v>0</v>
      </c>
      <c r="E112" s="749">
        <f>IF($B112='Bauphysik - Raumakustik'!$U$60,'Bauphysik - Raumakustik'!$J$60*'Bauphysik - Raumakustik'!$F$21+'Bauphysik - Raumakustik'!$J$60+'Bauphysik - Raumakustik'!$L$73,0)</f>
        <v>0</v>
      </c>
      <c r="F112" s="749">
        <f>IF($B112='Bauphysik - Raumakustik'!$U$77,'Bauphysik - Raumakustik'!$J$77*'Bauphysik - Raumakustik'!$F$21+'Bauphysik - Raumakustik'!$J$77+'Bauphysik - Raumakustik'!$L$88,0)</f>
        <v>0</v>
      </c>
      <c r="G112" s="749">
        <f>IF($B112='Bauphysik - Raumakustik'!$U$89,'Bauphysik - Raumakustik'!$J$89*'Bauphysik - Raumakustik'!$F$21+'Bauphysik - Raumakustik'!$J$89+'Bauphysik - Raumakustik'!$R$89+'Bauphysik - Raumakustik'!$R$90+'Bauphysik - Raumakustik'!$R$91,0)</f>
        <v>0</v>
      </c>
      <c r="H112" s="749">
        <f>IF($B112='Bauphysik - Raumakustik'!$U$92,'Bauphysik - Raumakustik'!$J$92*'Bauphysik - Raumakustik'!$F$21+'Bauphysik - Raumakustik'!$J$92+'Bauphysik - Raumakustik'!$R$92,0)</f>
        <v>0</v>
      </c>
      <c r="I112" s="749"/>
      <c r="J112" s="749"/>
      <c r="K112" s="749"/>
      <c r="L112" s="749"/>
      <c r="M112" s="749">
        <f>IF($B112='Bauphysik - Raumakustik'!$U$96,'Bauphysik - Raumakustik'!$J$96*'Bauphysik - Raumakustik'!$F$21+'Bauphysik - Raumakustik'!$J$96+'Bauphysik - Raumakustik'!$L$102,0)</f>
        <v>0</v>
      </c>
      <c r="N112" s="749">
        <f>IF($B112='Bauphysik - Raumakustik'!$U$103,'Bauphysik - Raumakustik'!$J$103*'Bauphysik - Raumakustik'!$F$21+'Bauphysik - Raumakustik'!$J$103+'Bauphysik - Raumakustik'!$L$109,0)</f>
        <v>0</v>
      </c>
      <c r="O112" s="749"/>
      <c r="P112" s="749"/>
      <c r="Q112" s="797">
        <f t="shared" si="8"/>
        <v>0</v>
      </c>
      <c r="T112" s="735"/>
      <c r="U112" s="734"/>
      <c r="V112" s="736"/>
    </row>
    <row r="113" spans="2:22" ht="14.55" x14ac:dyDescent="0.3">
      <c r="B113" s="696" t="str">
        <f>IF(Überblick!$H$53&gt;=8,8,"")</f>
        <v/>
      </c>
      <c r="C113" s="796">
        <f>IF($B113='Bauphysik - Raumakustik'!$U$37,'Bauphysik - Raumakustik'!$J$37*'Bauphysik - Raumakustik'!$F$21+'Bauphysik - Raumakustik'!$J$37+'Bauphysik - Raumakustik'!$R$37+'Bauphysik - Raumakustik'!$R$40,0)</f>
        <v>0</v>
      </c>
      <c r="D113" s="749">
        <f>IF($B113='Bauphysik - Raumakustik'!$U$44,'Bauphysik - Raumakustik'!$J$44*'Bauphysik - Raumakustik'!$F$21+'Bauphysik - Raumakustik'!$J$44+'Bauphysik - Raumakustik'!$L$56,0)</f>
        <v>0</v>
      </c>
      <c r="E113" s="749">
        <f>IF($B113='Bauphysik - Raumakustik'!$U$60,'Bauphysik - Raumakustik'!$J$60*'Bauphysik - Raumakustik'!$F$21+'Bauphysik - Raumakustik'!$J$60+'Bauphysik - Raumakustik'!$L$73,0)</f>
        <v>0</v>
      </c>
      <c r="F113" s="749">
        <f>IF($B113='Bauphysik - Raumakustik'!$U$77,'Bauphysik - Raumakustik'!$J$77*'Bauphysik - Raumakustik'!$F$21+'Bauphysik - Raumakustik'!$J$77+'Bauphysik - Raumakustik'!$L$88,0)</f>
        <v>0</v>
      </c>
      <c r="G113" s="749">
        <f>IF($B113='Bauphysik - Raumakustik'!$U$89,'Bauphysik - Raumakustik'!$J$89*'Bauphysik - Raumakustik'!$F$21+'Bauphysik - Raumakustik'!$J$89+'Bauphysik - Raumakustik'!$R$89+'Bauphysik - Raumakustik'!$R$90+'Bauphysik - Raumakustik'!$R$91,0)</f>
        <v>0</v>
      </c>
      <c r="H113" s="749">
        <f>IF($B113='Bauphysik - Raumakustik'!$U$92,'Bauphysik - Raumakustik'!$J$92*'Bauphysik - Raumakustik'!$F$21+'Bauphysik - Raumakustik'!$J$92+'Bauphysik - Raumakustik'!$R$92,0)</f>
        <v>0</v>
      </c>
      <c r="I113" s="749"/>
      <c r="J113" s="749"/>
      <c r="K113" s="749"/>
      <c r="L113" s="749"/>
      <c r="M113" s="749">
        <f>IF($B113='Bauphysik - Raumakustik'!$U$96,'Bauphysik - Raumakustik'!$J$96*'Bauphysik - Raumakustik'!$F$21+'Bauphysik - Raumakustik'!$J$96+'Bauphysik - Raumakustik'!$L$102,0)</f>
        <v>0</v>
      </c>
      <c r="N113" s="749">
        <f>IF($B113='Bauphysik - Raumakustik'!$U$103,'Bauphysik - Raumakustik'!$J$103*'Bauphysik - Raumakustik'!$F$21+'Bauphysik - Raumakustik'!$J$103+'Bauphysik - Raumakustik'!$L$109,0)</f>
        <v>0</v>
      </c>
      <c r="O113" s="749"/>
      <c r="P113" s="749"/>
      <c r="Q113" s="797">
        <f t="shared" si="8"/>
        <v>0</v>
      </c>
      <c r="T113" s="735"/>
      <c r="U113" s="734"/>
      <c r="V113" s="736"/>
    </row>
    <row r="114" spans="2:22" ht="15.2" thickBot="1" x14ac:dyDescent="0.35">
      <c r="B114" s="700" t="str">
        <f>IF(Überblick!$H$53&gt;=9,9,"")</f>
        <v/>
      </c>
      <c r="C114" s="798">
        <f>IF($B114='Bauphysik - Raumakustik'!$U$37,'Bauphysik - Raumakustik'!$J$37*'Bauphysik - Raumakustik'!$F$21+'Bauphysik - Raumakustik'!$J$37+'Bauphysik - Raumakustik'!$R$37+'Bauphysik - Raumakustik'!$R$40,0)</f>
        <v>0</v>
      </c>
      <c r="D114" s="754">
        <f>IF($B114='Bauphysik - Raumakustik'!$U$44,'Bauphysik - Raumakustik'!$J$44*'Bauphysik - Raumakustik'!$F$21+'Bauphysik - Raumakustik'!$J$44+'Bauphysik - Raumakustik'!$L$56,0)</f>
        <v>0</v>
      </c>
      <c r="E114" s="754">
        <f>IF($B114='Bauphysik - Raumakustik'!$U$60,'Bauphysik - Raumakustik'!$J$60*'Bauphysik - Raumakustik'!$F$21+'Bauphysik - Raumakustik'!$J$60+'Bauphysik - Raumakustik'!$L$73,0)</f>
        <v>0</v>
      </c>
      <c r="F114" s="754">
        <f>IF($B114='Bauphysik - Raumakustik'!$U$77,'Bauphysik - Raumakustik'!$J$77*'Bauphysik - Raumakustik'!$F$21+'Bauphysik - Raumakustik'!$J$77+'Bauphysik - Raumakustik'!$L$88,0)</f>
        <v>0</v>
      </c>
      <c r="G114" s="754">
        <f>IF($B114='Bauphysik - Raumakustik'!$U$89,'Bauphysik - Raumakustik'!$J$89*'Bauphysik - Raumakustik'!$F$21+'Bauphysik - Raumakustik'!$J$89+'Bauphysik - Raumakustik'!$R$89+'Bauphysik - Raumakustik'!$R$90+'Bauphysik - Raumakustik'!$R$91,0)</f>
        <v>0</v>
      </c>
      <c r="H114" s="754">
        <f>IF($B114='Bauphysik - Raumakustik'!$U$92,'Bauphysik - Raumakustik'!$J$92*'Bauphysik - Raumakustik'!$F$21+'Bauphysik - Raumakustik'!$J$92+'Bauphysik - Raumakustik'!$R$92,0)</f>
        <v>0</v>
      </c>
      <c r="I114" s="754"/>
      <c r="J114" s="754"/>
      <c r="K114" s="754"/>
      <c r="L114" s="754"/>
      <c r="M114" s="754">
        <f>IF($B114='Bauphysik - Raumakustik'!$U$96,'Bauphysik - Raumakustik'!$J$96*'Bauphysik - Raumakustik'!$F$21+'Bauphysik - Raumakustik'!$J$96+'Bauphysik - Raumakustik'!$L$102,0)</f>
        <v>0</v>
      </c>
      <c r="N114" s="754">
        <f>IF($B114='Bauphysik - Raumakustik'!$U$103,'Bauphysik - Raumakustik'!$J$103*'Bauphysik - Raumakustik'!$F$21+'Bauphysik - Raumakustik'!$J$103+'Bauphysik - Raumakustik'!$L$109,0)</f>
        <v>0</v>
      </c>
      <c r="O114" s="754"/>
      <c r="P114" s="754"/>
      <c r="Q114" s="799">
        <f t="shared" si="8"/>
        <v>0</v>
      </c>
      <c r="T114" s="735"/>
      <c r="U114" s="734"/>
      <c r="V114" s="736"/>
    </row>
    <row r="115" spans="2:22" ht="15.2" thickBot="1" x14ac:dyDescent="0.35">
      <c r="Q115" s="800">
        <f>SUM(Q106:Q114)</f>
        <v>0</v>
      </c>
      <c r="T115" s="735"/>
      <c r="U115" s="734"/>
      <c r="V115" s="736"/>
    </row>
    <row r="116" spans="2:22" ht="14.55" x14ac:dyDescent="0.3">
      <c r="T116" s="735"/>
      <c r="U116" s="734"/>
      <c r="V116" s="736"/>
    </row>
    <row r="117" spans="2:22" ht="14.55" x14ac:dyDescent="0.3">
      <c r="T117" s="735"/>
      <c r="U117" s="734"/>
      <c r="V117" s="736"/>
    </row>
    <row r="118" spans="2:22" ht="14.55" x14ac:dyDescent="0.3">
      <c r="T118" s="735"/>
      <c r="U118" s="734"/>
      <c r="V118" s="736"/>
    </row>
    <row r="119" spans="2:22" ht="14.55" x14ac:dyDescent="0.3">
      <c r="T119" s="735"/>
      <c r="U119" s="734"/>
      <c r="V119" s="736"/>
    </row>
    <row r="120" spans="2:22" ht="14.55" x14ac:dyDescent="0.3">
      <c r="T120" s="735"/>
      <c r="U120" s="734"/>
      <c r="V120" s="736"/>
    </row>
    <row r="121" spans="2:22" ht="14.55" x14ac:dyDescent="0.3">
      <c r="T121" s="735"/>
      <c r="U121" s="734"/>
      <c r="V121" s="736"/>
    </row>
    <row r="122" spans="2:22" ht="14.55" x14ac:dyDescent="0.3">
      <c r="T122" s="735"/>
      <c r="U122" s="734"/>
      <c r="V122" s="736"/>
    </row>
    <row r="123" spans="2:22" ht="14.55" x14ac:dyDescent="0.3">
      <c r="T123" s="735"/>
      <c r="U123" s="734"/>
      <c r="V123" s="736"/>
    </row>
    <row r="124" spans="2:22" ht="14.55" x14ac:dyDescent="0.3">
      <c r="T124" s="735"/>
      <c r="U124" s="734"/>
      <c r="V124" s="736"/>
    </row>
    <row r="125" spans="2:22" ht="14.55" x14ac:dyDescent="0.3">
      <c r="T125" s="735"/>
      <c r="U125" s="734"/>
      <c r="V125" s="736"/>
    </row>
    <row r="126" spans="2:22" ht="14.55" x14ac:dyDescent="0.3">
      <c r="T126" s="735"/>
      <c r="U126" s="734"/>
      <c r="V126" s="736"/>
    </row>
    <row r="127" spans="2:22" ht="14.55" x14ac:dyDescent="0.3">
      <c r="T127" s="735"/>
      <c r="U127" s="734"/>
      <c r="V127" s="736"/>
    </row>
    <row r="128" spans="2:22" ht="14.55" x14ac:dyDescent="0.3">
      <c r="T128" s="735"/>
      <c r="U128" s="734"/>
      <c r="V128" s="736"/>
    </row>
    <row r="129" spans="20:22" ht="14.55" x14ac:dyDescent="0.3">
      <c r="T129" s="735"/>
      <c r="U129" s="734"/>
      <c r="V129" s="736"/>
    </row>
    <row r="130" spans="20:22" ht="14.55" x14ac:dyDescent="0.3">
      <c r="T130" s="735"/>
      <c r="U130" s="734"/>
      <c r="V130" s="736"/>
    </row>
    <row r="131" spans="20:22" ht="14.55" x14ac:dyDescent="0.3">
      <c r="T131" s="735"/>
      <c r="U131" s="734"/>
      <c r="V131" s="736"/>
    </row>
    <row r="132" spans="20:22" ht="14.55" x14ac:dyDescent="0.3">
      <c r="T132" s="735"/>
      <c r="U132" s="734"/>
      <c r="V132" s="736"/>
    </row>
    <row r="133" spans="20:22" ht="14.55" x14ac:dyDescent="0.3">
      <c r="T133" s="735"/>
      <c r="U133" s="734"/>
      <c r="V133" s="736"/>
    </row>
    <row r="134" spans="20:22" ht="14.55" x14ac:dyDescent="0.3">
      <c r="T134" s="735"/>
      <c r="U134" s="734"/>
      <c r="V134" s="736"/>
    </row>
    <row r="135" spans="20:22" ht="14.55" x14ac:dyDescent="0.3">
      <c r="T135" s="735"/>
      <c r="U135" s="734"/>
      <c r="V135" s="736"/>
    </row>
    <row r="136" spans="20:22" ht="14.55" x14ac:dyDescent="0.3">
      <c r="T136" s="735"/>
      <c r="U136" s="734"/>
      <c r="V136" s="736"/>
    </row>
    <row r="137" spans="20:22" ht="14.55" x14ac:dyDescent="0.3">
      <c r="T137" s="735"/>
      <c r="U137" s="734"/>
      <c r="V137" s="736"/>
    </row>
    <row r="138" spans="20:22" ht="14.55" x14ac:dyDescent="0.3">
      <c r="T138" s="735"/>
      <c r="U138" s="734"/>
      <c r="V138" s="736"/>
    </row>
    <row r="139" spans="20:22" ht="14.55" x14ac:dyDescent="0.3">
      <c r="T139" s="735"/>
      <c r="U139" s="734"/>
      <c r="V139" s="736"/>
    </row>
    <row r="140" spans="20:22" ht="14.55" x14ac:dyDescent="0.3">
      <c r="T140" s="735"/>
      <c r="U140" s="734"/>
      <c r="V140" s="736"/>
    </row>
    <row r="141" spans="20:22" ht="14.55" x14ac:dyDescent="0.3">
      <c r="T141" s="735"/>
      <c r="U141" s="734"/>
      <c r="V141" s="736"/>
    </row>
    <row r="142" spans="20:22" ht="14.55" x14ac:dyDescent="0.3">
      <c r="T142" s="735"/>
      <c r="U142" s="734"/>
      <c r="V142" s="736"/>
    </row>
    <row r="143" spans="20:22" ht="14.55" x14ac:dyDescent="0.3">
      <c r="T143" s="735"/>
      <c r="U143" s="734"/>
      <c r="V143" s="736"/>
    </row>
    <row r="144" spans="20:22" ht="14.55" x14ac:dyDescent="0.3">
      <c r="T144" s="735"/>
      <c r="U144" s="734"/>
      <c r="V144" s="736"/>
    </row>
    <row r="145" spans="20:22" ht="14.55" x14ac:dyDescent="0.3">
      <c r="T145" s="735"/>
      <c r="U145" s="734"/>
      <c r="V145" s="736"/>
    </row>
    <row r="146" spans="20:22" ht="14.55" x14ac:dyDescent="0.3">
      <c r="T146" s="735"/>
      <c r="U146" s="734"/>
      <c r="V146" s="736"/>
    </row>
    <row r="147" spans="20:22" ht="14.55" x14ac:dyDescent="0.3">
      <c r="T147" s="735"/>
      <c r="U147" s="734"/>
      <c r="V147" s="736"/>
    </row>
    <row r="148" spans="20:22" ht="14.55" x14ac:dyDescent="0.3">
      <c r="T148" s="735"/>
      <c r="U148" s="734"/>
      <c r="V148" s="736"/>
    </row>
    <row r="149" spans="20:22" ht="14.55" x14ac:dyDescent="0.3">
      <c r="T149" s="735"/>
      <c r="U149" s="734"/>
      <c r="V149" s="736"/>
    </row>
    <row r="150" spans="20:22" ht="14.55" x14ac:dyDescent="0.3">
      <c r="T150" s="735"/>
      <c r="U150" s="734"/>
      <c r="V150" s="736"/>
    </row>
    <row r="151" spans="20:22" ht="14.55" x14ac:dyDescent="0.3">
      <c r="T151" s="735"/>
      <c r="U151" s="734"/>
      <c r="V151" s="736"/>
    </row>
    <row r="152" spans="20:22" ht="14.55" x14ac:dyDescent="0.3">
      <c r="T152" s="735"/>
      <c r="U152" s="734"/>
      <c r="V152" s="736"/>
    </row>
    <row r="153" spans="20:22" ht="14.55" x14ac:dyDescent="0.3">
      <c r="T153" s="735"/>
      <c r="U153" s="734"/>
      <c r="V153" s="736"/>
    </row>
    <row r="154" spans="20:22" ht="14.55" x14ac:dyDescent="0.3">
      <c r="T154" s="735"/>
      <c r="U154" s="734"/>
      <c r="V154" s="736"/>
    </row>
    <row r="155" spans="20:22" ht="14.55" x14ac:dyDescent="0.3">
      <c r="T155" s="735"/>
      <c r="U155" s="734"/>
      <c r="V155" s="736"/>
    </row>
    <row r="156" spans="20:22" ht="14.55" x14ac:dyDescent="0.3">
      <c r="T156" s="735"/>
      <c r="U156" s="734"/>
      <c r="V156" s="736"/>
    </row>
    <row r="157" spans="20:22" ht="14.55" x14ac:dyDescent="0.3">
      <c r="T157" s="735"/>
      <c r="U157" s="734"/>
      <c r="V157" s="736"/>
    </row>
    <row r="158" spans="20:22" ht="14.55" x14ac:dyDescent="0.3">
      <c r="T158" s="735"/>
      <c r="U158" s="734"/>
      <c r="V158" s="736"/>
    </row>
    <row r="159" spans="20:22" ht="14.55" x14ac:dyDescent="0.3">
      <c r="T159" s="735"/>
      <c r="U159" s="734"/>
      <c r="V159" s="736"/>
    </row>
    <row r="160" spans="20:22" ht="14.55" x14ac:dyDescent="0.3">
      <c r="T160" s="735"/>
      <c r="U160" s="734"/>
      <c r="V160" s="736"/>
    </row>
    <row r="161" spans="20:22" ht="14.55" x14ac:dyDescent="0.3">
      <c r="T161" s="735"/>
      <c r="U161" s="734"/>
      <c r="V161" s="736"/>
    </row>
    <row r="162" spans="20:22" ht="14.55" x14ac:dyDescent="0.3">
      <c r="T162" s="735"/>
      <c r="U162" s="734"/>
      <c r="V162" s="736"/>
    </row>
    <row r="163" spans="20:22" ht="14.55" x14ac:dyDescent="0.3">
      <c r="T163" s="735"/>
      <c r="U163" s="734"/>
      <c r="V163" s="736"/>
    </row>
    <row r="164" spans="20:22" ht="14.55" x14ac:dyDescent="0.3">
      <c r="T164" s="735"/>
      <c r="U164" s="734"/>
      <c r="V164" s="736"/>
    </row>
    <row r="165" spans="20:22" ht="14.55" x14ac:dyDescent="0.3">
      <c r="T165" s="735"/>
      <c r="U165" s="734"/>
      <c r="V165" s="736"/>
    </row>
    <row r="166" spans="20:22" ht="14.55" x14ac:dyDescent="0.3">
      <c r="T166" s="735"/>
      <c r="U166" s="734"/>
      <c r="V166" s="736"/>
    </row>
    <row r="167" spans="20:22" ht="14.55" x14ac:dyDescent="0.3">
      <c r="T167" s="735"/>
      <c r="U167" s="734"/>
      <c r="V167" s="736"/>
    </row>
    <row r="168" spans="20:22" ht="14.55" x14ac:dyDescent="0.3">
      <c r="T168" s="735"/>
      <c r="U168" s="734"/>
      <c r="V168" s="736"/>
    </row>
    <row r="169" spans="20:22" ht="14.55" x14ac:dyDescent="0.3">
      <c r="T169" s="735"/>
      <c r="U169" s="734"/>
      <c r="V169" s="758"/>
    </row>
    <row r="170" spans="20:22" ht="14.55" x14ac:dyDescent="0.3">
      <c r="T170" s="735"/>
      <c r="U170" s="734"/>
      <c r="V170" s="736"/>
    </row>
    <row r="171" spans="20:22" ht="14.55" x14ac:dyDescent="0.3">
      <c r="T171" s="735"/>
      <c r="U171" s="734"/>
      <c r="V171" s="736"/>
    </row>
    <row r="172" spans="20:22" ht="14.55" x14ac:dyDescent="0.3">
      <c r="T172" s="735"/>
      <c r="U172" s="734"/>
      <c r="V172" s="736"/>
    </row>
    <row r="173" spans="20:22" ht="14.55" x14ac:dyDescent="0.3">
      <c r="T173" s="735"/>
      <c r="U173" s="734"/>
      <c r="V173" s="736"/>
    </row>
    <row r="174" spans="20:22" ht="14.55" x14ac:dyDescent="0.3">
      <c r="T174" s="735"/>
      <c r="U174" s="734"/>
      <c r="V174" s="736"/>
    </row>
    <row r="175" spans="20:22" ht="14.55" x14ac:dyDescent="0.3">
      <c r="T175" s="735"/>
      <c r="U175" s="734"/>
      <c r="V175" s="736"/>
    </row>
    <row r="176" spans="20:22" ht="14.55" x14ac:dyDescent="0.3">
      <c r="T176" s="735"/>
      <c r="U176" s="734"/>
      <c r="V176" s="736"/>
    </row>
    <row r="177" spans="20:22" ht="14.55" x14ac:dyDescent="0.3">
      <c r="T177" s="735"/>
      <c r="U177" s="734"/>
      <c r="V177" s="736"/>
    </row>
    <row r="178" spans="20:22" ht="14.55" x14ac:dyDescent="0.3">
      <c r="T178" s="735"/>
      <c r="U178" s="734"/>
      <c r="V178" s="736"/>
    </row>
    <row r="179" spans="20:22" ht="14.55" x14ac:dyDescent="0.3">
      <c r="T179" s="735"/>
      <c r="U179" s="734"/>
      <c r="V179" s="736"/>
    </row>
    <row r="180" spans="20:22" ht="14.55" x14ac:dyDescent="0.3">
      <c r="T180" s="735"/>
      <c r="U180" s="734"/>
      <c r="V180" s="736"/>
    </row>
    <row r="181" spans="20:22" ht="14.55" x14ac:dyDescent="0.3">
      <c r="T181" s="735"/>
      <c r="U181" s="734"/>
      <c r="V181" s="736"/>
    </row>
    <row r="182" spans="20:22" ht="14.55" x14ac:dyDescent="0.3">
      <c r="T182" s="735"/>
      <c r="U182" s="734"/>
      <c r="V182" s="736"/>
    </row>
    <row r="183" spans="20:22" ht="14.55" x14ac:dyDescent="0.3">
      <c r="T183" s="735"/>
      <c r="U183" s="734"/>
      <c r="V183" s="736"/>
    </row>
    <row r="184" spans="20:22" ht="14.55" x14ac:dyDescent="0.3">
      <c r="T184" s="735"/>
      <c r="U184" s="734"/>
      <c r="V184" s="736"/>
    </row>
    <row r="185" spans="20:22" ht="14.55" x14ac:dyDescent="0.3">
      <c r="T185" s="735"/>
      <c r="U185" s="734"/>
      <c r="V185" s="736"/>
    </row>
    <row r="186" spans="20:22" ht="14.55" x14ac:dyDescent="0.3">
      <c r="T186" s="735"/>
      <c r="U186" s="734"/>
      <c r="V186" s="736"/>
    </row>
    <row r="187" spans="20:22" ht="14.55" x14ac:dyDescent="0.3">
      <c r="T187" s="735"/>
      <c r="U187" s="734"/>
      <c r="V187" s="736"/>
    </row>
    <row r="188" spans="20:22" ht="14.55" x14ac:dyDescent="0.3">
      <c r="T188" s="735"/>
      <c r="U188" s="734"/>
      <c r="V188" s="736"/>
    </row>
    <row r="189" spans="20:22" ht="14.55" x14ac:dyDescent="0.3">
      <c r="T189" s="735"/>
      <c r="U189" s="734"/>
      <c r="V189" s="736"/>
    </row>
    <row r="190" spans="20:22" ht="14.55" x14ac:dyDescent="0.3">
      <c r="T190" s="735"/>
      <c r="U190" s="734"/>
      <c r="V190" s="736"/>
    </row>
    <row r="191" spans="20:22" ht="14.55" x14ac:dyDescent="0.3">
      <c r="T191" s="735"/>
      <c r="U191" s="734"/>
      <c r="V191" s="736"/>
    </row>
    <row r="192" spans="20:22" ht="14.55" x14ac:dyDescent="0.3">
      <c r="T192" s="735"/>
      <c r="U192" s="734"/>
      <c r="V192" s="736"/>
    </row>
    <row r="193" spans="20:22" ht="14.55" x14ac:dyDescent="0.3">
      <c r="T193" s="735"/>
      <c r="U193" s="734"/>
      <c r="V193" s="736"/>
    </row>
    <row r="194" spans="20:22" ht="14.55" x14ac:dyDescent="0.3">
      <c r="T194" s="735"/>
      <c r="U194" s="734"/>
      <c r="V194" s="736"/>
    </row>
    <row r="195" spans="20:22" ht="14.55" x14ac:dyDescent="0.3">
      <c r="T195" s="735"/>
      <c r="U195" s="734"/>
      <c r="V195" s="736"/>
    </row>
    <row r="196" spans="20:22" ht="14.55" x14ac:dyDescent="0.3">
      <c r="T196" s="735"/>
      <c r="U196" s="734"/>
      <c r="V196" s="736"/>
    </row>
    <row r="197" spans="20:22" ht="14.55" x14ac:dyDescent="0.3">
      <c r="T197" s="735"/>
      <c r="U197" s="734"/>
      <c r="V197" s="736"/>
    </row>
    <row r="198" spans="20:22" ht="14.55" x14ac:dyDescent="0.3">
      <c r="T198" s="735"/>
      <c r="U198" s="734"/>
      <c r="V198" s="736"/>
    </row>
    <row r="199" spans="20:22" ht="14.55" x14ac:dyDescent="0.3">
      <c r="T199" s="735"/>
      <c r="U199" s="734"/>
      <c r="V199" s="736"/>
    </row>
    <row r="200" spans="20:22" ht="14.55" x14ac:dyDescent="0.3">
      <c r="T200" s="735"/>
      <c r="U200" s="734"/>
      <c r="V200" s="736"/>
    </row>
    <row r="201" spans="20:22" ht="14.55" x14ac:dyDescent="0.3">
      <c r="T201" s="735"/>
      <c r="U201" s="734"/>
      <c r="V201" s="736"/>
    </row>
    <row r="202" spans="20:22" ht="14.55" x14ac:dyDescent="0.3">
      <c r="T202" s="735"/>
      <c r="U202" s="734"/>
      <c r="V202" s="736"/>
    </row>
    <row r="203" spans="20:22" ht="14.55" x14ac:dyDescent="0.3">
      <c r="T203" s="735"/>
      <c r="U203" s="734"/>
      <c r="V203" s="736"/>
    </row>
    <row r="204" spans="20:22" ht="14.55" x14ac:dyDescent="0.3">
      <c r="T204" s="735"/>
      <c r="U204" s="734"/>
      <c r="V204" s="736"/>
    </row>
    <row r="205" spans="20:22" ht="14.55" x14ac:dyDescent="0.3">
      <c r="T205" s="735"/>
      <c r="U205" s="734"/>
      <c r="V205" s="736"/>
    </row>
    <row r="206" spans="20:22" ht="14.55" x14ac:dyDescent="0.3">
      <c r="T206" s="735"/>
      <c r="U206" s="734"/>
      <c r="V206" s="736"/>
    </row>
    <row r="207" spans="20:22" ht="14.55" x14ac:dyDescent="0.3">
      <c r="T207" s="735"/>
      <c r="U207" s="734"/>
      <c r="V207" s="736"/>
    </row>
    <row r="208" spans="20:22" ht="14.55" x14ac:dyDescent="0.3">
      <c r="T208" s="735"/>
      <c r="U208" s="734"/>
      <c r="V208" s="736"/>
    </row>
    <row r="209" spans="20:22" ht="14.55" x14ac:dyDescent="0.3">
      <c r="T209" s="735"/>
      <c r="U209" s="734"/>
      <c r="V209" s="736"/>
    </row>
    <row r="210" spans="20:22" ht="14.55" x14ac:dyDescent="0.3">
      <c r="T210" s="735"/>
      <c r="U210" s="734"/>
      <c r="V210" s="736"/>
    </row>
    <row r="211" spans="20:22" ht="14.55" x14ac:dyDescent="0.3">
      <c r="T211" s="735"/>
      <c r="U211" s="734"/>
      <c r="V211" s="736"/>
    </row>
    <row r="212" spans="20:22" ht="14.55" x14ac:dyDescent="0.3">
      <c r="T212" s="735"/>
      <c r="U212" s="734"/>
      <c r="V212" s="736"/>
    </row>
    <row r="213" spans="20:22" ht="14.55" x14ac:dyDescent="0.3">
      <c r="T213" s="735"/>
      <c r="U213" s="734"/>
      <c r="V213" s="736"/>
    </row>
    <row r="214" spans="20:22" ht="14.55" x14ac:dyDescent="0.3">
      <c r="T214" s="735"/>
      <c r="U214" s="734"/>
      <c r="V214" s="736"/>
    </row>
    <row r="215" spans="20:22" ht="14.55" x14ac:dyDescent="0.3">
      <c r="T215" s="735"/>
      <c r="U215" s="734"/>
      <c r="V215" s="736"/>
    </row>
    <row r="216" spans="20:22" ht="14.55" x14ac:dyDescent="0.3">
      <c r="T216" s="735"/>
      <c r="U216" s="734"/>
      <c r="V216" s="736"/>
    </row>
    <row r="217" spans="20:22" ht="14.55" x14ac:dyDescent="0.3">
      <c r="T217" s="735"/>
      <c r="U217" s="734"/>
      <c r="V217" s="736"/>
    </row>
    <row r="218" spans="20:22" ht="14.55" x14ac:dyDescent="0.3">
      <c r="T218" s="735"/>
      <c r="U218" s="734"/>
      <c r="V218" s="736"/>
    </row>
    <row r="219" spans="20:22" ht="14.55" x14ac:dyDescent="0.3">
      <c r="T219" s="735"/>
      <c r="U219" s="734"/>
      <c r="V219" s="736"/>
    </row>
    <row r="220" spans="20:22" ht="14.55" x14ac:dyDescent="0.3">
      <c r="T220" s="735"/>
      <c r="U220" s="734"/>
      <c r="V220" s="736"/>
    </row>
    <row r="221" spans="20:22" ht="14.55" x14ac:dyDescent="0.3">
      <c r="T221" s="735"/>
      <c r="U221" s="734"/>
      <c r="V221" s="736"/>
    </row>
    <row r="222" spans="20:22" ht="14.55" x14ac:dyDescent="0.3">
      <c r="T222" s="735"/>
      <c r="U222" s="734"/>
      <c r="V222" s="736"/>
    </row>
    <row r="223" spans="20:22" ht="14.55" x14ac:dyDescent="0.3">
      <c r="T223" s="735"/>
      <c r="U223" s="734"/>
      <c r="V223" s="736"/>
    </row>
    <row r="224" spans="20:22" ht="14.55" x14ac:dyDescent="0.3">
      <c r="T224" s="735"/>
      <c r="U224" s="734"/>
      <c r="V224" s="736"/>
    </row>
    <row r="225" spans="20:22" ht="14.55" x14ac:dyDescent="0.3">
      <c r="T225" s="735"/>
      <c r="U225" s="734"/>
      <c r="V225" s="736"/>
    </row>
    <row r="226" spans="20:22" ht="14.55" x14ac:dyDescent="0.3">
      <c r="T226" s="735"/>
      <c r="U226" s="734"/>
      <c r="V226" s="736"/>
    </row>
    <row r="227" spans="20:22" ht="14.55" x14ac:dyDescent="0.3">
      <c r="T227" s="735"/>
      <c r="U227" s="734"/>
      <c r="V227" s="736"/>
    </row>
    <row r="228" spans="20:22" ht="14.55" x14ac:dyDescent="0.3">
      <c r="T228" s="735"/>
      <c r="U228" s="734"/>
      <c r="V228" s="736"/>
    </row>
    <row r="229" spans="20:22" ht="14.55" x14ac:dyDescent="0.3">
      <c r="T229" s="735"/>
      <c r="U229" s="734"/>
      <c r="V229" s="736"/>
    </row>
    <row r="230" spans="20:22" ht="14.55" x14ac:dyDescent="0.3">
      <c r="T230" s="735"/>
      <c r="U230" s="734"/>
      <c r="V230" s="736"/>
    </row>
    <row r="231" spans="20:22" ht="14.55" x14ac:dyDescent="0.3">
      <c r="T231" s="735"/>
      <c r="U231" s="734"/>
      <c r="V231" s="736"/>
    </row>
    <row r="232" spans="20:22" ht="14.55" x14ac:dyDescent="0.3">
      <c r="T232" s="735"/>
      <c r="U232" s="734"/>
      <c r="V232" s="736"/>
    </row>
    <row r="233" spans="20:22" ht="14.55" x14ac:dyDescent="0.3">
      <c r="T233" s="735"/>
      <c r="U233" s="734"/>
      <c r="V233" s="736"/>
    </row>
    <row r="234" spans="20:22" ht="14.55" x14ac:dyDescent="0.3">
      <c r="T234" s="735"/>
      <c r="U234" s="734"/>
      <c r="V234" s="736"/>
    </row>
    <row r="235" spans="20:22" ht="14.55" x14ac:dyDescent="0.3">
      <c r="T235" s="735"/>
      <c r="U235" s="734"/>
      <c r="V235" s="736"/>
    </row>
    <row r="236" spans="20:22" ht="14.55" x14ac:dyDescent="0.3">
      <c r="T236" s="735"/>
      <c r="U236" s="734"/>
      <c r="V236" s="736"/>
    </row>
    <row r="237" spans="20:22" ht="14.55" x14ac:dyDescent="0.3">
      <c r="T237" s="735"/>
      <c r="U237" s="734"/>
      <c r="V237" s="736"/>
    </row>
    <row r="238" spans="20:22" ht="14.55" x14ac:dyDescent="0.3">
      <c r="T238" s="735"/>
      <c r="U238" s="734"/>
      <c r="V238" s="736"/>
    </row>
    <row r="239" spans="20:22" ht="14.55" x14ac:dyDescent="0.3">
      <c r="T239" s="735"/>
      <c r="U239" s="734"/>
      <c r="V239" s="736"/>
    </row>
    <row r="240" spans="20:22" ht="14.55" x14ac:dyDescent="0.3">
      <c r="T240" s="735"/>
      <c r="U240" s="734"/>
      <c r="V240" s="736"/>
    </row>
    <row r="241" spans="20:22" ht="14.55" x14ac:dyDescent="0.3">
      <c r="T241" s="735"/>
      <c r="U241" s="734"/>
      <c r="V241" s="736"/>
    </row>
    <row r="242" spans="20:22" ht="14.55" x14ac:dyDescent="0.3">
      <c r="T242" s="735"/>
      <c r="U242" s="734"/>
      <c r="V242" s="736"/>
    </row>
    <row r="243" spans="20:22" ht="14.55" x14ac:dyDescent="0.3">
      <c r="T243" s="735"/>
      <c r="U243" s="734"/>
      <c r="V243" s="736"/>
    </row>
    <row r="244" spans="20:22" ht="14.55" x14ac:dyDescent="0.3">
      <c r="T244" s="735"/>
      <c r="U244" s="734"/>
      <c r="V244" s="736"/>
    </row>
    <row r="245" spans="20:22" ht="14.55" x14ac:dyDescent="0.3">
      <c r="T245" s="735"/>
      <c r="U245" s="734"/>
      <c r="V245" s="736"/>
    </row>
    <row r="246" spans="20:22" ht="14.55" x14ac:dyDescent="0.3">
      <c r="T246" s="735"/>
      <c r="U246" s="734"/>
      <c r="V246" s="736"/>
    </row>
    <row r="247" spans="20:22" ht="14.55" x14ac:dyDescent="0.3">
      <c r="T247" s="735"/>
      <c r="U247" s="734"/>
      <c r="V247" s="736"/>
    </row>
    <row r="248" spans="20:22" ht="14.55" x14ac:dyDescent="0.3">
      <c r="T248" s="735"/>
      <c r="U248" s="734"/>
      <c r="V248" s="736"/>
    </row>
    <row r="249" spans="20:22" ht="14.55" x14ac:dyDescent="0.3">
      <c r="T249" s="735"/>
      <c r="U249" s="734"/>
      <c r="V249" s="736"/>
    </row>
    <row r="250" spans="20:22" ht="14.55" x14ac:dyDescent="0.3">
      <c r="T250" s="735"/>
      <c r="U250" s="734"/>
      <c r="V250" s="736"/>
    </row>
    <row r="251" spans="20:22" ht="14.55" x14ac:dyDescent="0.3">
      <c r="T251" s="735"/>
      <c r="U251" s="734"/>
      <c r="V251" s="736"/>
    </row>
    <row r="252" spans="20:22" ht="14.55" x14ac:dyDescent="0.3">
      <c r="T252" s="735"/>
      <c r="U252" s="734"/>
      <c r="V252" s="736"/>
    </row>
    <row r="253" spans="20:22" ht="14.55" x14ac:dyDescent="0.3">
      <c r="T253" s="735"/>
      <c r="U253" s="734"/>
      <c r="V253" s="736"/>
    </row>
    <row r="254" spans="20:22" ht="14.55" x14ac:dyDescent="0.3">
      <c r="T254" s="735"/>
      <c r="U254" s="734"/>
      <c r="V254" s="736"/>
    </row>
    <row r="255" spans="20:22" ht="14.55" x14ac:dyDescent="0.3">
      <c r="T255" s="735"/>
      <c r="U255" s="734"/>
      <c r="V255" s="736"/>
    </row>
    <row r="256" spans="20:22" ht="14.55" x14ac:dyDescent="0.3">
      <c r="T256" s="735"/>
      <c r="U256" s="734"/>
      <c r="V256" s="736"/>
    </row>
    <row r="257" spans="3:22" ht="14.55" x14ac:dyDescent="0.3">
      <c r="T257" s="735"/>
      <c r="U257" s="734"/>
      <c r="V257" s="736"/>
    </row>
    <row r="258" spans="3:22" ht="14.55" x14ac:dyDescent="0.3">
      <c r="T258" s="735"/>
      <c r="U258" s="734"/>
      <c r="V258" s="736"/>
    </row>
    <row r="259" spans="3:22" ht="14.55" x14ac:dyDescent="0.3">
      <c r="T259" s="735"/>
      <c r="U259" s="734"/>
      <c r="V259" s="736"/>
    </row>
    <row r="260" spans="3:22" ht="14.55" x14ac:dyDescent="0.3">
      <c r="T260" s="735"/>
      <c r="U260" s="734"/>
      <c r="V260" s="736"/>
    </row>
    <row r="261" spans="3:22" ht="14.55" x14ac:dyDescent="0.3">
      <c r="T261" s="735"/>
      <c r="U261" s="734"/>
      <c r="V261" s="736"/>
    </row>
    <row r="262" spans="3:22" ht="14.55" x14ac:dyDescent="0.3">
      <c r="T262" s="735"/>
      <c r="U262" s="734"/>
      <c r="V262" s="736"/>
    </row>
    <row r="263" spans="3:22" ht="14.55" x14ac:dyDescent="0.3">
      <c r="T263" s="735"/>
      <c r="U263" s="734"/>
      <c r="V263" s="736"/>
    </row>
    <row r="264" spans="3:22" ht="14.55" x14ac:dyDescent="0.3">
      <c r="T264" s="735"/>
      <c r="U264" s="734"/>
      <c r="V264" s="736"/>
    </row>
    <row r="265" spans="3:22" ht="14.55" x14ac:dyDescent="0.3">
      <c r="T265" s="735"/>
      <c r="U265" s="734"/>
      <c r="V265" s="736"/>
    </row>
    <row r="266" spans="3:22" ht="14.55" x14ac:dyDescent="0.3">
      <c r="C266" s="741">
        <f>'Berechnung - Raumakustik'!C106</f>
        <v>0</v>
      </c>
      <c r="D266" s="741">
        <f>'Berechnung - Raumakustik'!D106</f>
        <v>0</v>
      </c>
      <c r="E266" s="741">
        <f>'Berechnung - Raumakustik'!E106</f>
        <v>0</v>
      </c>
      <c r="F266" s="741">
        <f>'Berechnung - Raumakustik'!F106</f>
        <v>0</v>
      </c>
      <c r="G266" s="741">
        <f>'Berechnung - Raumakustik'!G106</f>
        <v>0</v>
      </c>
      <c r="H266" s="741">
        <f>'Berechnung - Raumakustik'!H106</f>
        <v>0</v>
      </c>
      <c r="I266" s="741">
        <f>'Berechnung - Raumakustik'!I106</f>
        <v>0</v>
      </c>
      <c r="J266" s="741">
        <f>'Berechnung - Raumakustik'!J106</f>
        <v>0</v>
      </c>
      <c r="K266" s="741">
        <f>'Berechnung - Raumakustik'!K106</f>
        <v>0</v>
      </c>
      <c r="L266" s="741">
        <f>'Berechnung - Raumakustik'!L106</f>
        <v>0</v>
      </c>
      <c r="M266" s="741">
        <f>'Berechnung - Raumakustik'!M106</f>
        <v>0</v>
      </c>
      <c r="N266" s="741">
        <f>'Berechnung - Raumakustik'!N106</f>
        <v>0</v>
      </c>
      <c r="O266" s="741">
        <f>'Berechnung - Raumakustik'!O106</f>
        <v>0</v>
      </c>
      <c r="P266" s="741">
        <f>'Berechnung - Raumakustik'!P106</f>
        <v>0</v>
      </c>
      <c r="T266" s="735"/>
      <c r="U266" s="734"/>
      <c r="V266" s="736"/>
    </row>
    <row r="267" spans="3:22" ht="14.55" x14ac:dyDescent="0.3">
      <c r="C267" s="741">
        <f>'Berechnung - Raumakustik'!C107</f>
        <v>0</v>
      </c>
      <c r="D267" s="741">
        <f>'Berechnung - Raumakustik'!D107</f>
        <v>0</v>
      </c>
      <c r="E267" s="741">
        <f>'Berechnung - Raumakustik'!E107</f>
        <v>0</v>
      </c>
      <c r="F267" s="741">
        <f>'Berechnung - Raumakustik'!F107</f>
        <v>0</v>
      </c>
      <c r="G267" s="741">
        <f>'Berechnung - Raumakustik'!G107</f>
        <v>0</v>
      </c>
      <c r="H267" s="741">
        <f>'Berechnung - Raumakustik'!H107</f>
        <v>0</v>
      </c>
      <c r="I267" s="741">
        <f>'Berechnung - Raumakustik'!I107</f>
        <v>0</v>
      </c>
      <c r="J267" s="741">
        <f>'Berechnung - Raumakustik'!J107</f>
        <v>0</v>
      </c>
      <c r="K267" s="741">
        <f>'Berechnung - Raumakustik'!K107</f>
        <v>0</v>
      </c>
      <c r="L267" s="741">
        <f>'Berechnung - Raumakustik'!L107</f>
        <v>0</v>
      </c>
      <c r="M267" s="741">
        <f>'Berechnung - Raumakustik'!M107</f>
        <v>0</v>
      </c>
      <c r="N267" s="741">
        <f>'Berechnung - Raumakustik'!N107</f>
        <v>0</v>
      </c>
      <c r="O267" s="741">
        <f>'Berechnung - Raumakustik'!O107</f>
        <v>0</v>
      </c>
      <c r="P267" s="741">
        <f>'Berechnung - Raumakustik'!P107</f>
        <v>0</v>
      </c>
      <c r="T267" s="735"/>
      <c r="U267" s="734"/>
      <c r="V267" s="736"/>
    </row>
    <row r="268" spans="3:22" ht="14.55" x14ac:dyDescent="0.3">
      <c r="C268" s="741">
        <f>'Berechnung - Raumakustik'!C108</f>
        <v>0</v>
      </c>
      <c r="D268" s="741">
        <f>'Berechnung - Raumakustik'!D108</f>
        <v>0</v>
      </c>
      <c r="E268" s="741">
        <f>'Berechnung - Raumakustik'!E108</f>
        <v>0</v>
      </c>
      <c r="F268" s="741">
        <f>'Berechnung - Raumakustik'!F108</f>
        <v>0</v>
      </c>
      <c r="G268" s="741">
        <f>'Berechnung - Raumakustik'!G108</f>
        <v>0</v>
      </c>
      <c r="H268" s="741">
        <f>'Berechnung - Raumakustik'!H108</f>
        <v>0</v>
      </c>
      <c r="I268" s="741">
        <f>'Berechnung - Raumakustik'!I108</f>
        <v>0</v>
      </c>
      <c r="J268" s="741">
        <f>'Berechnung - Raumakustik'!J108</f>
        <v>0</v>
      </c>
      <c r="K268" s="741">
        <f>'Berechnung - Raumakustik'!K108</f>
        <v>0</v>
      </c>
      <c r="L268" s="741">
        <f>'Berechnung - Raumakustik'!L108</f>
        <v>0</v>
      </c>
      <c r="M268" s="741">
        <f>'Berechnung - Raumakustik'!M108</f>
        <v>0</v>
      </c>
      <c r="N268" s="741">
        <f>'Berechnung - Raumakustik'!N108</f>
        <v>0</v>
      </c>
      <c r="O268" s="741">
        <f>'Berechnung - Raumakustik'!O108</f>
        <v>0</v>
      </c>
      <c r="P268" s="741">
        <f>'Berechnung - Raumakustik'!P108</f>
        <v>0</v>
      </c>
      <c r="T268" s="735"/>
      <c r="U268" s="734"/>
      <c r="V268" s="736"/>
    </row>
    <row r="269" spans="3:22" ht="14.55" x14ac:dyDescent="0.3">
      <c r="C269" s="741">
        <f>'Berechnung - Raumakustik'!C109</f>
        <v>0</v>
      </c>
      <c r="D269" s="741">
        <f>'Berechnung - Raumakustik'!D109</f>
        <v>0</v>
      </c>
      <c r="E269" s="741">
        <f>'Berechnung - Raumakustik'!E109</f>
        <v>0</v>
      </c>
      <c r="F269" s="741">
        <f>'Berechnung - Raumakustik'!F109</f>
        <v>0</v>
      </c>
      <c r="G269" s="741">
        <f>'Berechnung - Raumakustik'!G109</f>
        <v>0</v>
      </c>
      <c r="H269" s="741">
        <f>'Berechnung - Raumakustik'!H109</f>
        <v>0</v>
      </c>
      <c r="I269" s="741">
        <f>'Berechnung - Raumakustik'!I109</f>
        <v>0</v>
      </c>
      <c r="J269" s="741">
        <f>'Berechnung - Raumakustik'!J109</f>
        <v>0</v>
      </c>
      <c r="K269" s="741">
        <f>'Berechnung - Raumakustik'!K109</f>
        <v>0</v>
      </c>
      <c r="L269" s="741">
        <f>'Berechnung - Raumakustik'!L109</f>
        <v>0</v>
      </c>
      <c r="M269" s="741">
        <f>'Berechnung - Raumakustik'!M109</f>
        <v>0</v>
      </c>
      <c r="N269" s="741">
        <f>'Berechnung - Raumakustik'!N109</f>
        <v>0</v>
      </c>
      <c r="O269" s="741">
        <f>'Berechnung - Raumakustik'!O109</f>
        <v>0</v>
      </c>
      <c r="P269" s="741">
        <f>'Berechnung - Raumakustik'!P109</f>
        <v>0</v>
      </c>
      <c r="T269" s="735"/>
      <c r="U269" s="734"/>
      <c r="V269" s="736"/>
    </row>
    <row r="270" spans="3:22" ht="14.55" x14ac:dyDescent="0.3">
      <c r="C270" s="741">
        <f>'Berechnung - Raumakustik'!C110</f>
        <v>0</v>
      </c>
      <c r="D270" s="741">
        <f>'Berechnung - Raumakustik'!D110</f>
        <v>0</v>
      </c>
      <c r="E270" s="741">
        <f>'Berechnung - Raumakustik'!E110</f>
        <v>0</v>
      </c>
      <c r="F270" s="741">
        <f>'Berechnung - Raumakustik'!F110</f>
        <v>0</v>
      </c>
      <c r="G270" s="741">
        <f>'Berechnung - Raumakustik'!G110</f>
        <v>0</v>
      </c>
      <c r="H270" s="741">
        <f>'Berechnung - Raumakustik'!H110</f>
        <v>0</v>
      </c>
      <c r="I270" s="741">
        <f>'Berechnung - Raumakustik'!I110</f>
        <v>0</v>
      </c>
      <c r="J270" s="741">
        <f>'Berechnung - Raumakustik'!J110</f>
        <v>0</v>
      </c>
      <c r="K270" s="741">
        <f>'Berechnung - Raumakustik'!K110</f>
        <v>0</v>
      </c>
      <c r="L270" s="741">
        <f>'Berechnung - Raumakustik'!L110</f>
        <v>0</v>
      </c>
      <c r="M270" s="741">
        <f>'Berechnung - Raumakustik'!M110</f>
        <v>0</v>
      </c>
      <c r="N270" s="741">
        <f>'Berechnung - Raumakustik'!N110</f>
        <v>0</v>
      </c>
      <c r="O270" s="741">
        <f>'Berechnung - Raumakustik'!O110</f>
        <v>0</v>
      </c>
      <c r="P270" s="741">
        <f>'Berechnung - Raumakustik'!P110</f>
        <v>0</v>
      </c>
      <c r="T270" s="735"/>
      <c r="U270" s="734"/>
      <c r="V270" s="736"/>
    </row>
    <row r="271" spans="3:22" ht="14.55" x14ac:dyDescent="0.3">
      <c r="C271" s="741">
        <f>'Berechnung - Raumakustik'!C111</f>
        <v>0</v>
      </c>
      <c r="D271" s="741">
        <f>'Berechnung - Raumakustik'!D111</f>
        <v>0</v>
      </c>
      <c r="E271" s="741">
        <f>'Berechnung - Raumakustik'!E111</f>
        <v>0</v>
      </c>
      <c r="F271" s="741">
        <f>'Berechnung - Raumakustik'!F111</f>
        <v>0</v>
      </c>
      <c r="G271" s="741">
        <f>'Berechnung - Raumakustik'!G111</f>
        <v>0</v>
      </c>
      <c r="H271" s="741">
        <f>'Berechnung - Raumakustik'!H111</f>
        <v>0</v>
      </c>
      <c r="I271" s="741">
        <f>'Berechnung - Raumakustik'!I111</f>
        <v>0</v>
      </c>
      <c r="J271" s="741">
        <f>'Berechnung - Raumakustik'!J111</f>
        <v>0</v>
      </c>
      <c r="K271" s="741">
        <f>'Berechnung - Raumakustik'!K111</f>
        <v>0</v>
      </c>
      <c r="L271" s="741">
        <f>'Berechnung - Raumakustik'!L111</f>
        <v>0</v>
      </c>
      <c r="M271" s="741">
        <f>'Berechnung - Raumakustik'!M111</f>
        <v>0</v>
      </c>
      <c r="N271" s="741">
        <f>'Berechnung - Raumakustik'!N111</f>
        <v>0</v>
      </c>
      <c r="O271" s="741">
        <f>'Berechnung - Raumakustik'!O111</f>
        <v>0</v>
      </c>
      <c r="P271" s="741">
        <f>'Berechnung - Raumakustik'!P111</f>
        <v>0</v>
      </c>
      <c r="T271" s="735"/>
      <c r="U271" s="734"/>
      <c r="V271" s="736"/>
    </row>
    <row r="272" spans="3:22" ht="14.55" x14ac:dyDescent="0.3">
      <c r="C272" s="741">
        <f>'Berechnung - Raumakustik'!C112</f>
        <v>0</v>
      </c>
      <c r="D272" s="741">
        <f>'Berechnung - Raumakustik'!D112</f>
        <v>0</v>
      </c>
      <c r="E272" s="741">
        <f>'Berechnung - Raumakustik'!E112</f>
        <v>0</v>
      </c>
      <c r="F272" s="741">
        <f>'Berechnung - Raumakustik'!F112</f>
        <v>0</v>
      </c>
      <c r="G272" s="741">
        <f>'Berechnung - Raumakustik'!G112</f>
        <v>0</v>
      </c>
      <c r="H272" s="741">
        <f>'Berechnung - Raumakustik'!H112</f>
        <v>0</v>
      </c>
      <c r="I272" s="741">
        <f>'Berechnung - Raumakustik'!I112</f>
        <v>0</v>
      </c>
      <c r="J272" s="741">
        <f>'Berechnung - Raumakustik'!J112</f>
        <v>0</v>
      </c>
      <c r="K272" s="741">
        <f>'Berechnung - Raumakustik'!K112</f>
        <v>0</v>
      </c>
      <c r="L272" s="741">
        <f>'Berechnung - Raumakustik'!L112</f>
        <v>0</v>
      </c>
      <c r="M272" s="741">
        <f>'Berechnung - Raumakustik'!M112</f>
        <v>0</v>
      </c>
      <c r="N272" s="741">
        <f>'Berechnung - Raumakustik'!N112</f>
        <v>0</v>
      </c>
      <c r="O272" s="741">
        <f>'Berechnung - Raumakustik'!O112</f>
        <v>0</v>
      </c>
      <c r="P272" s="741">
        <f>'Berechnung - Raumakustik'!P112</f>
        <v>0</v>
      </c>
      <c r="T272" s="735"/>
      <c r="U272" s="734"/>
      <c r="V272" s="736"/>
    </row>
    <row r="273" spans="3:22" ht="14.55" x14ac:dyDescent="0.3">
      <c r="C273" s="741">
        <f>'Berechnung - Raumakustik'!C113</f>
        <v>0</v>
      </c>
      <c r="D273" s="741">
        <f>'Berechnung - Raumakustik'!D113</f>
        <v>0</v>
      </c>
      <c r="E273" s="741">
        <f>'Berechnung - Raumakustik'!E113</f>
        <v>0</v>
      </c>
      <c r="F273" s="741">
        <f>'Berechnung - Raumakustik'!F113</f>
        <v>0</v>
      </c>
      <c r="G273" s="741">
        <f>'Berechnung - Raumakustik'!G113</f>
        <v>0</v>
      </c>
      <c r="H273" s="741">
        <f>'Berechnung - Raumakustik'!H113</f>
        <v>0</v>
      </c>
      <c r="I273" s="741">
        <f>'Berechnung - Raumakustik'!I113</f>
        <v>0</v>
      </c>
      <c r="J273" s="741">
        <f>'Berechnung - Raumakustik'!J113</f>
        <v>0</v>
      </c>
      <c r="K273" s="741">
        <f>'Berechnung - Raumakustik'!K113</f>
        <v>0</v>
      </c>
      <c r="L273" s="741">
        <f>'Berechnung - Raumakustik'!L113</f>
        <v>0</v>
      </c>
      <c r="M273" s="741">
        <f>'Berechnung - Raumakustik'!M113</f>
        <v>0</v>
      </c>
      <c r="N273" s="741">
        <f>'Berechnung - Raumakustik'!N113</f>
        <v>0</v>
      </c>
      <c r="O273" s="741">
        <f>'Berechnung - Raumakustik'!O113</f>
        <v>0</v>
      </c>
      <c r="P273" s="741">
        <f>'Berechnung - Raumakustik'!P113</f>
        <v>0</v>
      </c>
      <c r="T273" s="735"/>
      <c r="U273" s="734"/>
      <c r="V273" s="736"/>
    </row>
    <row r="274" spans="3:22" ht="14.55" x14ac:dyDescent="0.3">
      <c r="T274" s="735"/>
      <c r="U274" s="734"/>
      <c r="V274" s="736"/>
    </row>
    <row r="275" spans="3:22" ht="14.55" x14ac:dyDescent="0.3">
      <c r="T275" s="735"/>
      <c r="U275" s="734"/>
      <c r="V275" s="736"/>
    </row>
    <row r="276" spans="3:22" ht="14.55" x14ac:dyDescent="0.3">
      <c r="T276" s="735"/>
      <c r="U276" s="734"/>
      <c r="V276" s="736"/>
    </row>
    <row r="277" spans="3:22" ht="14.55" x14ac:dyDescent="0.3">
      <c r="T277" s="735"/>
      <c r="U277" s="734"/>
      <c r="V277" s="736"/>
    </row>
    <row r="278" spans="3:22" ht="14.55" x14ac:dyDescent="0.3">
      <c r="T278" s="735"/>
      <c r="U278" s="734"/>
      <c r="V278" s="736"/>
    </row>
    <row r="279" spans="3:22" ht="14.55" x14ac:dyDescent="0.3">
      <c r="T279" s="735"/>
      <c r="U279" s="734"/>
      <c r="V279" s="736"/>
    </row>
    <row r="280" spans="3:22" ht="14.55" x14ac:dyDescent="0.3">
      <c r="T280" s="735"/>
      <c r="U280" s="734"/>
      <c r="V280" s="736"/>
    </row>
    <row r="281" spans="3:22" ht="14.55" x14ac:dyDescent="0.3">
      <c r="T281" s="735"/>
      <c r="U281" s="734"/>
      <c r="V281" s="736"/>
    </row>
    <row r="282" spans="3:22" ht="14.55" x14ac:dyDescent="0.3">
      <c r="T282" s="735"/>
      <c r="U282" s="734"/>
      <c r="V282" s="736"/>
    </row>
    <row r="283" spans="3:22" ht="14.55" x14ac:dyDescent="0.3">
      <c r="T283" s="735"/>
      <c r="U283" s="734"/>
      <c r="V283" s="736"/>
    </row>
    <row r="284" spans="3:22" ht="14.55" x14ac:dyDescent="0.3">
      <c r="T284" s="735"/>
      <c r="U284" s="734"/>
      <c r="V284" s="736"/>
    </row>
    <row r="285" spans="3:22" ht="14.55" x14ac:dyDescent="0.3">
      <c r="T285" s="735"/>
      <c r="U285" s="734"/>
      <c r="V285" s="736"/>
    </row>
    <row r="286" spans="3:22" ht="14.55" x14ac:dyDescent="0.3">
      <c r="T286" s="735"/>
      <c r="U286" s="734"/>
      <c r="V286" s="736"/>
    </row>
    <row r="287" spans="3:22" ht="14.55" x14ac:dyDescent="0.3">
      <c r="T287" s="735"/>
      <c r="U287" s="734"/>
      <c r="V287" s="736"/>
    </row>
    <row r="288" spans="3:22" ht="14.55" x14ac:dyDescent="0.3">
      <c r="T288" s="735"/>
      <c r="U288" s="734"/>
      <c r="V288" s="736"/>
    </row>
    <row r="289" spans="20:22" ht="14.55" x14ac:dyDescent="0.3">
      <c r="T289" s="735"/>
      <c r="U289" s="734"/>
      <c r="V289" s="736"/>
    </row>
    <row r="290" spans="20:22" ht="14.55" x14ac:dyDescent="0.3">
      <c r="T290" s="735"/>
      <c r="U290" s="734"/>
      <c r="V290" s="736"/>
    </row>
    <row r="291" spans="20:22" ht="14.55" x14ac:dyDescent="0.3">
      <c r="T291" s="735"/>
      <c r="U291" s="734"/>
      <c r="V291" s="736"/>
    </row>
    <row r="292" spans="20:22" ht="14.55" x14ac:dyDescent="0.3">
      <c r="T292" s="735"/>
      <c r="U292" s="734"/>
      <c r="V292" s="736"/>
    </row>
    <row r="293" spans="20:22" ht="14.55" x14ac:dyDescent="0.3">
      <c r="T293" s="735"/>
      <c r="U293" s="734"/>
      <c r="V293" s="736"/>
    </row>
    <row r="294" spans="20:22" ht="14.55" x14ac:dyDescent="0.3">
      <c r="T294" s="735"/>
      <c r="U294" s="734"/>
      <c r="V294" s="736"/>
    </row>
    <row r="295" spans="20:22" ht="14.55" x14ac:dyDescent="0.3">
      <c r="T295" s="735"/>
      <c r="U295" s="734"/>
      <c r="V295" s="736"/>
    </row>
    <row r="296" spans="20:22" ht="14.55" x14ac:dyDescent="0.3">
      <c r="T296" s="735"/>
      <c r="U296" s="734"/>
      <c r="V296" s="736"/>
    </row>
    <row r="297" spans="20:22" ht="14.55" x14ac:dyDescent="0.3">
      <c r="T297" s="735"/>
      <c r="U297" s="734"/>
      <c r="V297" s="736"/>
    </row>
    <row r="298" spans="20:22" ht="14.55" x14ac:dyDescent="0.3">
      <c r="T298" s="735"/>
      <c r="U298" s="734"/>
      <c r="V298" s="736"/>
    </row>
    <row r="299" spans="20:22" ht="14.55" x14ac:dyDescent="0.3">
      <c r="T299" s="735"/>
      <c r="U299" s="734"/>
      <c r="V299" s="736"/>
    </row>
    <row r="300" spans="20:22" ht="14.55" x14ac:dyDescent="0.3">
      <c r="T300" s="735"/>
      <c r="U300" s="734"/>
      <c r="V300" s="736"/>
    </row>
    <row r="301" spans="20:22" ht="14.55" x14ac:dyDescent="0.3">
      <c r="T301" s="735"/>
      <c r="U301" s="734"/>
      <c r="V301" s="736"/>
    </row>
    <row r="302" spans="20:22" ht="14.55" x14ac:dyDescent="0.3">
      <c r="T302" s="735"/>
      <c r="U302" s="734"/>
      <c r="V302" s="736"/>
    </row>
    <row r="303" spans="20:22" ht="14.55" x14ac:dyDescent="0.3">
      <c r="T303" s="735"/>
      <c r="U303" s="734"/>
      <c r="V303" s="736"/>
    </row>
    <row r="304" spans="20:22" ht="14.55" x14ac:dyDescent="0.3">
      <c r="T304" s="735"/>
      <c r="U304" s="734"/>
      <c r="V304" s="736"/>
    </row>
    <row r="305" spans="20:22" ht="14.55" x14ac:dyDescent="0.3">
      <c r="T305" s="735"/>
      <c r="U305" s="734"/>
      <c r="V305" s="736"/>
    </row>
    <row r="306" spans="20:22" ht="14.55" x14ac:dyDescent="0.3">
      <c r="T306" s="735"/>
      <c r="U306" s="734"/>
      <c r="V306" s="736"/>
    </row>
    <row r="307" spans="20:22" ht="14.55" x14ac:dyDescent="0.3">
      <c r="T307" s="735"/>
      <c r="U307" s="734"/>
      <c r="V307" s="736"/>
    </row>
    <row r="308" spans="20:22" ht="14.55" x14ac:dyDescent="0.3">
      <c r="T308" s="735"/>
      <c r="U308" s="734"/>
      <c r="V308" s="736"/>
    </row>
    <row r="309" spans="20:22" ht="14.55" x14ac:dyDescent="0.3">
      <c r="T309" s="735"/>
      <c r="U309" s="734"/>
      <c r="V309" s="736"/>
    </row>
    <row r="310" spans="20:22" ht="14.55" x14ac:dyDescent="0.3">
      <c r="T310" s="735"/>
      <c r="U310" s="734"/>
      <c r="V310" s="736"/>
    </row>
    <row r="311" spans="20:22" ht="14.55" x14ac:dyDescent="0.3">
      <c r="T311" s="735"/>
      <c r="U311" s="734"/>
      <c r="V311" s="736"/>
    </row>
    <row r="312" spans="20:22" ht="14.55" x14ac:dyDescent="0.3">
      <c r="T312" s="735"/>
      <c r="U312" s="734"/>
      <c r="V312" s="736"/>
    </row>
    <row r="313" spans="20:22" ht="14.55" x14ac:dyDescent="0.3">
      <c r="T313" s="735"/>
      <c r="U313" s="734"/>
      <c r="V313" s="736"/>
    </row>
    <row r="314" spans="20:22" ht="14.55" x14ac:dyDescent="0.3">
      <c r="T314" s="735"/>
      <c r="U314" s="734"/>
      <c r="V314" s="736"/>
    </row>
    <row r="315" spans="20:22" ht="14.55" x14ac:dyDescent="0.3">
      <c r="T315" s="735"/>
      <c r="U315" s="734"/>
      <c r="V315" s="736"/>
    </row>
    <row r="316" spans="20:22" ht="14.55" x14ac:dyDescent="0.3">
      <c r="T316" s="735"/>
      <c r="U316" s="734"/>
      <c r="V316" s="736"/>
    </row>
    <row r="317" spans="20:22" ht="14.55" x14ac:dyDescent="0.3">
      <c r="T317" s="735"/>
      <c r="U317" s="734"/>
      <c r="V317" s="736"/>
    </row>
    <row r="318" spans="20:22" ht="14.55" x14ac:dyDescent="0.3">
      <c r="T318" s="735"/>
      <c r="U318" s="734"/>
      <c r="V318" s="736"/>
    </row>
    <row r="319" spans="20:22" ht="14.55" x14ac:dyDescent="0.3">
      <c r="T319" s="735"/>
      <c r="U319" s="734"/>
      <c r="V319" s="736"/>
    </row>
    <row r="320" spans="20:22" ht="14.55" x14ac:dyDescent="0.3">
      <c r="T320" s="735"/>
      <c r="U320" s="734"/>
      <c r="V320" s="736"/>
    </row>
    <row r="321" spans="20:22" ht="14.55" x14ac:dyDescent="0.3">
      <c r="T321" s="735"/>
      <c r="U321" s="734"/>
      <c r="V321" s="736"/>
    </row>
    <row r="322" spans="20:22" ht="14.55" x14ac:dyDescent="0.3">
      <c r="T322" s="735"/>
      <c r="U322" s="734"/>
      <c r="V322" s="736"/>
    </row>
    <row r="323" spans="20:22" ht="14.55" x14ac:dyDescent="0.3">
      <c r="T323" s="735"/>
      <c r="U323" s="734"/>
      <c r="V323" s="736"/>
    </row>
    <row r="324" spans="20:22" ht="14.55" x14ac:dyDescent="0.3">
      <c r="T324" s="735"/>
      <c r="U324" s="734"/>
      <c r="V324" s="736"/>
    </row>
    <row r="325" spans="20:22" ht="14.55" x14ac:dyDescent="0.3">
      <c r="T325" s="735"/>
      <c r="U325" s="734"/>
      <c r="V325" s="736"/>
    </row>
    <row r="326" spans="20:22" ht="14.55" x14ac:dyDescent="0.3">
      <c r="T326" s="735"/>
      <c r="U326" s="734"/>
      <c r="V326" s="736"/>
    </row>
    <row r="327" spans="20:22" ht="14.55" x14ac:dyDescent="0.3">
      <c r="T327" s="735"/>
      <c r="U327" s="734"/>
      <c r="V327" s="736"/>
    </row>
    <row r="328" spans="20:22" ht="14.55" x14ac:dyDescent="0.3">
      <c r="T328" s="735"/>
      <c r="U328" s="734"/>
      <c r="V328" s="736"/>
    </row>
    <row r="329" spans="20:22" ht="14.55" x14ac:dyDescent="0.3">
      <c r="T329" s="735"/>
      <c r="U329" s="734"/>
      <c r="V329" s="736"/>
    </row>
    <row r="330" spans="20:22" ht="14.55" x14ac:dyDescent="0.3">
      <c r="T330" s="735"/>
      <c r="U330" s="734"/>
      <c r="V330" s="736"/>
    </row>
    <row r="331" spans="20:22" ht="14.55" x14ac:dyDescent="0.3">
      <c r="T331" s="735"/>
      <c r="U331" s="734"/>
      <c r="V331" s="736"/>
    </row>
    <row r="332" spans="20:22" ht="14.55" x14ac:dyDescent="0.3">
      <c r="T332" s="735"/>
      <c r="U332" s="734"/>
      <c r="V332" s="736"/>
    </row>
    <row r="333" spans="20:22" ht="14.55" x14ac:dyDescent="0.3">
      <c r="T333" s="735"/>
      <c r="U333" s="734"/>
      <c r="V333" s="736"/>
    </row>
    <row r="334" spans="20:22" ht="14.55" x14ac:dyDescent="0.3">
      <c r="T334" s="735"/>
      <c r="U334" s="734"/>
      <c r="V334" s="736"/>
    </row>
    <row r="335" spans="20:22" ht="14.55" x14ac:dyDescent="0.3">
      <c r="T335" s="735"/>
      <c r="U335" s="734"/>
      <c r="V335" s="736"/>
    </row>
    <row r="336" spans="20:22" ht="14.55" x14ac:dyDescent="0.3">
      <c r="T336" s="735"/>
      <c r="U336" s="734"/>
      <c r="V336" s="736"/>
    </row>
    <row r="337" spans="20:22" ht="14.55" x14ac:dyDescent="0.3">
      <c r="T337" s="735"/>
      <c r="U337" s="734"/>
      <c r="V337" s="736"/>
    </row>
    <row r="338" spans="20:22" ht="14.55" x14ac:dyDescent="0.3">
      <c r="T338" s="735"/>
      <c r="U338" s="734"/>
      <c r="V338" s="736"/>
    </row>
    <row r="339" spans="20:22" ht="14.55" x14ac:dyDescent="0.3">
      <c r="T339" s="735"/>
      <c r="U339" s="734"/>
      <c r="V339" s="736"/>
    </row>
    <row r="340" spans="20:22" ht="14.55" x14ac:dyDescent="0.3">
      <c r="T340" s="735"/>
      <c r="U340" s="734"/>
      <c r="V340" s="736"/>
    </row>
    <row r="341" spans="20:22" ht="14.55" x14ac:dyDescent="0.3">
      <c r="T341" s="735"/>
      <c r="U341" s="734"/>
      <c r="V341" s="736"/>
    </row>
    <row r="342" spans="20:22" ht="14.55" x14ac:dyDescent="0.3">
      <c r="T342" s="735"/>
      <c r="U342" s="734"/>
      <c r="V342" s="736"/>
    </row>
    <row r="343" spans="20:22" ht="14.55" x14ac:dyDescent="0.3">
      <c r="T343" s="735"/>
      <c r="U343" s="734"/>
      <c r="V343" s="736"/>
    </row>
    <row r="344" spans="20:22" ht="14.55" x14ac:dyDescent="0.3">
      <c r="T344" s="735"/>
      <c r="U344" s="734"/>
      <c r="V344" s="736"/>
    </row>
    <row r="345" spans="20:22" ht="14.55" x14ac:dyDescent="0.3">
      <c r="T345" s="735"/>
      <c r="U345" s="734"/>
      <c r="V345" s="736"/>
    </row>
    <row r="346" spans="20:22" ht="14.55" x14ac:dyDescent="0.3">
      <c r="T346" s="735"/>
      <c r="U346" s="734"/>
      <c r="V346" s="736"/>
    </row>
    <row r="347" spans="20:22" ht="14.55" x14ac:dyDescent="0.3">
      <c r="T347" s="735"/>
      <c r="U347" s="734"/>
      <c r="V347" s="736"/>
    </row>
    <row r="348" spans="20:22" ht="14.55" x14ac:dyDescent="0.3">
      <c r="T348" s="735"/>
      <c r="U348" s="734"/>
      <c r="V348" s="736"/>
    </row>
    <row r="349" spans="20:22" ht="14.55" x14ac:dyDescent="0.3">
      <c r="T349" s="735"/>
      <c r="U349" s="734"/>
      <c r="V349" s="736"/>
    </row>
    <row r="350" spans="20:22" ht="14.55" x14ac:dyDescent="0.3">
      <c r="T350" s="735"/>
      <c r="U350" s="734"/>
      <c r="V350" s="736"/>
    </row>
    <row r="351" spans="20:22" ht="14.55" x14ac:dyDescent="0.3">
      <c r="T351" s="735"/>
      <c r="U351" s="734"/>
      <c r="V351" s="736"/>
    </row>
    <row r="352" spans="20:22" ht="14.55" x14ac:dyDescent="0.3">
      <c r="T352" s="735"/>
      <c r="U352" s="734"/>
      <c r="V352" s="736"/>
    </row>
    <row r="353" spans="20:22" ht="14.55" x14ac:dyDescent="0.3">
      <c r="T353" s="735"/>
      <c r="U353" s="734"/>
      <c r="V353" s="736"/>
    </row>
    <row r="354" spans="20:22" ht="14.55" x14ac:dyDescent="0.3">
      <c r="T354" s="735"/>
      <c r="U354" s="734"/>
      <c r="V354" s="736"/>
    </row>
    <row r="355" spans="20:22" ht="14.55" x14ac:dyDescent="0.3">
      <c r="T355" s="735"/>
      <c r="U355" s="734"/>
      <c r="V355" s="736"/>
    </row>
    <row r="356" spans="20:22" ht="14.55" x14ac:dyDescent="0.3">
      <c r="T356" s="735"/>
      <c r="U356" s="734"/>
      <c r="V356" s="736"/>
    </row>
    <row r="357" spans="20:22" ht="14.55" x14ac:dyDescent="0.3">
      <c r="T357" s="735"/>
      <c r="U357" s="734"/>
      <c r="V357" s="736"/>
    </row>
    <row r="358" spans="20:22" ht="14.55" x14ac:dyDescent="0.3">
      <c r="T358" s="735"/>
      <c r="U358" s="734"/>
      <c r="V358" s="736"/>
    </row>
    <row r="359" spans="20:22" ht="14.55" x14ac:dyDescent="0.3">
      <c r="T359" s="735"/>
      <c r="U359" s="734"/>
      <c r="V359" s="736"/>
    </row>
    <row r="360" spans="20:22" ht="14.55" x14ac:dyDescent="0.3">
      <c r="T360" s="735"/>
      <c r="U360" s="734"/>
      <c r="V360" s="736"/>
    </row>
    <row r="361" spans="20:22" ht="14.55" x14ac:dyDescent="0.3">
      <c r="T361" s="735"/>
      <c r="U361" s="734"/>
      <c r="V361" s="736"/>
    </row>
    <row r="362" spans="20:22" ht="14.55" x14ac:dyDescent="0.3">
      <c r="T362" s="735"/>
      <c r="U362" s="734"/>
      <c r="V362" s="736"/>
    </row>
    <row r="363" spans="20:22" ht="14.55" x14ac:dyDescent="0.3">
      <c r="T363" s="735"/>
      <c r="U363" s="734"/>
      <c r="V363" s="736"/>
    </row>
    <row r="364" spans="20:22" ht="14.55" x14ac:dyDescent="0.3">
      <c r="T364" s="735"/>
      <c r="U364" s="734"/>
      <c r="V364" s="736"/>
    </row>
    <row r="365" spans="20:22" ht="14.55" x14ac:dyDescent="0.3">
      <c r="T365" s="735"/>
      <c r="U365" s="734"/>
      <c r="V365" s="736"/>
    </row>
    <row r="366" spans="20:22" ht="14.55" x14ac:dyDescent="0.3">
      <c r="T366" s="735"/>
      <c r="U366" s="734"/>
      <c r="V366" s="736"/>
    </row>
    <row r="367" spans="20:22" ht="14.55" x14ac:dyDescent="0.3">
      <c r="T367" s="735"/>
      <c r="U367" s="734"/>
      <c r="V367" s="736"/>
    </row>
    <row r="368" spans="20:22" ht="14.55" x14ac:dyDescent="0.3">
      <c r="T368" s="735"/>
      <c r="U368" s="734"/>
      <c r="V368" s="736"/>
    </row>
    <row r="369" spans="20:22" ht="14.55" x14ac:dyDescent="0.3">
      <c r="T369" s="735"/>
      <c r="U369" s="734"/>
      <c r="V369" s="736"/>
    </row>
    <row r="370" spans="20:22" ht="14.55" x14ac:dyDescent="0.3">
      <c r="T370" s="735"/>
      <c r="U370" s="734"/>
      <c r="V370" s="736"/>
    </row>
    <row r="371" spans="20:22" ht="14.55" x14ac:dyDescent="0.3">
      <c r="T371" s="735"/>
      <c r="U371" s="734"/>
      <c r="V371" s="736"/>
    </row>
    <row r="372" spans="20:22" ht="14.55" x14ac:dyDescent="0.3">
      <c r="T372" s="735"/>
      <c r="U372" s="734"/>
      <c r="V372" s="736"/>
    </row>
    <row r="373" spans="20:22" ht="14.55" x14ac:dyDescent="0.3">
      <c r="T373" s="735"/>
      <c r="U373" s="734"/>
      <c r="V373" s="736"/>
    </row>
    <row r="374" spans="20:22" ht="14.55" x14ac:dyDescent="0.3">
      <c r="T374" s="735"/>
      <c r="U374" s="734"/>
      <c r="V374" s="736"/>
    </row>
    <row r="375" spans="20:22" ht="14.55" x14ac:dyDescent="0.3">
      <c r="T375" s="735"/>
      <c r="U375" s="734"/>
      <c r="V375" s="736"/>
    </row>
    <row r="376" spans="20:22" ht="14.55" x14ac:dyDescent="0.3">
      <c r="T376" s="735"/>
      <c r="U376" s="734"/>
      <c r="V376" s="736"/>
    </row>
    <row r="377" spans="20:22" ht="14.55" x14ac:dyDescent="0.3">
      <c r="T377" s="735"/>
      <c r="U377" s="734"/>
      <c r="V377" s="736"/>
    </row>
    <row r="378" spans="20:22" ht="14.55" x14ac:dyDescent="0.3">
      <c r="T378" s="735"/>
      <c r="U378" s="734"/>
      <c r="V378" s="736"/>
    </row>
    <row r="379" spans="20:22" ht="14.55" x14ac:dyDescent="0.3">
      <c r="T379" s="735"/>
      <c r="U379" s="734"/>
      <c r="V379" s="736"/>
    </row>
    <row r="380" spans="20:22" ht="14.55" x14ac:dyDescent="0.3">
      <c r="T380" s="735"/>
      <c r="U380" s="734"/>
      <c r="V380" s="736"/>
    </row>
    <row r="381" spans="20:22" ht="14.55" x14ac:dyDescent="0.3">
      <c r="T381" s="735"/>
      <c r="U381" s="734"/>
      <c r="V381" s="736"/>
    </row>
    <row r="382" spans="20:22" ht="14.55" x14ac:dyDescent="0.3">
      <c r="T382" s="735"/>
      <c r="U382" s="734"/>
      <c r="V382" s="736"/>
    </row>
    <row r="383" spans="20:22" ht="14.55" x14ac:dyDescent="0.3">
      <c r="T383" s="735"/>
      <c r="U383" s="734"/>
      <c r="V383" s="736"/>
    </row>
    <row r="384" spans="20:22" ht="14.55" x14ac:dyDescent="0.3">
      <c r="T384" s="735"/>
      <c r="U384" s="734"/>
      <c r="V384" s="736"/>
    </row>
    <row r="385" spans="20:22" ht="14.55" x14ac:dyDescent="0.3">
      <c r="T385" s="735"/>
      <c r="U385" s="734"/>
      <c r="V385" s="736"/>
    </row>
    <row r="386" spans="20:22" ht="14.55" x14ac:dyDescent="0.3">
      <c r="T386" s="735"/>
      <c r="U386" s="734"/>
      <c r="V386" s="736"/>
    </row>
    <row r="387" spans="20:22" ht="14.55" x14ac:dyDescent="0.3">
      <c r="T387" s="735"/>
      <c r="U387" s="734"/>
      <c r="V387" s="736"/>
    </row>
    <row r="388" spans="20:22" ht="14.55" x14ac:dyDescent="0.3">
      <c r="T388" s="735"/>
      <c r="U388" s="734"/>
      <c r="V388" s="736"/>
    </row>
    <row r="389" spans="20:22" ht="14.55" x14ac:dyDescent="0.3">
      <c r="T389" s="735"/>
      <c r="U389" s="734"/>
      <c r="V389" s="736"/>
    </row>
    <row r="390" spans="20:22" ht="14.55" x14ac:dyDescent="0.3">
      <c r="T390" s="735"/>
      <c r="U390" s="734"/>
      <c r="V390" s="736"/>
    </row>
    <row r="391" spans="20:22" ht="14.55" x14ac:dyDescent="0.3">
      <c r="T391" s="735"/>
      <c r="U391" s="734"/>
      <c r="V391" s="736"/>
    </row>
    <row r="392" spans="20:22" ht="14.55" x14ac:dyDescent="0.3">
      <c r="T392" s="735"/>
      <c r="U392" s="734"/>
      <c r="V392" s="736"/>
    </row>
    <row r="393" spans="20:22" ht="14.55" x14ac:dyDescent="0.3">
      <c r="T393" s="735"/>
      <c r="U393" s="734"/>
      <c r="V393" s="736"/>
    </row>
    <row r="394" spans="20:22" ht="14.55" x14ac:dyDescent="0.3">
      <c r="T394" s="735"/>
      <c r="U394" s="734"/>
      <c r="V394" s="736"/>
    </row>
    <row r="395" spans="20:22" ht="14.55" x14ac:dyDescent="0.3">
      <c r="T395" s="735"/>
      <c r="U395" s="734"/>
      <c r="V395" s="736"/>
    </row>
    <row r="396" spans="20:22" ht="14.55" x14ac:dyDescent="0.3">
      <c r="T396" s="735"/>
      <c r="U396" s="734"/>
      <c r="V396" s="736"/>
    </row>
    <row r="397" spans="20:22" ht="14.55" x14ac:dyDescent="0.3">
      <c r="T397" s="735"/>
      <c r="U397" s="734"/>
      <c r="V397" s="736"/>
    </row>
    <row r="398" spans="20:22" ht="14.55" x14ac:dyDescent="0.3">
      <c r="T398" s="735"/>
      <c r="U398" s="734"/>
      <c r="V398" s="736"/>
    </row>
    <row r="399" spans="20:22" ht="14.55" x14ac:dyDescent="0.3">
      <c r="T399" s="735"/>
      <c r="U399" s="734"/>
      <c r="V399" s="736"/>
    </row>
    <row r="400" spans="20:22" ht="14.55" x14ac:dyDescent="0.3">
      <c r="T400" s="735"/>
      <c r="U400" s="734"/>
      <c r="V400" s="736"/>
    </row>
    <row r="401" spans="20:22" ht="14.55" x14ac:dyDescent="0.3">
      <c r="T401" s="735"/>
      <c r="U401" s="734"/>
      <c r="V401" s="736"/>
    </row>
    <row r="402" spans="20:22" ht="14.55" x14ac:dyDescent="0.3">
      <c r="T402" s="735"/>
      <c r="U402" s="734"/>
      <c r="V402" s="736"/>
    </row>
    <row r="403" spans="20:22" ht="14.55" x14ac:dyDescent="0.3">
      <c r="T403" s="735"/>
      <c r="U403" s="734"/>
      <c r="V403" s="736"/>
    </row>
    <row r="404" spans="20:22" ht="14.55" x14ac:dyDescent="0.3">
      <c r="T404" s="735"/>
      <c r="U404" s="734"/>
      <c r="V404" s="736"/>
    </row>
    <row r="405" spans="20:22" ht="14.55" x14ac:dyDescent="0.3">
      <c r="T405" s="735"/>
      <c r="U405" s="734"/>
      <c r="V405" s="736"/>
    </row>
    <row r="406" spans="20:22" ht="14.55" x14ac:dyDescent="0.3">
      <c r="T406" s="735"/>
      <c r="U406" s="734"/>
      <c r="V406" s="736"/>
    </row>
    <row r="407" spans="20:22" ht="14.55" x14ac:dyDescent="0.3">
      <c r="T407" s="735"/>
      <c r="U407" s="734"/>
      <c r="V407" s="736"/>
    </row>
    <row r="408" spans="20:22" ht="14.55" x14ac:dyDescent="0.3">
      <c r="T408" s="735"/>
      <c r="U408" s="734"/>
      <c r="V408" s="736"/>
    </row>
    <row r="409" spans="20:22" ht="14.55" x14ac:dyDescent="0.3">
      <c r="T409" s="735"/>
      <c r="U409" s="734"/>
      <c r="V409" s="736"/>
    </row>
    <row r="410" spans="20:22" ht="14.55" x14ac:dyDescent="0.3">
      <c r="T410" s="735"/>
      <c r="U410" s="734"/>
      <c r="V410" s="736"/>
    </row>
    <row r="411" spans="20:22" ht="14.55" x14ac:dyDescent="0.3">
      <c r="T411" s="735"/>
      <c r="U411" s="734"/>
      <c r="V411" s="736"/>
    </row>
    <row r="412" spans="20:22" ht="14.55" x14ac:dyDescent="0.3">
      <c r="T412" s="735"/>
      <c r="U412" s="734"/>
      <c r="V412" s="736"/>
    </row>
    <row r="413" spans="20:22" ht="14.55" x14ac:dyDescent="0.3">
      <c r="T413" s="735"/>
      <c r="U413" s="734"/>
      <c r="V413" s="736"/>
    </row>
    <row r="414" spans="20:22" ht="14.55" x14ac:dyDescent="0.3">
      <c r="T414" s="735"/>
      <c r="U414" s="734"/>
      <c r="V414" s="736"/>
    </row>
    <row r="415" spans="20:22" ht="14.55" x14ac:dyDescent="0.3">
      <c r="T415" s="735"/>
      <c r="U415" s="734"/>
      <c r="V415" s="736"/>
    </row>
    <row r="416" spans="20:22" ht="14.55" x14ac:dyDescent="0.3">
      <c r="T416" s="735"/>
      <c r="U416" s="734"/>
      <c r="V416" s="736"/>
    </row>
    <row r="417" spans="20:22" ht="14.55" x14ac:dyDescent="0.3">
      <c r="T417" s="735"/>
      <c r="U417" s="734"/>
      <c r="V417" s="736"/>
    </row>
    <row r="418" spans="20:22" ht="14.55" x14ac:dyDescent="0.3">
      <c r="T418" s="735"/>
      <c r="U418" s="734"/>
      <c r="V418" s="736"/>
    </row>
    <row r="419" spans="20:22" ht="14.55" x14ac:dyDescent="0.3">
      <c r="T419" s="735"/>
      <c r="U419" s="734"/>
      <c r="V419" s="736"/>
    </row>
    <row r="420" spans="20:22" ht="14.55" x14ac:dyDescent="0.3">
      <c r="T420" s="735"/>
      <c r="U420" s="734"/>
      <c r="V420" s="736"/>
    </row>
    <row r="421" spans="20:22" ht="14.55" x14ac:dyDescent="0.3">
      <c r="T421" s="735"/>
      <c r="U421" s="734"/>
      <c r="V421" s="736"/>
    </row>
    <row r="422" spans="20:22" ht="14.55" x14ac:dyDescent="0.3">
      <c r="T422" s="735"/>
      <c r="U422" s="734"/>
      <c r="V422" s="736"/>
    </row>
    <row r="423" spans="20:22" ht="14.55" x14ac:dyDescent="0.3">
      <c r="T423" s="735"/>
      <c r="U423" s="734"/>
      <c r="V423" s="736"/>
    </row>
    <row r="424" spans="20:22" ht="14.55" x14ac:dyDescent="0.3">
      <c r="T424" s="735"/>
      <c r="U424" s="734"/>
      <c r="V424" s="736"/>
    </row>
    <row r="425" spans="20:22" ht="14.55" x14ac:dyDescent="0.3">
      <c r="T425" s="735"/>
      <c r="U425" s="734"/>
      <c r="V425" s="736"/>
    </row>
    <row r="426" spans="20:22" ht="14.55" x14ac:dyDescent="0.3">
      <c r="T426" s="735"/>
      <c r="U426" s="734"/>
      <c r="V426" s="736"/>
    </row>
    <row r="427" spans="20:22" ht="14.55" x14ac:dyDescent="0.3">
      <c r="T427" s="735"/>
      <c r="U427" s="734"/>
      <c r="V427" s="736"/>
    </row>
    <row r="428" spans="20:22" ht="14.55" x14ac:dyDescent="0.3">
      <c r="T428" s="735"/>
      <c r="U428" s="734"/>
      <c r="V428" s="736"/>
    </row>
    <row r="429" spans="20:22" ht="14.55" x14ac:dyDescent="0.3">
      <c r="T429" s="735"/>
      <c r="U429" s="734"/>
      <c r="V429" s="736"/>
    </row>
    <row r="430" spans="20:22" ht="14.55" x14ac:dyDescent="0.3">
      <c r="T430" s="735"/>
      <c r="U430" s="734"/>
      <c r="V430" s="736"/>
    </row>
    <row r="431" spans="20:22" ht="14.55" x14ac:dyDescent="0.3">
      <c r="T431" s="735"/>
      <c r="U431" s="734"/>
      <c r="V431" s="736"/>
    </row>
    <row r="432" spans="20:22" ht="14.55" x14ac:dyDescent="0.3">
      <c r="T432" s="735"/>
      <c r="U432" s="734"/>
      <c r="V432" s="736"/>
    </row>
    <row r="433" spans="20:22" ht="14.55" x14ac:dyDescent="0.3">
      <c r="T433" s="735"/>
      <c r="U433" s="734"/>
      <c r="V433" s="736"/>
    </row>
    <row r="434" spans="20:22" ht="14.55" x14ac:dyDescent="0.3">
      <c r="T434" s="735"/>
      <c r="U434" s="734"/>
      <c r="V434" s="736"/>
    </row>
    <row r="435" spans="20:22" ht="14.55" x14ac:dyDescent="0.3">
      <c r="T435" s="735"/>
      <c r="U435" s="734"/>
      <c r="V435" s="736"/>
    </row>
    <row r="436" spans="20:22" ht="14.55" x14ac:dyDescent="0.3">
      <c r="T436" s="735"/>
      <c r="U436" s="734"/>
      <c r="V436" s="736"/>
    </row>
    <row r="437" spans="20:22" ht="14.55" x14ac:dyDescent="0.3">
      <c r="T437" s="735"/>
      <c r="U437" s="734"/>
      <c r="V437" s="736"/>
    </row>
    <row r="438" spans="20:22" ht="14.55" x14ac:dyDescent="0.3">
      <c r="T438" s="735"/>
      <c r="U438" s="734"/>
      <c r="V438" s="736"/>
    </row>
    <row r="439" spans="20:22" ht="14.55" x14ac:dyDescent="0.3">
      <c r="T439" s="735"/>
      <c r="U439" s="734"/>
      <c r="V439" s="736"/>
    </row>
    <row r="440" spans="20:22" ht="14.55" x14ac:dyDescent="0.3">
      <c r="T440" s="735"/>
      <c r="U440" s="734"/>
      <c r="V440" s="736"/>
    </row>
    <row r="441" spans="20:22" ht="14.55" x14ac:dyDescent="0.3">
      <c r="T441" s="735"/>
      <c r="U441" s="734"/>
      <c r="V441" s="736"/>
    </row>
    <row r="442" spans="20:22" ht="14.55" x14ac:dyDescent="0.3">
      <c r="T442" s="735"/>
      <c r="U442" s="734"/>
      <c r="V442" s="736"/>
    </row>
    <row r="443" spans="20:22" ht="14.55" x14ac:dyDescent="0.3">
      <c r="T443" s="735"/>
      <c r="U443" s="734"/>
      <c r="V443" s="736"/>
    </row>
    <row r="444" spans="20:22" ht="14.55" x14ac:dyDescent="0.3">
      <c r="T444" s="735"/>
      <c r="U444" s="734"/>
      <c r="V444" s="736"/>
    </row>
    <row r="445" spans="20:22" ht="14.55" x14ac:dyDescent="0.3">
      <c r="T445" s="735"/>
      <c r="U445" s="734"/>
      <c r="V445" s="736"/>
    </row>
    <row r="446" spans="20:22" ht="14.55" x14ac:dyDescent="0.3">
      <c r="T446" s="735"/>
      <c r="U446" s="734"/>
      <c r="V446" s="736"/>
    </row>
    <row r="447" spans="20:22" ht="14.55" x14ac:dyDescent="0.3">
      <c r="T447" s="735"/>
      <c r="U447" s="734"/>
      <c r="V447" s="736"/>
    </row>
    <row r="448" spans="20:22" ht="14.55" x14ac:dyDescent="0.3">
      <c r="T448" s="735"/>
      <c r="U448" s="734"/>
      <c r="V448" s="736"/>
    </row>
    <row r="449" spans="20:22" ht="14.55" x14ac:dyDescent="0.3">
      <c r="T449" s="735"/>
      <c r="U449" s="734"/>
      <c r="V449" s="736"/>
    </row>
    <row r="450" spans="20:22" ht="14.55" x14ac:dyDescent="0.3">
      <c r="T450" s="735"/>
      <c r="U450" s="734"/>
      <c r="V450" s="736"/>
    </row>
    <row r="451" spans="20:22" ht="14.55" x14ac:dyDescent="0.3">
      <c r="T451" s="735"/>
      <c r="U451" s="734"/>
      <c r="V451" s="736"/>
    </row>
    <row r="452" spans="20:22" ht="14.55" x14ac:dyDescent="0.3">
      <c r="T452" s="735"/>
      <c r="U452" s="734"/>
      <c r="V452" s="736"/>
    </row>
    <row r="453" spans="20:22" ht="14.55" x14ac:dyDescent="0.3">
      <c r="T453" s="735"/>
      <c r="U453" s="734"/>
      <c r="V453" s="736"/>
    </row>
    <row r="454" spans="20:22" ht="14.55" x14ac:dyDescent="0.3">
      <c r="T454" s="735"/>
      <c r="U454" s="734"/>
      <c r="V454" s="736"/>
    </row>
    <row r="455" spans="20:22" ht="14.55" x14ac:dyDescent="0.3">
      <c r="T455" s="735"/>
      <c r="U455" s="734"/>
      <c r="V455" s="736"/>
    </row>
    <row r="456" spans="20:22" ht="14.55" x14ac:dyDescent="0.3">
      <c r="T456" s="735"/>
      <c r="U456" s="734"/>
      <c r="V456" s="736"/>
    </row>
    <row r="457" spans="20:22" ht="14.55" x14ac:dyDescent="0.3">
      <c r="T457" s="735"/>
      <c r="U457" s="734"/>
      <c r="V457" s="736"/>
    </row>
    <row r="458" spans="20:22" ht="14.55" x14ac:dyDescent="0.3">
      <c r="T458" s="735"/>
      <c r="U458" s="734"/>
      <c r="V458" s="736"/>
    </row>
    <row r="459" spans="20:22" ht="14.55" x14ac:dyDescent="0.3">
      <c r="T459" s="735"/>
      <c r="U459" s="734"/>
      <c r="V459" s="736"/>
    </row>
    <row r="460" spans="20:22" ht="14.55" x14ac:dyDescent="0.3">
      <c r="T460" s="735"/>
      <c r="U460" s="734"/>
      <c r="V460" s="736"/>
    </row>
    <row r="461" spans="20:22" ht="14.55" x14ac:dyDescent="0.3">
      <c r="T461" s="735"/>
      <c r="U461" s="734"/>
      <c r="V461" s="736"/>
    </row>
    <row r="462" spans="20:22" ht="14.55" x14ac:dyDescent="0.3">
      <c r="T462" s="735"/>
      <c r="U462" s="734"/>
      <c r="V462" s="736"/>
    </row>
    <row r="463" spans="20:22" ht="14.55" x14ac:dyDescent="0.3">
      <c r="T463" s="735"/>
      <c r="U463" s="734"/>
      <c r="V463" s="736"/>
    </row>
    <row r="464" spans="20:22" ht="14.55" x14ac:dyDescent="0.3">
      <c r="T464" s="735"/>
      <c r="U464" s="734"/>
      <c r="V464" s="736"/>
    </row>
    <row r="465" spans="20:22" ht="14.55" x14ac:dyDescent="0.3">
      <c r="T465" s="735"/>
      <c r="U465" s="734"/>
      <c r="V465" s="736"/>
    </row>
    <row r="466" spans="20:22" ht="14.55" x14ac:dyDescent="0.3">
      <c r="T466" s="735"/>
      <c r="U466" s="734"/>
      <c r="V466" s="736"/>
    </row>
    <row r="467" spans="20:22" ht="14.55" x14ac:dyDescent="0.3">
      <c r="T467" s="735"/>
      <c r="U467" s="734"/>
      <c r="V467" s="736"/>
    </row>
    <row r="468" spans="20:22" ht="14.55" x14ac:dyDescent="0.3">
      <c r="T468" s="735"/>
      <c r="U468" s="734"/>
      <c r="V468" s="736"/>
    </row>
    <row r="469" spans="20:22" ht="14.55" x14ac:dyDescent="0.3">
      <c r="T469" s="735"/>
      <c r="U469" s="734"/>
      <c r="V469" s="736"/>
    </row>
    <row r="470" spans="20:22" ht="14.55" x14ac:dyDescent="0.3">
      <c r="T470" s="735"/>
      <c r="U470" s="734"/>
      <c r="V470" s="736"/>
    </row>
    <row r="471" spans="20:22" ht="14.55" x14ac:dyDescent="0.3">
      <c r="T471" s="735"/>
      <c r="U471" s="734"/>
      <c r="V471" s="736"/>
    </row>
    <row r="472" spans="20:22" ht="14.55" x14ac:dyDescent="0.3">
      <c r="T472" s="735"/>
      <c r="U472" s="734"/>
      <c r="V472" s="736"/>
    </row>
    <row r="473" spans="20:22" ht="14.55" x14ac:dyDescent="0.3">
      <c r="T473" s="735"/>
      <c r="U473" s="734"/>
      <c r="V473" s="736"/>
    </row>
    <row r="474" spans="20:22" ht="14.55" x14ac:dyDescent="0.3">
      <c r="T474" s="735"/>
      <c r="U474" s="734"/>
      <c r="V474" s="736"/>
    </row>
    <row r="475" spans="20:22" ht="14.55" x14ac:dyDescent="0.3">
      <c r="T475" s="735"/>
      <c r="U475" s="734"/>
      <c r="V475" s="736"/>
    </row>
    <row r="476" spans="20:22" ht="14.55" x14ac:dyDescent="0.3">
      <c r="T476" s="735"/>
      <c r="U476" s="734"/>
      <c r="V476" s="736"/>
    </row>
    <row r="477" spans="20:22" ht="14.55" x14ac:dyDescent="0.3">
      <c r="T477" s="735"/>
      <c r="U477" s="734"/>
      <c r="V477" s="736"/>
    </row>
    <row r="478" spans="20:22" ht="14.55" x14ac:dyDescent="0.3">
      <c r="T478" s="735"/>
      <c r="U478" s="734"/>
      <c r="V478" s="736"/>
    </row>
    <row r="479" spans="20:22" ht="14.55" x14ac:dyDescent="0.3">
      <c r="T479" s="735"/>
      <c r="U479" s="734"/>
      <c r="V479" s="736"/>
    </row>
    <row r="480" spans="20:22" ht="14.55" x14ac:dyDescent="0.3">
      <c r="T480" s="735"/>
      <c r="U480" s="734"/>
      <c r="V480" s="736"/>
    </row>
    <row r="481" spans="20:22" ht="14.55" x14ac:dyDescent="0.3">
      <c r="T481" s="735"/>
      <c r="U481" s="734"/>
      <c r="V481" s="736"/>
    </row>
    <row r="482" spans="20:22" ht="14.55" x14ac:dyDescent="0.3">
      <c r="T482" s="735"/>
      <c r="U482" s="734"/>
      <c r="V482" s="736"/>
    </row>
    <row r="483" spans="20:22" ht="14.55" x14ac:dyDescent="0.3">
      <c r="T483" s="735"/>
      <c r="U483" s="734"/>
      <c r="V483" s="736"/>
    </row>
    <row r="484" spans="20:22" ht="14.55" x14ac:dyDescent="0.3">
      <c r="T484" s="735"/>
      <c r="U484" s="734"/>
      <c r="V484" s="736"/>
    </row>
    <row r="485" spans="20:22" ht="14.55" x14ac:dyDescent="0.3">
      <c r="T485" s="735"/>
      <c r="U485" s="734"/>
      <c r="V485" s="736"/>
    </row>
    <row r="486" spans="20:22" ht="14.55" x14ac:dyDescent="0.3">
      <c r="T486" s="735"/>
      <c r="U486" s="734"/>
      <c r="V486" s="736"/>
    </row>
    <row r="487" spans="20:22" ht="14.55" x14ac:dyDescent="0.3">
      <c r="T487" s="735"/>
      <c r="U487" s="734"/>
      <c r="V487" s="736"/>
    </row>
    <row r="488" spans="20:22" ht="14.55" x14ac:dyDescent="0.3">
      <c r="T488" s="735"/>
      <c r="U488" s="734"/>
      <c r="V488" s="736"/>
    </row>
    <row r="489" spans="20:22" ht="14.55" x14ac:dyDescent="0.3">
      <c r="T489" s="735"/>
      <c r="U489" s="734"/>
      <c r="V489" s="736"/>
    </row>
    <row r="490" spans="20:22" ht="14.55" x14ac:dyDescent="0.3">
      <c r="T490" s="735"/>
      <c r="U490" s="734"/>
      <c r="V490" s="736"/>
    </row>
    <row r="491" spans="20:22" ht="14.55" x14ac:dyDescent="0.3">
      <c r="T491" s="735"/>
      <c r="U491" s="734"/>
      <c r="V491" s="736"/>
    </row>
    <row r="492" spans="20:22" ht="14.55" x14ac:dyDescent="0.3">
      <c r="T492" s="735"/>
      <c r="U492" s="734"/>
      <c r="V492" s="736"/>
    </row>
    <row r="493" spans="20:22" ht="14.55" x14ac:dyDescent="0.3">
      <c r="T493" s="735"/>
      <c r="U493" s="734"/>
      <c r="V493" s="736"/>
    </row>
    <row r="494" spans="20:22" ht="14.55" x14ac:dyDescent="0.3">
      <c r="T494" s="735"/>
      <c r="U494" s="734"/>
      <c r="V494" s="736"/>
    </row>
    <row r="495" spans="20:22" ht="14.55" x14ac:dyDescent="0.3">
      <c r="T495" s="735"/>
      <c r="U495" s="734"/>
      <c r="V495" s="736"/>
    </row>
    <row r="496" spans="20:22" ht="14.55" x14ac:dyDescent="0.3">
      <c r="T496" s="735"/>
      <c r="U496" s="734"/>
      <c r="V496" s="736"/>
    </row>
    <row r="497" spans="20:22" ht="14.55" x14ac:dyDescent="0.3">
      <c r="T497" s="735"/>
      <c r="U497" s="734"/>
      <c r="V497" s="736"/>
    </row>
    <row r="498" spans="20:22" ht="14.55" x14ac:dyDescent="0.3">
      <c r="T498" s="735"/>
      <c r="U498" s="734"/>
      <c r="V498" s="736"/>
    </row>
    <row r="499" spans="20:22" ht="14.55" x14ac:dyDescent="0.3">
      <c r="T499" s="735"/>
      <c r="U499" s="734"/>
      <c r="V499" s="736"/>
    </row>
    <row r="500" spans="20:22" ht="14.55" x14ac:dyDescent="0.3">
      <c r="T500" s="735"/>
      <c r="U500" s="734"/>
      <c r="V500" s="736"/>
    </row>
    <row r="501" spans="20:22" ht="14.55" x14ac:dyDescent="0.3">
      <c r="T501" s="735"/>
      <c r="U501" s="734"/>
      <c r="V501" s="736"/>
    </row>
    <row r="502" spans="20:22" ht="14.55" x14ac:dyDescent="0.3">
      <c r="T502" s="735"/>
      <c r="U502" s="734"/>
      <c r="V502" s="736"/>
    </row>
    <row r="503" spans="20:22" ht="14.55" x14ac:dyDescent="0.3">
      <c r="T503" s="735"/>
      <c r="U503" s="734"/>
      <c r="V503" s="736"/>
    </row>
    <row r="504" spans="20:22" ht="14.55" x14ac:dyDescent="0.3">
      <c r="T504" s="735"/>
      <c r="U504" s="734"/>
      <c r="V504" s="736"/>
    </row>
    <row r="505" spans="20:22" ht="14.55" x14ac:dyDescent="0.3">
      <c r="T505" s="735"/>
      <c r="U505" s="734"/>
      <c r="V505" s="736"/>
    </row>
    <row r="506" spans="20:22" ht="14.55" x14ac:dyDescent="0.3">
      <c r="T506" s="735"/>
      <c r="U506" s="734"/>
      <c r="V506" s="736"/>
    </row>
    <row r="507" spans="20:22" ht="14.55" x14ac:dyDescent="0.3">
      <c r="T507" s="735"/>
      <c r="U507" s="734"/>
      <c r="V507" s="736"/>
    </row>
    <row r="508" spans="20:22" ht="14.55" x14ac:dyDescent="0.3">
      <c r="T508" s="735"/>
      <c r="U508" s="734"/>
      <c r="V508" s="736"/>
    </row>
    <row r="509" spans="20:22" ht="14.55" x14ac:dyDescent="0.3">
      <c r="T509" s="735"/>
      <c r="U509" s="734"/>
      <c r="V509" s="736"/>
    </row>
    <row r="510" spans="20:22" ht="14.55" x14ac:dyDescent="0.3">
      <c r="T510" s="735"/>
      <c r="U510" s="734"/>
      <c r="V510" s="736"/>
    </row>
    <row r="511" spans="20:22" ht="14.55" x14ac:dyDescent="0.3">
      <c r="T511" s="735"/>
      <c r="U511" s="734"/>
      <c r="V511" s="736"/>
    </row>
    <row r="512" spans="20:22" ht="14.55" x14ac:dyDescent="0.3">
      <c r="T512" s="735"/>
      <c r="U512" s="734"/>
      <c r="V512" s="736"/>
    </row>
    <row r="513" spans="20:22" ht="14.55" x14ac:dyDescent="0.3">
      <c r="T513" s="735"/>
      <c r="U513" s="734"/>
      <c r="V513" s="736"/>
    </row>
    <row r="514" spans="20:22" ht="14.55" x14ac:dyDescent="0.3">
      <c r="T514" s="735"/>
      <c r="U514" s="734"/>
      <c r="V514" s="736"/>
    </row>
    <row r="515" spans="20:22" ht="14.55" x14ac:dyDescent="0.3">
      <c r="T515" s="735"/>
      <c r="U515" s="734"/>
      <c r="V515" s="736"/>
    </row>
    <row r="516" spans="20:22" ht="14.55" x14ac:dyDescent="0.3">
      <c r="T516" s="735"/>
      <c r="U516" s="734"/>
      <c r="V516" s="736"/>
    </row>
    <row r="517" spans="20:22" ht="14.55" x14ac:dyDescent="0.3">
      <c r="T517" s="735"/>
      <c r="U517" s="734"/>
      <c r="V517" s="736"/>
    </row>
    <row r="518" spans="20:22" ht="14.55" x14ac:dyDescent="0.3">
      <c r="T518" s="735"/>
      <c r="U518" s="734"/>
      <c r="V518" s="736"/>
    </row>
    <row r="519" spans="20:22" ht="14.55" x14ac:dyDescent="0.3">
      <c r="T519" s="735"/>
      <c r="U519" s="734"/>
      <c r="V519" s="736"/>
    </row>
    <row r="520" spans="20:22" ht="14.55" x14ac:dyDescent="0.3">
      <c r="T520" s="735"/>
      <c r="U520" s="734"/>
      <c r="V520" s="736"/>
    </row>
    <row r="521" spans="20:22" ht="14.55" x14ac:dyDescent="0.3">
      <c r="T521" s="735"/>
      <c r="U521" s="734"/>
      <c r="V521" s="736"/>
    </row>
    <row r="522" spans="20:22" ht="14.55" x14ac:dyDescent="0.3">
      <c r="T522" s="735"/>
      <c r="U522" s="734"/>
      <c r="V522" s="736"/>
    </row>
    <row r="523" spans="20:22" ht="14.55" x14ac:dyDescent="0.3">
      <c r="T523" s="735"/>
      <c r="U523" s="734"/>
      <c r="V523" s="736"/>
    </row>
    <row r="524" spans="20:22" ht="14.55" x14ac:dyDescent="0.3">
      <c r="T524" s="735"/>
      <c r="U524" s="734"/>
      <c r="V524" s="736"/>
    </row>
    <row r="525" spans="20:22" ht="14.55" x14ac:dyDescent="0.3">
      <c r="T525" s="735"/>
      <c r="U525" s="734"/>
      <c r="V525" s="736"/>
    </row>
    <row r="526" spans="20:22" ht="14.55" x14ac:dyDescent="0.3">
      <c r="T526" s="735"/>
      <c r="U526" s="734"/>
      <c r="V526" s="736"/>
    </row>
    <row r="527" spans="20:22" ht="14.55" x14ac:dyDescent="0.3">
      <c r="T527" s="735"/>
      <c r="U527" s="734"/>
      <c r="V527" s="736"/>
    </row>
    <row r="528" spans="20:22" ht="14.55" x14ac:dyDescent="0.3">
      <c r="T528" s="735"/>
      <c r="U528" s="734"/>
      <c r="V528" s="736"/>
    </row>
    <row r="529" spans="20:22" ht="14.55" x14ac:dyDescent="0.3">
      <c r="T529" s="735"/>
      <c r="U529" s="734"/>
      <c r="V529" s="736"/>
    </row>
    <row r="530" spans="20:22" ht="14.55" x14ac:dyDescent="0.3">
      <c r="T530" s="735"/>
      <c r="U530" s="734"/>
      <c r="V530" s="736"/>
    </row>
    <row r="531" spans="20:22" ht="14.55" x14ac:dyDescent="0.3">
      <c r="T531" s="735"/>
      <c r="U531" s="734"/>
      <c r="V531" s="736"/>
    </row>
    <row r="532" spans="20:22" ht="14.55" x14ac:dyDescent="0.3">
      <c r="T532" s="735"/>
      <c r="U532" s="734"/>
      <c r="V532" s="736"/>
    </row>
    <row r="533" spans="20:22" ht="14.55" x14ac:dyDescent="0.3">
      <c r="T533" s="735"/>
      <c r="U533" s="734"/>
      <c r="V533" s="736"/>
    </row>
    <row r="534" spans="20:22" ht="14.55" x14ac:dyDescent="0.3">
      <c r="T534" s="735"/>
      <c r="U534" s="734"/>
      <c r="V534" s="736"/>
    </row>
    <row r="535" spans="20:22" ht="14.55" x14ac:dyDescent="0.3">
      <c r="T535" s="735"/>
      <c r="U535" s="734"/>
      <c r="V535" s="736"/>
    </row>
    <row r="536" spans="20:22" ht="14.55" x14ac:dyDescent="0.3">
      <c r="T536" s="735"/>
      <c r="U536" s="734"/>
      <c r="V536" s="736"/>
    </row>
    <row r="537" spans="20:22" ht="14.55" x14ac:dyDescent="0.3">
      <c r="T537" s="735"/>
      <c r="U537" s="734"/>
      <c r="V537" s="736"/>
    </row>
    <row r="538" spans="20:22" ht="14.55" x14ac:dyDescent="0.3">
      <c r="T538" s="735"/>
      <c r="U538" s="734"/>
      <c r="V538" s="736"/>
    </row>
    <row r="539" spans="20:22" ht="14.55" x14ac:dyDescent="0.3">
      <c r="T539" s="735"/>
      <c r="U539" s="734"/>
      <c r="V539" s="736"/>
    </row>
    <row r="540" spans="20:22" ht="14.55" x14ac:dyDescent="0.3">
      <c r="T540" s="735"/>
      <c r="U540" s="734"/>
      <c r="V540" s="736"/>
    </row>
    <row r="541" spans="20:22" ht="14.55" x14ac:dyDescent="0.3">
      <c r="T541" s="735"/>
      <c r="U541" s="734"/>
      <c r="V541" s="736"/>
    </row>
    <row r="542" spans="20:22" ht="14.55" x14ac:dyDescent="0.3">
      <c r="T542" s="735"/>
      <c r="U542" s="734"/>
      <c r="V542" s="736"/>
    </row>
    <row r="543" spans="20:22" ht="14.55" x14ac:dyDescent="0.3">
      <c r="T543" s="735"/>
      <c r="U543" s="734"/>
      <c r="V543" s="736"/>
    </row>
    <row r="544" spans="20:22" ht="14.55" x14ac:dyDescent="0.3">
      <c r="T544" s="735"/>
      <c r="U544" s="734"/>
      <c r="V544" s="736"/>
    </row>
    <row r="545" spans="20:22" ht="14.55" x14ac:dyDescent="0.3">
      <c r="T545" s="735"/>
      <c r="U545" s="734"/>
      <c r="V545" s="736"/>
    </row>
    <row r="546" spans="20:22" ht="14.55" x14ac:dyDescent="0.3">
      <c r="T546" s="735"/>
      <c r="U546" s="734"/>
      <c r="V546" s="736"/>
    </row>
    <row r="547" spans="20:22" ht="14.55" x14ac:dyDescent="0.3">
      <c r="T547" s="735"/>
      <c r="U547" s="734"/>
      <c r="V547" s="736"/>
    </row>
    <row r="548" spans="20:22" ht="14.55" x14ac:dyDescent="0.3">
      <c r="T548" s="735"/>
      <c r="U548" s="734"/>
      <c r="V548" s="736"/>
    </row>
    <row r="549" spans="20:22" ht="14.55" x14ac:dyDescent="0.3">
      <c r="T549" s="735"/>
      <c r="U549" s="734"/>
      <c r="V549" s="736"/>
    </row>
    <row r="550" spans="20:22" ht="14.55" x14ac:dyDescent="0.3">
      <c r="T550" s="735"/>
      <c r="U550" s="734"/>
      <c r="V550" s="736"/>
    </row>
    <row r="551" spans="20:22" ht="14.55" x14ac:dyDescent="0.3">
      <c r="T551" s="735"/>
      <c r="U551" s="734"/>
      <c r="V551" s="736"/>
    </row>
    <row r="552" spans="20:22" ht="14.55" x14ac:dyDescent="0.3">
      <c r="T552" s="735"/>
      <c r="U552" s="734"/>
      <c r="V552" s="736"/>
    </row>
    <row r="553" spans="20:22" ht="14.55" x14ac:dyDescent="0.3">
      <c r="T553" s="735"/>
      <c r="U553" s="734"/>
      <c r="V553" s="736"/>
    </row>
    <row r="554" spans="20:22" ht="14.55" x14ac:dyDescent="0.3">
      <c r="T554" s="735"/>
      <c r="U554" s="734"/>
      <c r="V554" s="736"/>
    </row>
    <row r="555" spans="20:22" ht="14.55" x14ac:dyDescent="0.3">
      <c r="T555" s="735"/>
      <c r="U555" s="734"/>
      <c r="V555" s="736"/>
    </row>
    <row r="556" spans="20:22" ht="14.55" x14ac:dyDescent="0.3">
      <c r="T556" s="735"/>
      <c r="U556" s="734"/>
      <c r="V556" s="736"/>
    </row>
    <row r="557" spans="20:22" ht="14.55" x14ac:dyDescent="0.3">
      <c r="T557" s="735"/>
      <c r="U557" s="734"/>
      <c r="V557" s="736"/>
    </row>
    <row r="558" spans="20:22" ht="14.55" x14ac:dyDescent="0.3">
      <c r="T558" s="735"/>
      <c r="U558" s="734"/>
      <c r="V558" s="736"/>
    </row>
    <row r="559" spans="20:22" ht="14.55" x14ac:dyDescent="0.3">
      <c r="T559" s="735"/>
      <c r="U559" s="734"/>
      <c r="V559" s="736"/>
    </row>
    <row r="560" spans="20:22" ht="14.55" x14ac:dyDescent="0.3">
      <c r="T560" s="735"/>
      <c r="U560" s="734"/>
      <c r="V560" s="736"/>
    </row>
    <row r="561" spans="20:22" ht="14.55" x14ac:dyDescent="0.3">
      <c r="T561" s="735"/>
      <c r="U561" s="734"/>
      <c r="V561" s="736"/>
    </row>
    <row r="562" spans="20:22" ht="14.55" x14ac:dyDescent="0.3">
      <c r="T562" s="735"/>
      <c r="U562" s="734"/>
      <c r="V562" s="736"/>
    </row>
    <row r="563" spans="20:22" ht="14.55" x14ac:dyDescent="0.3">
      <c r="T563" s="735"/>
      <c r="U563" s="734"/>
      <c r="V563" s="736"/>
    </row>
    <row r="564" spans="20:22" ht="14.55" x14ac:dyDescent="0.3">
      <c r="T564" s="735"/>
      <c r="U564" s="734"/>
      <c r="V564" s="736"/>
    </row>
    <row r="565" spans="20:22" ht="14.55" x14ac:dyDescent="0.3">
      <c r="T565" s="735"/>
      <c r="U565" s="734"/>
      <c r="V565" s="736"/>
    </row>
    <row r="566" spans="20:22" ht="14.55" x14ac:dyDescent="0.3">
      <c r="T566" s="735"/>
      <c r="U566" s="734"/>
      <c r="V566" s="736"/>
    </row>
    <row r="567" spans="20:22" ht="14.55" x14ac:dyDescent="0.3">
      <c r="T567" s="735"/>
      <c r="U567" s="734"/>
      <c r="V567" s="736"/>
    </row>
    <row r="568" spans="20:22" ht="14.55" x14ac:dyDescent="0.3">
      <c r="T568" s="735"/>
      <c r="U568" s="734"/>
      <c r="V568" s="736"/>
    </row>
    <row r="569" spans="20:22" ht="14.55" x14ac:dyDescent="0.3">
      <c r="T569" s="735"/>
      <c r="U569" s="734"/>
      <c r="V569" s="736"/>
    </row>
    <row r="570" spans="20:22" ht="14.55" x14ac:dyDescent="0.3">
      <c r="T570" s="735"/>
      <c r="U570" s="734"/>
      <c r="V570" s="736"/>
    </row>
    <row r="571" spans="20:22" ht="14.55" x14ac:dyDescent="0.3">
      <c r="T571" s="735"/>
      <c r="U571" s="734"/>
      <c r="V571" s="736"/>
    </row>
    <row r="572" spans="20:22" ht="14.55" x14ac:dyDescent="0.3">
      <c r="T572" s="735"/>
      <c r="U572" s="734"/>
      <c r="V572" s="736"/>
    </row>
    <row r="573" spans="20:22" ht="14.55" x14ac:dyDescent="0.3">
      <c r="T573" s="735"/>
      <c r="U573" s="734"/>
      <c r="V573" s="736"/>
    </row>
    <row r="574" spans="20:22" ht="14.55" x14ac:dyDescent="0.3">
      <c r="T574" s="735"/>
      <c r="U574" s="734"/>
      <c r="V574" s="736"/>
    </row>
    <row r="575" spans="20:22" ht="14.55" x14ac:dyDescent="0.3">
      <c r="T575" s="735"/>
      <c r="U575" s="734"/>
      <c r="V575" s="736"/>
    </row>
    <row r="576" spans="20:22" ht="14.55" x14ac:dyDescent="0.3">
      <c r="T576" s="735"/>
      <c r="U576" s="734"/>
      <c r="V576" s="736"/>
    </row>
    <row r="577" spans="20:22" ht="14.55" x14ac:dyDescent="0.3">
      <c r="T577" s="735"/>
      <c r="U577" s="734"/>
      <c r="V577" s="736"/>
    </row>
    <row r="578" spans="20:22" ht="14.55" x14ac:dyDescent="0.3">
      <c r="T578" s="735"/>
      <c r="U578" s="734"/>
      <c r="V578" s="736"/>
    </row>
    <row r="579" spans="20:22" ht="14.55" x14ac:dyDescent="0.3">
      <c r="T579" s="735"/>
      <c r="U579" s="734"/>
      <c r="V579" s="736"/>
    </row>
    <row r="580" spans="20:22" ht="14.55" x14ac:dyDescent="0.3">
      <c r="T580" s="735"/>
      <c r="U580" s="734"/>
      <c r="V580" s="736"/>
    </row>
    <row r="581" spans="20:22" ht="14.55" x14ac:dyDescent="0.3">
      <c r="T581" s="735"/>
      <c r="U581" s="734"/>
      <c r="V581" s="736"/>
    </row>
  </sheetData>
  <sheetProtection selectLockedCells="1"/>
  <mergeCells count="102">
    <mergeCell ref="P5:Q5"/>
    <mergeCell ref="D7:E7"/>
    <mergeCell ref="G7:H7"/>
    <mergeCell ref="J7:K7"/>
    <mergeCell ref="M7:N7"/>
    <mergeCell ref="P7:Q7"/>
    <mergeCell ref="B4:B7"/>
    <mergeCell ref="D4:E4"/>
    <mergeCell ref="G4:H4"/>
    <mergeCell ref="J4:K4"/>
    <mergeCell ref="M4:N4"/>
    <mergeCell ref="P4:Q4"/>
    <mergeCell ref="D5:E5"/>
    <mergeCell ref="G5:H5"/>
    <mergeCell ref="J5:K5"/>
    <mergeCell ref="M5:N5"/>
    <mergeCell ref="B39:E39"/>
    <mergeCell ref="G39:H39"/>
    <mergeCell ref="I39:J39"/>
    <mergeCell ref="K39:L39"/>
    <mergeCell ref="B43:E43"/>
    <mergeCell ref="G43:H43"/>
    <mergeCell ref="D31:H31"/>
    <mergeCell ref="D33:D37"/>
    <mergeCell ref="G33:G37"/>
    <mergeCell ref="G38:H38"/>
    <mergeCell ref="I38:J38"/>
    <mergeCell ref="K38:L38"/>
    <mergeCell ref="B44:E44"/>
    <mergeCell ref="G44:H44"/>
    <mergeCell ref="G48:H48"/>
    <mergeCell ref="I48:J48"/>
    <mergeCell ref="K48:M48"/>
    <mergeCell ref="E49:E50"/>
    <mergeCell ref="L49:M49"/>
    <mergeCell ref="L50:M50"/>
    <mergeCell ref="L51:M51"/>
    <mergeCell ref="L61:M61"/>
    <mergeCell ref="L62:M62"/>
    <mergeCell ref="L63:M63"/>
    <mergeCell ref="L67:M67"/>
    <mergeCell ref="B68:E68"/>
    <mergeCell ref="L68:M68"/>
    <mergeCell ref="L52:M52"/>
    <mergeCell ref="L53:M53"/>
    <mergeCell ref="L54:M54"/>
    <mergeCell ref="L55:M55"/>
    <mergeCell ref="E57:E58"/>
    <mergeCell ref="L57:M57"/>
    <mergeCell ref="L58:M58"/>
    <mergeCell ref="L59:M59"/>
    <mergeCell ref="L60:M60"/>
    <mergeCell ref="D49:D55"/>
    <mergeCell ref="D57:D63"/>
    <mergeCell ref="L76:M76"/>
    <mergeCell ref="B77:E77"/>
    <mergeCell ref="L77:M77"/>
    <mergeCell ref="B78:E78"/>
    <mergeCell ref="L78:M78"/>
    <mergeCell ref="B79:E79"/>
    <mergeCell ref="L79:M79"/>
    <mergeCell ref="B69:E69"/>
    <mergeCell ref="L69:M69"/>
    <mergeCell ref="B70:E70"/>
    <mergeCell ref="L70:M70"/>
    <mergeCell ref="B71:E71"/>
    <mergeCell ref="L71:M71"/>
    <mergeCell ref="G88:H88"/>
    <mergeCell ref="I88:J88"/>
    <mergeCell ref="K88:M88"/>
    <mergeCell ref="B89:E89"/>
    <mergeCell ref="L89:M89"/>
    <mergeCell ref="H91:K91"/>
    <mergeCell ref="B80:E80"/>
    <mergeCell ref="L80:M80"/>
    <mergeCell ref="C82:C86"/>
    <mergeCell ref="L82:M82"/>
    <mergeCell ref="L83:M83"/>
    <mergeCell ref="L84:M84"/>
    <mergeCell ref="L85:M85"/>
    <mergeCell ref="L86:M86"/>
    <mergeCell ref="H95:I95"/>
    <mergeCell ref="J95:K95"/>
    <mergeCell ref="H96:I96"/>
    <mergeCell ref="J96:K96"/>
    <mergeCell ref="H97:I97"/>
    <mergeCell ref="J97:K97"/>
    <mergeCell ref="H92:I92"/>
    <mergeCell ref="J92:K92"/>
    <mergeCell ref="H93:I93"/>
    <mergeCell ref="J93:K93"/>
    <mergeCell ref="H94:I94"/>
    <mergeCell ref="J94:K94"/>
    <mergeCell ref="H101:I101"/>
    <mergeCell ref="J101:K101"/>
    <mergeCell ref="H102:I102"/>
    <mergeCell ref="H98:I98"/>
    <mergeCell ref="J98:K98"/>
    <mergeCell ref="H99:I99"/>
    <mergeCell ref="J99:K99"/>
    <mergeCell ref="H100:I100"/>
    <mergeCell ref="J100:K100"/>
  </mergeCells>
  <conditionalFormatting sqref="C106:P114">
    <cfRule type="cellIs" dxfId="785" priority="12" operator="greaterThan">
      <formula>0</formula>
    </cfRule>
  </conditionalFormatting>
  <conditionalFormatting sqref="B8:B27">
    <cfRule type="colorScale" priority="11">
      <colorScale>
        <cfvo type="min"/>
        <cfvo type="percentile" val="50"/>
        <cfvo type="max"/>
        <color rgb="FF63BE7B"/>
        <color rgb="FFFFEB84"/>
        <color rgb="FFF8696B"/>
      </colorScale>
    </cfRule>
  </conditionalFormatting>
  <conditionalFormatting sqref="D8:D27">
    <cfRule type="colorScale" priority="10">
      <colorScale>
        <cfvo type="min"/>
        <cfvo type="percentile" val="50"/>
        <cfvo type="max"/>
        <color rgb="FF63BE7B"/>
        <color rgb="FFFFEB84"/>
        <color rgb="FFF8696B"/>
      </colorScale>
    </cfRule>
  </conditionalFormatting>
  <conditionalFormatting sqref="E8:E27">
    <cfRule type="colorScale" priority="9">
      <colorScale>
        <cfvo type="min"/>
        <cfvo type="percentile" val="50"/>
        <cfvo type="max"/>
        <color rgb="FF63BE7B"/>
        <color rgb="FFFFEB84"/>
        <color rgb="FFF8696B"/>
      </colorScale>
    </cfRule>
  </conditionalFormatting>
  <conditionalFormatting sqref="G8:G27">
    <cfRule type="colorScale" priority="8">
      <colorScale>
        <cfvo type="min"/>
        <cfvo type="percentile" val="50"/>
        <cfvo type="max"/>
        <color rgb="FF63BE7B"/>
        <color rgb="FFFFEB84"/>
        <color rgb="FFF8696B"/>
      </colorScale>
    </cfRule>
  </conditionalFormatting>
  <conditionalFormatting sqref="H8:H27">
    <cfRule type="colorScale" priority="7">
      <colorScale>
        <cfvo type="min"/>
        <cfvo type="percentile" val="50"/>
        <cfvo type="max"/>
        <color rgb="FF63BE7B"/>
        <color rgb="FFFFEB84"/>
        <color rgb="FFF8696B"/>
      </colorScale>
    </cfRule>
  </conditionalFormatting>
  <conditionalFormatting sqref="J8:J27">
    <cfRule type="colorScale" priority="6">
      <colorScale>
        <cfvo type="min"/>
        <cfvo type="percentile" val="50"/>
        <cfvo type="max"/>
        <color rgb="FF63BE7B"/>
        <color rgb="FFFFEB84"/>
        <color rgb="FFF8696B"/>
      </colorScale>
    </cfRule>
  </conditionalFormatting>
  <conditionalFormatting sqref="K8:K27">
    <cfRule type="colorScale" priority="5">
      <colorScale>
        <cfvo type="min"/>
        <cfvo type="percentile" val="50"/>
        <cfvo type="max"/>
        <color rgb="FF63BE7B"/>
        <color rgb="FFFFEB84"/>
        <color rgb="FFF8696B"/>
      </colorScale>
    </cfRule>
  </conditionalFormatting>
  <conditionalFormatting sqref="M8:M27">
    <cfRule type="colorScale" priority="4">
      <colorScale>
        <cfvo type="min"/>
        <cfvo type="percentile" val="50"/>
        <cfvo type="max"/>
        <color rgb="FF63BE7B"/>
        <color rgb="FFFFEB84"/>
        <color rgb="FFF8696B"/>
      </colorScale>
    </cfRule>
  </conditionalFormatting>
  <conditionalFormatting sqref="N8:N27">
    <cfRule type="colorScale" priority="3">
      <colorScale>
        <cfvo type="min"/>
        <cfvo type="percentile" val="50"/>
        <cfvo type="max"/>
        <color rgb="FF63BE7B"/>
        <color rgb="FFFFEB84"/>
        <color rgb="FFF8696B"/>
      </colorScale>
    </cfRule>
  </conditionalFormatting>
  <conditionalFormatting sqref="P8:P27">
    <cfRule type="colorScale" priority="2">
      <colorScale>
        <cfvo type="min"/>
        <cfvo type="percentile" val="50"/>
        <cfvo type="max"/>
        <color rgb="FF63BE7B"/>
        <color rgb="FFFFEB84"/>
        <color rgb="FFF8696B"/>
      </colorScale>
    </cfRule>
  </conditionalFormatting>
  <conditionalFormatting sqref="Q8:Q27">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5BDB1-5440-4CD0-8BD6-3C04C0A9D09F}">
  <sheetPr>
    <tabColor rgb="FFFFC000"/>
  </sheetPr>
  <dimension ref="A1:AP163"/>
  <sheetViews>
    <sheetView workbookViewId="0">
      <selection activeCell="H9" sqref="H9:I9"/>
    </sheetView>
  </sheetViews>
  <sheetFormatPr baseColWidth="10" defaultColWidth="11.44140625" defaultRowHeight="13.9" x14ac:dyDescent="0.25"/>
  <cols>
    <col min="1" max="1" width="7.21875" style="491" customWidth="1"/>
    <col min="2" max="7" width="9.21875" style="39" customWidth="1"/>
    <col min="8" max="8" width="9.44140625" style="39" customWidth="1"/>
    <col min="9" max="13" width="9.21875" style="39" customWidth="1"/>
    <col min="14" max="14" width="9.44140625" style="39" customWidth="1"/>
    <col min="15" max="23" width="9.21875" style="39" customWidth="1"/>
    <col min="24" max="24" width="11" style="39" customWidth="1"/>
    <col min="25" max="26" width="8.21875" style="39" bestFit="1" customWidth="1"/>
    <col min="27" max="27" width="11.44140625" style="39"/>
    <col min="28" max="28" width="11.44140625" style="72"/>
    <col min="29" max="16384" width="11.44140625" style="39"/>
  </cols>
  <sheetData>
    <row r="1" spans="1:30" x14ac:dyDescent="0.25">
      <c r="A1" s="59" t="str">
        <f>Überblick!X111</f>
        <v>G.</v>
      </c>
      <c r="B1" s="188" t="str">
        <f>IF(Überblick!B2=Überblick!L4,'Bauphysik - Raumakustik'!V1,'Bauphysik - Raumakustik'!V2)</f>
        <v>Honorarangebot HOAI - Bauphysik - Raumakustik</v>
      </c>
      <c r="T1" s="963" t="str">
        <f>'Hochbauplanung '!T1</f>
        <v>Version: 27.06.2023</v>
      </c>
      <c r="U1" s="963"/>
      <c r="V1" s="72" t="s">
        <v>545</v>
      </c>
      <c r="W1" s="68"/>
      <c r="X1" s="68"/>
      <c r="Y1" s="68"/>
      <c r="Z1" s="68"/>
      <c r="AA1" s="68"/>
    </row>
    <row r="2" spans="1:30" x14ac:dyDescent="0.25">
      <c r="R2" s="535" t="s">
        <v>110</v>
      </c>
      <c r="S2" s="1389" t="str">
        <f>IF(Überblick!Q2=0,"",Überblick!Q2)</f>
        <v/>
      </c>
      <c r="T2" s="1389"/>
      <c r="U2" s="1389"/>
      <c r="V2" s="72" t="s">
        <v>546</v>
      </c>
      <c r="W2" s="68"/>
      <c r="X2" s="68"/>
      <c r="Y2" s="68"/>
      <c r="Z2" s="68"/>
      <c r="AA2" s="68"/>
    </row>
    <row r="3" spans="1:30" x14ac:dyDescent="0.25">
      <c r="A3" s="491" t="s">
        <v>112</v>
      </c>
      <c r="B3" s="40" t="s">
        <v>365</v>
      </c>
      <c r="F3" s="883" t="s">
        <v>991</v>
      </c>
      <c r="G3" s="878"/>
      <c r="H3" s="878"/>
      <c r="R3" s="535" t="s">
        <v>24</v>
      </c>
      <c r="S3" s="1389" t="str">
        <f>IF(Überblick!G29=0,"",Überblick!G29)</f>
        <v>Breite Strasse, 10178 Berlin-Mitte, zw. Neumannsgasse und Scharrenstrasse</v>
      </c>
      <c r="T3" s="1389"/>
      <c r="U3" s="1389"/>
      <c r="V3" s="72"/>
      <c r="W3" s="68"/>
      <c r="X3" s="68"/>
      <c r="Y3" s="68"/>
      <c r="Z3" s="68"/>
      <c r="AA3" s="68"/>
      <c r="AC3" s="68"/>
      <c r="AD3" s="68"/>
    </row>
    <row r="4" spans="1:30" ht="14.55" thickBot="1" x14ac:dyDescent="0.3">
      <c r="R4" s="535" t="s">
        <v>17</v>
      </c>
      <c r="S4" s="1389" t="str">
        <f>IF(Überblick!D19=0,"",Überblick!D19)</f>
        <v/>
      </c>
      <c r="T4" s="1389"/>
      <c r="U4" s="1389"/>
      <c r="V4" s="72"/>
      <c r="W4" s="68"/>
      <c r="X4" s="68"/>
      <c r="Y4" s="68"/>
      <c r="Z4" s="68"/>
      <c r="AA4" s="68"/>
    </row>
    <row r="5" spans="1:30" ht="32.25" customHeight="1" thickBot="1" x14ac:dyDescent="0.3">
      <c r="B5" s="107"/>
      <c r="C5" s="144"/>
      <c r="D5" s="144"/>
      <c r="E5" s="488"/>
      <c r="F5" s="1198" t="s">
        <v>116</v>
      </c>
      <c r="G5" s="1199"/>
      <c r="H5" s="1199"/>
      <c r="I5" s="1200"/>
      <c r="J5" s="1198" t="s">
        <v>117</v>
      </c>
      <c r="K5" s="1199"/>
      <c r="L5" s="1199"/>
      <c r="M5" s="1200"/>
      <c r="N5" s="1198" t="s">
        <v>118</v>
      </c>
      <c r="O5" s="1199"/>
      <c r="P5" s="1199"/>
      <c r="Q5" s="1200"/>
      <c r="R5" s="47"/>
      <c r="S5" s="47"/>
      <c r="T5" s="47"/>
      <c r="U5" s="87"/>
      <c r="V5" s="87" t="s">
        <v>119</v>
      </c>
      <c r="W5" s="210"/>
      <c r="X5" s="210"/>
      <c r="Y5" s="68"/>
      <c r="Z5" s="68"/>
      <c r="AA5" s="68"/>
    </row>
    <row r="6" spans="1:30" ht="15.95" customHeight="1" thickBot="1" x14ac:dyDescent="0.3">
      <c r="B6" s="107"/>
      <c r="C6" s="144"/>
      <c r="D6" s="144"/>
      <c r="E6" s="488"/>
      <c r="F6" s="1215" t="s">
        <v>120</v>
      </c>
      <c r="G6" s="1216"/>
      <c r="H6" s="1217"/>
      <c r="I6" s="1218"/>
      <c r="J6" s="1213" t="s">
        <v>120</v>
      </c>
      <c r="K6" s="1214"/>
      <c r="L6" s="1217"/>
      <c r="M6" s="1218"/>
      <c r="N6" s="1213" t="s">
        <v>120</v>
      </c>
      <c r="O6" s="1214"/>
      <c r="P6" s="1217"/>
      <c r="Q6" s="1218"/>
      <c r="R6" s="47"/>
      <c r="S6" s="47"/>
      <c r="T6" s="47"/>
      <c r="U6" s="47"/>
      <c r="V6" s="47"/>
      <c r="W6" s="47"/>
      <c r="X6" s="47"/>
    </row>
    <row r="7" spans="1:30" ht="15.95" customHeight="1" thickBot="1" x14ac:dyDescent="0.3">
      <c r="B7" s="1115" t="s">
        <v>121</v>
      </c>
      <c r="C7" s="1116"/>
      <c r="D7" s="1116"/>
      <c r="E7" s="1117"/>
      <c r="F7" s="1209" t="s">
        <v>107</v>
      </c>
      <c r="G7" s="1210"/>
      <c r="H7" s="1211" t="s">
        <v>106</v>
      </c>
      <c r="I7" s="1212"/>
      <c r="J7" s="1209" t="s">
        <v>107</v>
      </c>
      <c r="K7" s="1210"/>
      <c r="L7" s="1211" t="s">
        <v>106</v>
      </c>
      <c r="M7" s="1212"/>
      <c r="N7" s="1209" t="s">
        <v>107</v>
      </c>
      <c r="O7" s="1210"/>
      <c r="P7" s="1211" t="s">
        <v>106</v>
      </c>
      <c r="Q7" s="1212"/>
      <c r="R7" s="40"/>
      <c r="S7" s="40"/>
      <c r="T7" s="40"/>
      <c r="U7" s="40"/>
      <c r="V7" s="40"/>
      <c r="W7" s="40"/>
      <c r="X7" s="40"/>
    </row>
    <row r="8" spans="1:30" ht="15" customHeight="1" thickBot="1" x14ac:dyDescent="0.3">
      <c r="B8" s="1232" t="s">
        <v>366</v>
      </c>
      <c r="C8" s="1233"/>
      <c r="D8" s="1233"/>
      <c r="E8" s="1234"/>
      <c r="F8" s="1235">
        <f>H8*Überblick!G98+H8</f>
        <v>0</v>
      </c>
      <c r="G8" s="1236"/>
      <c r="H8" s="1219"/>
      <c r="I8" s="1220"/>
      <c r="J8" s="1201">
        <f>L8*1.19</f>
        <v>0</v>
      </c>
      <c r="K8" s="1202"/>
      <c r="L8" s="1203"/>
      <c r="M8" s="1204"/>
      <c r="N8" s="1201">
        <f>P8*1.19</f>
        <v>0</v>
      </c>
      <c r="O8" s="1202"/>
      <c r="P8" s="1203"/>
      <c r="Q8" s="1204"/>
      <c r="R8" s="96">
        <f>SUM(H8,L8,P8)</f>
        <v>0</v>
      </c>
      <c r="S8" s="72">
        <f>IF((R8+AB110)&gt;0,1,0)</f>
        <v>1</v>
      </c>
      <c r="T8" s="48"/>
      <c r="U8" s="48"/>
      <c r="V8" s="48"/>
      <c r="W8" s="48"/>
      <c r="X8" s="48"/>
    </row>
    <row r="9" spans="1:30" ht="15.95" customHeight="1" x14ac:dyDescent="0.25">
      <c r="B9" s="49"/>
      <c r="C9" s="49"/>
      <c r="D9" s="49"/>
      <c r="E9" s="49"/>
      <c r="F9" s="294"/>
      <c r="G9" s="294"/>
      <c r="H9" s="294"/>
      <c r="I9" s="294"/>
      <c r="J9" s="294"/>
      <c r="K9" s="294"/>
      <c r="L9" s="294"/>
      <c r="M9" s="294"/>
      <c r="N9" s="294"/>
      <c r="O9" s="294"/>
      <c r="P9" s="294"/>
      <c r="Q9" s="294"/>
      <c r="R9" s="48"/>
      <c r="S9" s="48"/>
      <c r="T9" s="48"/>
      <c r="U9" s="48"/>
      <c r="V9" s="48"/>
      <c r="W9" s="48"/>
      <c r="X9" s="48"/>
    </row>
    <row r="10" spans="1:30" x14ac:dyDescent="0.25">
      <c r="B10" s="39" t="s">
        <v>130</v>
      </c>
    </row>
    <row r="11" spans="1:30" x14ac:dyDescent="0.25">
      <c r="B11" s="39" t="s">
        <v>131</v>
      </c>
    </row>
    <row r="12" spans="1:30" ht="14.55" thickBot="1" x14ac:dyDescent="0.3">
      <c r="B12" s="40"/>
      <c r="G12" s="54"/>
      <c r="H12" s="41"/>
      <c r="I12" s="57"/>
      <c r="J12" s="54"/>
      <c r="K12" s="54"/>
      <c r="L12" s="57"/>
      <c r="M12" s="58"/>
      <c r="N12" s="58"/>
      <c r="O12" s="59"/>
      <c r="S12" s="57"/>
      <c r="T12" s="48"/>
    </row>
    <row r="13" spans="1:30" ht="15" customHeight="1" x14ac:dyDescent="0.25">
      <c r="B13" s="1221" t="s">
        <v>132</v>
      </c>
      <c r="C13" s="1222"/>
      <c r="D13" s="1222"/>
      <c r="E13" s="1223"/>
      <c r="F13" s="1164">
        <v>1</v>
      </c>
      <c r="G13" s="1165"/>
      <c r="H13" s="1165"/>
      <c r="I13" s="1165"/>
      <c r="J13" s="1165"/>
      <c r="K13" s="1165"/>
      <c r="L13" s="1165"/>
      <c r="M13" s="1165"/>
      <c r="N13" s="1165"/>
      <c r="O13" s="1165"/>
      <c r="P13" s="1165"/>
      <c r="Q13" s="1166"/>
      <c r="S13" s="57"/>
      <c r="T13" s="48"/>
      <c r="U13" s="72" t="s">
        <v>133</v>
      </c>
      <c r="V13" s="72">
        <v>1</v>
      </c>
    </row>
    <row r="14" spans="1:30" ht="15.95" customHeight="1" thickBot="1" x14ac:dyDescent="0.3">
      <c r="B14" s="1224" t="s">
        <v>134</v>
      </c>
      <c r="C14" s="1225"/>
      <c r="D14" s="1225"/>
      <c r="E14" s="1226"/>
      <c r="F14" s="1167" t="s">
        <v>135</v>
      </c>
      <c r="G14" s="1168"/>
      <c r="H14" s="1168"/>
      <c r="I14" s="1168"/>
      <c r="J14" s="1168"/>
      <c r="K14" s="1168"/>
      <c r="L14" s="1168"/>
      <c r="M14" s="1168"/>
      <c r="N14" s="1168"/>
      <c r="O14" s="1168"/>
      <c r="P14" s="1168"/>
      <c r="Q14" s="1169"/>
      <c r="S14" s="57"/>
      <c r="T14" s="48"/>
      <c r="U14" s="72"/>
      <c r="V14" s="72">
        <v>2</v>
      </c>
    </row>
    <row r="15" spans="1:30" ht="15.95" customHeight="1" x14ac:dyDescent="0.25">
      <c r="B15" s="60"/>
      <c r="C15" s="60"/>
      <c r="D15" s="60"/>
      <c r="E15" s="60"/>
      <c r="F15" s="1241" t="s">
        <v>136</v>
      </c>
      <c r="G15" s="1241"/>
      <c r="H15" s="1241"/>
      <c r="I15" s="1241"/>
      <c r="J15" s="1241" t="s">
        <v>137</v>
      </c>
      <c r="K15" s="1241"/>
      <c r="L15" s="1241"/>
      <c r="M15" s="1241"/>
      <c r="N15" s="1241" t="s">
        <v>367</v>
      </c>
      <c r="O15" s="1241"/>
      <c r="P15" s="1241"/>
      <c r="Q15" s="1241"/>
      <c r="S15" s="57"/>
      <c r="T15" s="48"/>
      <c r="U15" s="72"/>
      <c r="V15" s="72">
        <v>3</v>
      </c>
    </row>
    <row r="16" spans="1:30" ht="15.95" customHeight="1" thickBot="1" x14ac:dyDescent="0.3">
      <c r="B16" s="60"/>
      <c r="C16" s="60"/>
      <c r="D16" s="60"/>
      <c r="E16" s="60"/>
      <c r="F16" s="1242"/>
      <c r="G16" s="1242"/>
      <c r="H16" s="1242"/>
      <c r="I16" s="1242"/>
      <c r="J16" s="1242"/>
      <c r="K16" s="1242"/>
      <c r="L16" s="1242"/>
      <c r="M16" s="1242"/>
      <c r="N16" s="1242"/>
      <c r="O16" s="1242"/>
      <c r="P16" s="1242"/>
      <c r="Q16" s="1242"/>
      <c r="S16" s="57"/>
      <c r="T16" s="48"/>
      <c r="U16" s="72"/>
      <c r="V16" s="72">
        <v>4</v>
      </c>
    </row>
    <row r="17" spans="1:32" ht="15.95" customHeight="1" thickBot="1" x14ac:dyDescent="0.3">
      <c r="B17" s="40"/>
      <c r="C17" s="40"/>
      <c r="D17" s="895"/>
      <c r="E17" s="69"/>
      <c r="F17" s="1721">
        <f>'Berechnung - Raumakustik'!H89</f>
        <v>0</v>
      </c>
      <c r="G17" s="1722"/>
      <c r="H17" s="1722"/>
      <c r="I17" s="1723"/>
      <c r="J17" s="1721" t="str">
        <f>IF('Berechnung - Raumakustik'!J89=0,"Kostenschätzung liegt noch nicht vor",'Berechnung - Raumakustik'!J89)</f>
        <v>Kostenschätzung liegt noch nicht vor</v>
      </c>
      <c r="K17" s="1722"/>
      <c r="L17" s="1722"/>
      <c r="M17" s="1723"/>
      <c r="N17" s="1721" t="str">
        <f>IF('Berechnung - Raumakustik'!L89=0,"Kostenberechnung liegt noch nicht vor",'Berechnung - Raumakustik'!L89)</f>
        <v>Kostenberechnung liegt noch nicht vor</v>
      </c>
      <c r="O17" s="1722"/>
      <c r="P17" s="1722"/>
      <c r="Q17" s="1723"/>
      <c r="R17" s="96">
        <f>SUM(F17:Q17)</f>
        <v>0</v>
      </c>
      <c r="S17" s="57"/>
      <c r="T17" s="48"/>
      <c r="U17" s="72"/>
      <c r="V17" s="72">
        <v>5</v>
      </c>
    </row>
    <row r="18" spans="1:32" x14ac:dyDescent="0.25">
      <c r="B18" s="40"/>
      <c r="G18" s="54"/>
      <c r="H18" s="41"/>
      <c r="I18" s="57"/>
      <c r="J18" s="54"/>
      <c r="K18" s="54"/>
      <c r="L18" s="57"/>
      <c r="M18" s="58"/>
      <c r="N18" s="58"/>
      <c r="O18" s="59"/>
      <c r="R18" s="72"/>
      <c r="S18" s="57"/>
      <c r="T18" s="48"/>
    </row>
    <row r="19" spans="1:32" x14ac:dyDescent="0.25">
      <c r="A19" s="492" t="s">
        <v>139</v>
      </c>
      <c r="B19" s="42" t="s">
        <v>140</v>
      </c>
      <c r="C19" s="43"/>
      <c r="D19" s="43"/>
      <c r="E19" s="61"/>
      <c r="F19" s="43"/>
      <c r="G19" s="43"/>
      <c r="H19" s="44"/>
      <c r="I19" s="44"/>
      <c r="R19" s="72"/>
    </row>
    <row r="20" spans="1:32" ht="14.55" thickBot="1" x14ac:dyDescent="0.3">
      <c r="A20" s="492"/>
      <c r="B20" s="43"/>
      <c r="C20" s="43"/>
      <c r="D20" s="43"/>
      <c r="E20" s="61"/>
      <c r="F20" s="43"/>
      <c r="G20" s="43"/>
      <c r="H20" s="62"/>
      <c r="I20" s="62"/>
      <c r="R20" s="72"/>
      <c r="S20" s="63"/>
      <c r="T20" s="63"/>
      <c r="U20" s="63"/>
    </row>
    <row r="21" spans="1:32" ht="52.1" customHeight="1" thickBot="1" x14ac:dyDescent="0.3">
      <c r="A21" s="492"/>
      <c r="B21" s="1586" t="s">
        <v>142</v>
      </c>
      <c r="C21" s="1587"/>
      <c r="D21" s="1587"/>
      <c r="E21" s="1588"/>
      <c r="F21" s="1589"/>
      <c r="G21" s="1590"/>
      <c r="H21" s="1590"/>
      <c r="I21" s="1590"/>
      <c r="J21" s="1590"/>
      <c r="K21" s="1590"/>
      <c r="L21" s="1590"/>
      <c r="M21" s="1590"/>
      <c r="N21" s="1590"/>
      <c r="O21" s="1590"/>
      <c r="P21" s="1590"/>
      <c r="Q21" s="1591"/>
      <c r="R21" s="183">
        <f>IF(AND(R8&gt;0,F21=""),1,0)</f>
        <v>0</v>
      </c>
      <c r="S21" s="148"/>
      <c r="T21" s="148"/>
      <c r="U21" s="148"/>
      <c r="V21" s="148"/>
      <c r="W21" s="148"/>
      <c r="X21" s="148"/>
    </row>
    <row r="22" spans="1:32" x14ac:dyDescent="0.25">
      <c r="B22" s="40"/>
      <c r="G22" s="54"/>
      <c r="H22" s="41"/>
      <c r="I22" s="57"/>
      <c r="J22" s="54"/>
      <c r="K22" s="54"/>
      <c r="L22" s="57"/>
      <c r="M22" s="58"/>
      <c r="N22" s="58"/>
      <c r="O22" s="59"/>
      <c r="S22" s="57"/>
      <c r="T22" s="96"/>
      <c r="U22" s="72"/>
      <c r="V22" s="72"/>
      <c r="W22" s="68"/>
      <c r="X22" s="68"/>
    </row>
    <row r="23" spans="1:32" x14ac:dyDescent="0.25">
      <c r="B23" s="39" t="s">
        <v>506</v>
      </c>
      <c r="G23" s="54"/>
      <c r="H23" s="41"/>
      <c r="I23" s="57"/>
      <c r="J23" s="54"/>
      <c r="K23" s="54"/>
      <c r="L23" s="57"/>
      <c r="M23" s="58"/>
      <c r="N23" s="58"/>
      <c r="O23" s="59"/>
      <c r="S23" s="57"/>
      <c r="T23" s="96"/>
      <c r="U23" s="72"/>
      <c r="V23" s="72"/>
      <c r="W23" s="68"/>
      <c r="X23" s="68"/>
    </row>
    <row r="24" spans="1:32" x14ac:dyDescent="0.25">
      <c r="B24" s="40"/>
      <c r="G24" s="54"/>
      <c r="H24" s="41"/>
      <c r="I24" s="57"/>
      <c r="J24" s="54"/>
      <c r="K24" s="54"/>
      <c r="L24" s="57"/>
      <c r="M24" s="58"/>
      <c r="N24" s="58"/>
      <c r="O24" s="59"/>
      <c r="S24" s="57"/>
      <c r="T24" s="96"/>
      <c r="U24" s="72"/>
      <c r="V24" s="72"/>
      <c r="W24" s="72"/>
      <c r="X24" s="72"/>
    </row>
    <row r="25" spans="1:32" x14ac:dyDescent="0.25">
      <c r="A25" s="491" t="s">
        <v>144</v>
      </c>
      <c r="B25" s="40" t="s">
        <v>145</v>
      </c>
      <c r="G25" s="48"/>
      <c r="I25" s="48"/>
      <c r="T25" s="72"/>
      <c r="U25" s="72"/>
      <c r="V25" s="72"/>
      <c r="W25" s="72"/>
      <c r="X25" s="72"/>
    </row>
    <row r="26" spans="1:32" x14ac:dyDescent="0.25">
      <c r="B26" s="40"/>
      <c r="T26" s="72"/>
      <c r="U26" s="72"/>
      <c r="V26" s="72"/>
      <c r="W26" s="68"/>
      <c r="X26" s="68"/>
    </row>
    <row r="27" spans="1:32" ht="15.95" customHeight="1" x14ac:dyDescent="0.25">
      <c r="B27" s="39" t="s">
        <v>369</v>
      </c>
      <c r="S27" s="72"/>
      <c r="T27" s="72"/>
      <c r="U27" s="72" t="s">
        <v>115</v>
      </c>
      <c r="V27" s="72" t="s">
        <v>100</v>
      </c>
      <c r="W27" s="68"/>
      <c r="X27" s="68"/>
    </row>
    <row r="28" spans="1:32" ht="15.95" customHeight="1" x14ac:dyDescent="0.25">
      <c r="B28" s="39" t="s">
        <v>147</v>
      </c>
      <c r="S28" s="72"/>
      <c r="T28" s="72"/>
      <c r="U28" s="72"/>
      <c r="V28" s="72" t="s">
        <v>99</v>
      </c>
      <c r="W28" s="68"/>
      <c r="X28" s="68"/>
      <c r="AA28" s="72" t="s">
        <v>148</v>
      </c>
    </row>
    <row r="29" spans="1:32" ht="15.95" customHeight="1" thickBot="1" x14ac:dyDescent="0.3">
      <c r="S29" s="72"/>
      <c r="T29" s="72"/>
      <c r="U29" s="72"/>
      <c r="V29" s="72"/>
      <c r="W29" s="68"/>
      <c r="X29" s="68"/>
    </row>
    <row r="30" spans="1:32" ht="15.95" customHeight="1" x14ac:dyDescent="0.25">
      <c r="A30" s="1516" t="s">
        <v>507</v>
      </c>
      <c r="B30" s="1125" t="s">
        <v>150</v>
      </c>
      <c r="C30" s="1126"/>
      <c r="D30" s="1126"/>
      <c r="E30" s="1126"/>
      <c r="F30" s="1126"/>
      <c r="G30" s="1126"/>
      <c r="H30" s="1731" t="s">
        <v>151</v>
      </c>
      <c r="I30" s="1734"/>
      <c r="J30" s="995" t="s">
        <v>153</v>
      </c>
      <c r="K30" s="996"/>
      <c r="L30" s="142"/>
      <c r="M30" s="114"/>
      <c r="N30" s="114"/>
      <c r="O30" s="114"/>
      <c r="P30" s="70"/>
      <c r="Q30" s="70"/>
      <c r="R30" s="70"/>
      <c r="S30" s="73"/>
      <c r="T30" s="117"/>
      <c r="U30" s="117"/>
      <c r="V30" s="68"/>
      <c r="W30" s="68"/>
      <c r="X30" s="68"/>
      <c r="Y30" s="68"/>
      <c r="Z30" s="68"/>
      <c r="AA30" s="68"/>
      <c r="AC30" s="68"/>
      <c r="AD30" s="68"/>
    </row>
    <row r="31" spans="1:32" ht="15.95" customHeight="1" x14ac:dyDescent="0.25">
      <c r="A31" s="1516"/>
      <c r="B31" s="1127"/>
      <c r="C31" s="1128"/>
      <c r="D31" s="1128"/>
      <c r="E31" s="1128"/>
      <c r="F31" s="1128"/>
      <c r="G31" s="1128"/>
      <c r="H31" s="1732"/>
      <c r="I31" s="1735"/>
      <c r="J31" s="997"/>
      <c r="K31" s="998"/>
      <c r="L31" s="142"/>
      <c r="M31" s="114"/>
      <c r="N31" s="114"/>
      <c r="O31" s="114"/>
      <c r="P31" s="70"/>
      <c r="Q31" s="70"/>
      <c r="R31" s="70"/>
      <c r="S31" s="73"/>
      <c r="T31" s="73"/>
      <c r="U31" s="81" t="s">
        <v>372</v>
      </c>
      <c r="V31" s="68"/>
      <c r="W31" s="68"/>
      <c r="X31" s="68"/>
      <c r="Y31" s="68"/>
      <c r="Z31" s="68"/>
      <c r="AA31" s="68"/>
      <c r="AC31" s="68"/>
      <c r="AD31" s="68"/>
    </row>
    <row r="32" spans="1:32" ht="15" customHeight="1" thickBot="1" x14ac:dyDescent="0.3">
      <c r="A32" s="1516"/>
      <c r="B32" s="1129"/>
      <c r="C32" s="1130"/>
      <c r="D32" s="1130"/>
      <c r="E32" s="1130"/>
      <c r="F32" s="1130"/>
      <c r="G32" s="1130"/>
      <c r="H32" s="1733"/>
      <c r="I32" s="1736"/>
      <c r="J32" s="999"/>
      <c r="K32" s="1000"/>
      <c r="L32" s="143"/>
      <c r="M32" s="115"/>
      <c r="N32" s="115"/>
      <c r="O32" s="115"/>
      <c r="P32" s="116"/>
      <c r="Q32" s="116"/>
      <c r="R32" s="116"/>
      <c r="S32" s="73"/>
      <c r="T32" s="73"/>
      <c r="U32" s="81"/>
      <c r="V32" s="68"/>
      <c r="W32" s="68"/>
      <c r="X32" s="68"/>
      <c r="Y32" s="68"/>
      <c r="Z32" s="68"/>
      <c r="AA32" s="68"/>
      <c r="AC32" s="68"/>
      <c r="AD32" s="68"/>
      <c r="AE32" s="68"/>
      <c r="AF32" s="68"/>
    </row>
    <row r="33" spans="1:33" ht="15" customHeight="1" thickBot="1" x14ac:dyDescent="0.3">
      <c r="A33" s="1516"/>
      <c r="B33" s="1035" t="s">
        <v>154</v>
      </c>
      <c r="C33" s="1036"/>
      <c r="D33" s="1036"/>
      <c r="E33" s="1036"/>
      <c r="F33" s="1036"/>
      <c r="G33" s="1036"/>
      <c r="H33" s="1161"/>
      <c r="I33" s="1344">
        <f>F17</f>
        <v>0</v>
      </c>
      <c r="J33" s="1345"/>
      <c r="K33" s="1346"/>
      <c r="L33" s="1019" t="s">
        <v>155</v>
      </c>
      <c r="M33" s="1020"/>
      <c r="N33" s="1020"/>
      <c r="O33" s="1020"/>
      <c r="P33" s="1629"/>
      <c r="Q33" s="1131" t="s">
        <v>151</v>
      </c>
      <c r="R33" s="1608" t="str">
        <f>IF(B1=V2,"Honorar für die Besonderen Leistungen","Honorarangebot für die Besonderen Leistungen")</f>
        <v>Honorarangebot für die Besonderen Leistungen</v>
      </c>
      <c r="S33" s="1264"/>
      <c r="T33" s="1254" t="s">
        <v>156</v>
      </c>
      <c r="U33" s="1336" t="s">
        <v>157</v>
      </c>
      <c r="V33" s="184"/>
      <c r="W33" s="72"/>
      <c r="X33" s="72"/>
      <c r="Y33" s="72"/>
      <c r="Z33" s="72"/>
      <c r="AA33" s="68"/>
      <c r="AC33" s="68"/>
      <c r="AD33" s="68"/>
      <c r="AE33" s="68"/>
      <c r="AF33" s="68"/>
      <c r="AG33" s="68"/>
    </row>
    <row r="34" spans="1:33" ht="15" customHeight="1" thickBot="1" x14ac:dyDescent="0.3">
      <c r="A34" s="1516"/>
      <c r="B34" s="1038"/>
      <c r="C34" s="1039"/>
      <c r="D34" s="1039"/>
      <c r="E34" s="1039"/>
      <c r="F34" s="1039"/>
      <c r="G34" s="1039"/>
      <c r="H34" s="1162"/>
      <c r="I34" s="1347"/>
      <c r="J34" s="1348"/>
      <c r="K34" s="1349"/>
      <c r="L34" s="1021"/>
      <c r="M34" s="1022"/>
      <c r="N34" s="1022"/>
      <c r="O34" s="1022"/>
      <c r="P34" s="1630"/>
      <c r="Q34" s="1132"/>
      <c r="R34" s="1609"/>
      <c r="S34" s="1266"/>
      <c r="T34" s="1255"/>
      <c r="U34" s="1336"/>
      <c r="V34" s="184"/>
      <c r="W34" s="72"/>
      <c r="X34" s="72"/>
      <c r="Y34" s="72"/>
      <c r="Z34" s="72"/>
      <c r="AA34" s="68"/>
      <c r="AC34" s="68"/>
      <c r="AD34" s="68"/>
      <c r="AE34" s="68"/>
      <c r="AF34" s="68"/>
      <c r="AG34" s="68"/>
    </row>
    <row r="35" spans="1:33" ht="15.95" customHeight="1" thickBot="1" x14ac:dyDescent="0.3">
      <c r="A35" s="1516"/>
      <c r="B35" s="1041"/>
      <c r="C35" s="1042"/>
      <c r="D35" s="1042"/>
      <c r="E35" s="1042"/>
      <c r="F35" s="1042"/>
      <c r="G35" s="1042"/>
      <c r="H35" s="1163"/>
      <c r="I35" s="1350"/>
      <c r="J35" s="1351"/>
      <c r="K35" s="1352"/>
      <c r="L35" s="1023"/>
      <c r="M35" s="1024"/>
      <c r="N35" s="1024"/>
      <c r="O35" s="1024"/>
      <c r="P35" s="1631"/>
      <c r="Q35" s="1133"/>
      <c r="R35" s="1753"/>
      <c r="S35" s="1268"/>
      <c r="T35" s="1256"/>
      <c r="U35" s="1336"/>
      <c r="V35" s="184"/>
      <c r="W35" s="72"/>
      <c r="X35" s="72"/>
      <c r="Y35" s="72"/>
      <c r="Z35" s="72"/>
      <c r="AA35" s="68"/>
      <c r="AC35" s="68"/>
      <c r="AD35" s="68"/>
      <c r="AE35" s="68"/>
      <c r="AF35" s="68"/>
      <c r="AG35" s="68"/>
    </row>
    <row r="36" spans="1:33" ht="15.95" customHeight="1" thickBot="1" x14ac:dyDescent="0.3">
      <c r="A36" s="1516"/>
      <c r="B36" s="1082" t="s">
        <v>159</v>
      </c>
      <c r="C36" s="1083"/>
      <c r="D36" s="1083"/>
      <c r="E36" s="1083"/>
      <c r="F36" s="1083"/>
      <c r="G36" s="1084"/>
      <c r="H36" s="246"/>
      <c r="I36" s="1378"/>
      <c r="J36" s="1379"/>
      <c r="K36" s="1379"/>
      <c r="L36" s="1378"/>
      <c r="M36" s="1379"/>
      <c r="N36" s="1379"/>
      <c r="O36" s="1379"/>
      <c r="P36" s="1380"/>
      <c r="Q36" s="401"/>
      <c r="R36" s="1379"/>
      <c r="S36" s="1632"/>
      <c r="T36" s="71"/>
      <c r="U36" s="154"/>
      <c r="V36" s="149"/>
      <c r="W36" s="72"/>
      <c r="X36" s="72"/>
      <c r="Y36" s="72"/>
      <c r="Z36" s="72"/>
      <c r="AA36" s="68"/>
      <c r="AC36" s="68"/>
      <c r="AD36" s="68"/>
      <c r="AE36" s="68"/>
      <c r="AF36" s="68"/>
      <c r="AG36" s="68"/>
    </row>
    <row r="37" spans="1:33" ht="14.25" customHeight="1" thickBot="1" x14ac:dyDescent="0.3">
      <c r="A37" s="1516"/>
      <c r="B37" s="1383" t="s">
        <v>508</v>
      </c>
      <c r="C37" s="1384"/>
      <c r="D37" s="1384"/>
      <c r="E37" s="1384"/>
      <c r="F37" s="1384"/>
      <c r="G37" s="1384"/>
      <c r="H37" s="1137" t="s">
        <v>99</v>
      </c>
      <c r="I37" s="1016">
        <f>W43</f>
        <v>0.03</v>
      </c>
      <c r="J37" s="1027">
        <f>$I$33*I37</f>
        <v>0</v>
      </c>
      <c r="K37" s="1028"/>
      <c r="L37" s="1754"/>
      <c r="M37" s="1755"/>
      <c r="N37" s="1755"/>
      <c r="O37" s="1755"/>
      <c r="P37" s="1756"/>
      <c r="Q37" s="1763" t="s">
        <v>100</v>
      </c>
      <c r="R37" s="1728"/>
      <c r="S37" s="1729"/>
      <c r="T37" s="1341" t="str">
        <f>IFERROR(IF((VLOOKUP(U37,Überblick!$M$125:$N$133,2))="ja","ja","nein"),"")</f>
        <v/>
      </c>
      <c r="U37" s="1337"/>
      <c r="V37" s="72">
        <f>IF(AND(Q37="ja",R37=""),1,0)</f>
        <v>0</v>
      </c>
      <c r="W37" s="77">
        <f>IF(H37="ja",X37,0)</f>
        <v>1.4999999999999999E-2</v>
      </c>
      <c r="X37" s="74">
        <f>Z37/2</f>
        <v>1.4999999999999999E-2</v>
      </c>
      <c r="Y37" s="72"/>
      <c r="Z37" s="77">
        <v>0.03</v>
      </c>
      <c r="AA37" s="192"/>
      <c r="AB37" s="72">
        <f>IF(Q37="ja",1,0)</f>
        <v>0</v>
      </c>
      <c r="AC37" s="68"/>
      <c r="AD37" s="68"/>
      <c r="AE37" s="68"/>
      <c r="AF37" s="68"/>
      <c r="AG37" s="68"/>
    </row>
    <row r="38" spans="1:33" ht="15" customHeight="1" thickBot="1" x14ac:dyDescent="0.3">
      <c r="A38" s="1516"/>
      <c r="B38" s="1098"/>
      <c r="C38" s="1099"/>
      <c r="D38" s="1099"/>
      <c r="E38" s="1099"/>
      <c r="F38" s="1099"/>
      <c r="G38" s="1099"/>
      <c r="H38" s="1013"/>
      <c r="I38" s="1017"/>
      <c r="J38" s="1029"/>
      <c r="K38" s="1030"/>
      <c r="L38" s="1757"/>
      <c r="M38" s="1758"/>
      <c r="N38" s="1758"/>
      <c r="O38" s="1758"/>
      <c r="P38" s="1759"/>
      <c r="Q38" s="1727"/>
      <c r="R38" s="1724"/>
      <c r="S38" s="1725"/>
      <c r="T38" s="1342"/>
      <c r="U38" s="1337"/>
      <c r="V38" s="72"/>
      <c r="W38" s="77"/>
      <c r="X38" s="74"/>
      <c r="Y38" s="72"/>
      <c r="Z38" s="72"/>
      <c r="AA38" s="68"/>
      <c r="AB38" s="72">
        <f t="shared" ref="AB38:AB101" si="0">IF(Q38="ja",1,0)</f>
        <v>0</v>
      </c>
      <c r="AC38" s="68"/>
      <c r="AD38" s="68"/>
      <c r="AE38" s="68"/>
      <c r="AF38" s="68"/>
      <c r="AG38" s="68"/>
    </row>
    <row r="39" spans="1:33" ht="14.25" customHeight="1" thickBot="1" x14ac:dyDescent="0.3">
      <c r="A39" s="1516"/>
      <c r="B39" s="1098"/>
      <c r="C39" s="1099"/>
      <c r="D39" s="1099"/>
      <c r="E39" s="1099"/>
      <c r="F39" s="1099"/>
      <c r="G39" s="1099"/>
      <c r="H39" s="1013"/>
      <c r="I39" s="1017"/>
      <c r="J39" s="1029"/>
      <c r="K39" s="1030"/>
      <c r="L39" s="1757"/>
      <c r="M39" s="1758"/>
      <c r="N39" s="1758"/>
      <c r="O39" s="1758"/>
      <c r="P39" s="1759"/>
      <c r="Q39" s="353" t="s">
        <v>100</v>
      </c>
      <c r="R39" s="1724"/>
      <c r="S39" s="1725"/>
      <c r="T39" s="1342"/>
      <c r="U39" s="1337"/>
      <c r="V39" s="72"/>
      <c r="W39" s="77"/>
      <c r="X39" s="74"/>
      <c r="Y39" s="72"/>
      <c r="Z39" s="77"/>
      <c r="AA39" s="192"/>
      <c r="AB39" s="72">
        <f t="shared" si="0"/>
        <v>0</v>
      </c>
      <c r="AC39" s="68"/>
      <c r="AD39" s="68"/>
      <c r="AE39" s="68"/>
      <c r="AF39" s="68"/>
      <c r="AG39" s="68"/>
    </row>
    <row r="40" spans="1:33" ht="13.6" customHeight="1" thickBot="1" x14ac:dyDescent="0.3">
      <c r="A40" s="1516"/>
      <c r="B40" s="1487" t="s">
        <v>509</v>
      </c>
      <c r="C40" s="1488"/>
      <c r="D40" s="1488"/>
      <c r="E40" s="1488"/>
      <c r="F40" s="1488"/>
      <c r="G40" s="1489"/>
      <c r="H40" s="981" t="s">
        <v>99</v>
      </c>
      <c r="I40" s="1017"/>
      <c r="J40" s="1029"/>
      <c r="K40" s="1030"/>
      <c r="L40" s="1757"/>
      <c r="M40" s="1758"/>
      <c r="N40" s="1758"/>
      <c r="O40" s="1758"/>
      <c r="P40" s="1759"/>
      <c r="Q40" s="1726" t="s">
        <v>100</v>
      </c>
      <c r="R40" s="1724"/>
      <c r="S40" s="1725"/>
      <c r="T40" s="1342"/>
      <c r="U40" s="1337"/>
      <c r="V40" s="72">
        <f t="shared" ref="V40:V86" si="1">IF(AND(Q40="ja",R40=""),1,0)</f>
        <v>0</v>
      </c>
      <c r="W40" s="77">
        <f>IF(H40="ja",X40,0)</f>
        <v>1.4999999999999999E-2</v>
      </c>
      <c r="X40" s="74">
        <f>Z37/2</f>
        <v>1.4999999999999999E-2</v>
      </c>
      <c r="Y40" s="72"/>
      <c r="Z40" s="77"/>
      <c r="AA40" s="192"/>
      <c r="AB40" s="72">
        <f t="shared" si="0"/>
        <v>0</v>
      </c>
      <c r="AC40" s="68"/>
      <c r="AD40" s="68"/>
      <c r="AE40" s="68"/>
      <c r="AF40" s="68"/>
      <c r="AG40" s="68"/>
    </row>
    <row r="41" spans="1:33" ht="13.6" customHeight="1" thickBot="1" x14ac:dyDescent="0.3">
      <c r="A41" s="1516"/>
      <c r="B41" s="1493"/>
      <c r="C41" s="1317"/>
      <c r="D41" s="1317"/>
      <c r="E41" s="1317"/>
      <c r="F41" s="1317"/>
      <c r="G41" s="1494"/>
      <c r="H41" s="982"/>
      <c r="I41" s="1017"/>
      <c r="J41" s="1029"/>
      <c r="K41" s="1030"/>
      <c r="L41" s="1757"/>
      <c r="M41" s="1758"/>
      <c r="N41" s="1758"/>
      <c r="O41" s="1758"/>
      <c r="P41" s="1759"/>
      <c r="Q41" s="1727"/>
      <c r="R41" s="1724"/>
      <c r="S41" s="1725"/>
      <c r="T41" s="1342"/>
      <c r="U41" s="1337"/>
      <c r="V41" s="72"/>
      <c r="W41" s="77"/>
      <c r="X41" s="74"/>
      <c r="Y41" s="72"/>
      <c r="Z41" s="77"/>
      <c r="AA41" s="192"/>
      <c r="AB41" s="72">
        <f t="shared" si="0"/>
        <v>0</v>
      </c>
      <c r="AC41" s="68"/>
      <c r="AD41" s="68"/>
      <c r="AE41" s="68"/>
      <c r="AF41" s="68"/>
      <c r="AG41" s="68"/>
    </row>
    <row r="42" spans="1:33" ht="15" customHeight="1" thickBot="1" x14ac:dyDescent="0.3">
      <c r="A42" s="1516"/>
      <c r="B42" s="1592"/>
      <c r="C42" s="1593"/>
      <c r="D42" s="1593"/>
      <c r="E42" s="1593"/>
      <c r="F42" s="1593"/>
      <c r="G42" s="1594"/>
      <c r="H42" s="1304"/>
      <c r="I42" s="1018"/>
      <c r="J42" s="1031"/>
      <c r="K42" s="1032"/>
      <c r="L42" s="1760" t="s">
        <v>510</v>
      </c>
      <c r="M42" s="1761"/>
      <c r="N42" s="1761"/>
      <c r="O42" s="1761"/>
      <c r="P42" s="1762"/>
      <c r="Q42" s="353" t="s">
        <v>99</v>
      </c>
      <c r="R42" s="1623"/>
      <c r="S42" s="1624"/>
      <c r="T42" s="1342"/>
      <c r="U42" s="1337"/>
      <c r="V42" s="72"/>
      <c r="W42" s="74"/>
      <c r="X42" s="74"/>
      <c r="Y42" s="72"/>
      <c r="Z42" s="72"/>
      <c r="AA42" s="68"/>
      <c r="AB42" s="72">
        <f t="shared" si="0"/>
        <v>1</v>
      </c>
      <c r="AC42" s="68"/>
      <c r="AD42" s="68"/>
      <c r="AE42" s="68"/>
      <c r="AF42" s="68"/>
      <c r="AG42" s="68"/>
    </row>
    <row r="43" spans="1:33" ht="14.25" customHeight="1" thickBot="1" x14ac:dyDescent="0.3">
      <c r="A43" s="1516"/>
      <c r="B43" s="1082" t="s">
        <v>172</v>
      </c>
      <c r="C43" s="1083"/>
      <c r="D43" s="1083"/>
      <c r="E43" s="1083"/>
      <c r="F43" s="1083"/>
      <c r="G43" s="1084"/>
      <c r="H43" s="145"/>
      <c r="I43" s="1744"/>
      <c r="J43" s="1745"/>
      <c r="K43" s="1746"/>
      <c r="L43" s="1180">
        <f>SUM(R37:S42)</f>
        <v>0</v>
      </c>
      <c r="M43" s="1181"/>
      <c r="N43" s="1181"/>
      <c r="O43" s="1181"/>
      <c r="P43" s="1181"/>
      <c r="Q43" s="211"/>
      <c r="R43" s="1181"/>
      <c r="S43" s="1272"/>
      <c r="T43" s="334"/>
      <c r="U43" s="335" t="s">
        <v>157</v>
      </c>
      <c r="V43" s="72"/>
      <c r="W43" s="74">
        <f>SUM(W37:W42)</f>
        <v>0.03</v>
      </c>
      <c r="X43" s="75"/>
      <c r="Y43" s="75"/>
      <c r="Z43" s="75"/>
      <c r="AA43" s="191"/>
      <c r="AB43" s="72">
        <f t="shared" si="0"/>
        <v>0</v>
      </c>
      <c r="AC43" s="68"/>
      <c r="AD43" s="68"/>
      <c r="AE43" s="68"/>
      <c r="AF43" s="68"/>
      <c r="AG43" s="68"/>
    </row>
    <row r="44" spans="1:33" ht="14.25" customHeight="1" x14ac:dyDescent="0.25">
      <c r="A44" s="1516"/>
      <c r="B44" s="1394" t="s">
        <v>511</v>
      </c>
      <c r="C44" s="1395"/>
      <c r="D44" s="1395"/>
      <c r="E44" s="1395"/>
      <c r="F44" s="1395"/>
      <c r="G44" s="1396"/>
      <c r="H44" s="325" t="s">
        <v>99</v>
      </c>
      <c r="I44" s="1016">
        <f>W56</f>
        <v>0.19999999999999998</v>
      </c>
      <c r="J44" s="1044">
        <f>I33*I44</f>
        <v>0</v>
      </c>
      <c r="K44" s="1045"/>
      <c r="L44" s="1739"/>
      <c r="M44" s="1740"/>
      <c r="N44" s="1740"/>
      <c r="O44" s="1740"/>
      <c r="P44" s="1740"/>
      <c r="Q44" s="1727" t="s">
        <v>100</v>
      </c>
      <c r="R44" s="1627"/>
      <c r="S44" s="1008"/>
      <c r="T44" s="1257" t="str">
        <f>IFERROR(IF((VLOOKUP(U44,Überblick!$M$125:$N$133,2))="ja","ja","nein"),"")</f>
        <v/>
      </c>
      <c r="U44" s="1338"/>
      <c r="V44" s="72">
        <f t="shared" si="1"/>
        <v>0</v>
      </c>
      <c r="W44" s="77">
        <f>IF(H44="ja",X44,0)</f>
        <v>3.3333333333333333E-2</v>
      </c>
      <c r="X44" s="74">
        <f>Z44/6</f>
        <v>3.3333333333333333E-2</v>
      </c>
      <c r="Y44" s="72"/>
      <c r="Z44" s="77">
        <v>0.2</v>
      </c>
      <c r="AA44" s="192"/>
      <c r="AB44" s="72">
        <f t="shared" si="0"/>
        <v>0</v>
      </c>
      <c r="AC44" s="68"/>
      <c r="AD44" s="68"/>
      <c r="AE44" s="68"/>
      <c r="AF44" s="68"/>
      <c r="AG44" s="68"/>
    </row>
    <row r="45" spans="1:33" ht="14.25" customHeight="1" x14ac:dyDescent="0.25">
      <c r="A45" s="1516"/>
      <c r="B45" s="1487" t="s">
        <v>513</v>
      </c>
      <c r="C45" s="1488"/>
      <c r="D45" s="1488"/>
      <c r="E45" s="1488"/>
      <c r="F45" s="1488"/>
      <c r="G45" s="1489"/>
      <c r="H45" s="981" t="s">
        <v>99</v>
      </c>
      <c r="I45" s="1017"/>
      <c r="J45" s="1046"/>
      <c r="K45" s="1047"/>
      <c r="L45" s="1739"/>
      <c r="M45" s="1740"/>
      <c r="N45" s="1740"/>
      <c r="O45" s="1740"/>
      <c r="P45" s="1740"/>
      <c r="Q45" s="1727"/>
      <c r="R45" s="1627"/>
      <c r="S45" s="1008"/>
      <c r="T45" s="1258"/>
      <c r="U45" s="1339"/>
      <c r="V45" s="72"/>
      <c r="W45" s="77">
        <f>IF(H45="ja",X45,0)</f>
        <v>3.3333333333333333E-2</v>
      </c>
      <c r="X45" s="74">
        <f>Z44/6</f>
        <v>3.3333333333333333E-2</v>
      </c>
      <c r="Y45" s="72"/>
      <c r="Z45" s="72"/>
      <c r="AA45" s="68"/>
      <c r="AB45" s="72">
        <f t="shared" si="0"/>
        <v>0</v>
      </c>
      <c r="AC45" s="68"/>
      <c r="AD45" s="68"/>
      <c r="AE45" s="68"/>
      <c r="AF45" s="68"/>
      <c r="AG45" s="68"/>
    </row>
    <row r="46" spans="1:33" ht="14.25" customHeight="1" x14ac:dyDescent="0.25">
      <c r="A46" s="1516"/>
      <c r="B46" s="1493"/>
      <c r="C46" s="1317"/>
      <c r="D46" s="1317"/>
      <c r="E46" s="1317"/>
      <c r="F46" s="1317"/>
      <c r="G46" s="1494"/>
      <c r="H46" s="982"/>
      <c r="I46" s="1017"/>
      <c r="J46" s="1046"/>
      <c r="K46" s="1047"/>
      <c r="L46" s="1741"/>
      <c r="M46" s="1742"/>
      <c r="N46" s="1742"/>
      <c r="O46" s="1742"/>
      <c r="P46" s="1742"/>
      <c r="Q46" s="1743"/>
      <c r="R46" s="1628"/>
      <c r="S46" s="1270"/>
      <c r="T46" s="1258"/>
      <c r="U46" s="1339"/>
      <c r="V46" s="72"/>
      <c r="W46" s="72"/>
      <c r="X46" s="74"/>
      <c r="Y46" s="72"/>
      <c r="Z46" s="72"/>
      <c r="AA46" s="68"/>
      <c r="AB46" s="72">
        <f t="shared" si="0"/>
        <v>0</v>
      </c>
      <c r="AC46" s="68"/>
      <c r="AD46" s="68"/>
      <c r="AE46" s="68"/>
      <c r="AF46" s="68"/>
      <c r="AG46" s="68"/>
    </row>
    <row r="47" spans="1:33" ht="14.25" customHeight="1" x14ac:dyDescent="0.25">
      <c r="A47" s="1516"/>
      <c r="B47" s="1490"/>
      <c r="C47" s="1491"/>
      <c r="D47" s="1491"/>
      <c r="E47" s="1491"/>
      <c r="F47" s="1491"/>
      <c r="G47" s="1492"/>
      <c r="H47" s="983"/>
      <c r="I47" s="1017"/>
      <c r="J47" s="1046"/>
      <c r="K47" s="1047"/>
      <c r="L47" s="1737"/>
      <c r="M47" s="1738"/>
      <c r="N47" s="1738"/>
      <c r="O47" s="1738"/>
      <c r="P47" s="1738"/>
      <c r="Q47" s="1726" t="s">
        <v>100</v>
      </c>
      <c r="R47" s="1764"/>
      <c r="S47" s="1006"/>
      <c r="T47" s="1258"/>
      <c r="U47" s="1339"/>
      <c r="V47" s="72">
        <f t="shared" si="1"/>
        <v>0</v>
      </c>
      <c r="W47" s="72"/>
      <c r="X47" s="74"/>
      <c r="Y47" s="72"/>
      <c r="Z47" s="72"/>
      <c r="AA47" s="68"/>
      <c r="AB47" s="72">
        <f t="shared" si="0"/>
        <v>0</v>
      </c>
      <c r="AC47" s="68"/>
      <c r="AD47" s="68"/>
      <c r="AE47" s="68"/>
      <c r="AF47" s="68"/>
      <c r="AG47" s="68"/>
    </row>
    <row r="48" spans="1:33" ht="14.25" customHeight="1" x14ac:dyDescent="0.25">
      <c r="A48" s="1516"/>
      <c r="B48" s="1103" t="s">
        <v>515</v>
      </c>
      <c r="C48" s="1104"/>
      <c r="D48" s="1104"/>
      <c r="E48" s="1104"/>
      <c r="F48" s="1104"/>
      <c r="G48" s="1105"/>
      <c r="H48" s="1190" t="s">
        <v>99</v>
      </c>
      <c r="I48" s="1017"/>
      <c r="J48" s="1046"/>
      <c r="K48" s="1047"/>
      <c r="L48" s="1739"/>
      <c r="M48" s="1740"/>
      <c r="N48" s="1740"/>
      <c r="O48" s="1740"/>
      <c r="P48" s="1740"/>
      <c r="Q48" s="1727"/>
      <c r="R48" s="1627"/>
      <c r="S48" s="1008"/>
      <c r="T48" s="1258"/>
      <c r="U48" s="1339"/>
      <c r="V48" s="72"/>
      <c r="W48" s="77">
        <f>IF(H48="ja",X48,0)</f>
        <v>3.3333333333333333E-2</v>
      </c>
      <c r="X48" s="74">
        <f>Z44/6</f>
        <v>3.3333333333333333E-2</v>
      </c>
      <c r="Y48" s="72"/>
      <c r="Z48" s="72"/>
      <c r="AA48" s="68"/>
      <c r="AB48" s="72">
        <f t="shared" si="0"/>
        <v>0</v>
      </c>
      <c r="AC48" s="68"/>
      <c r="AD48" s="68"/>
      <c r="AE48" s="68"/>
      <c r="AF48" s="68"/>
      <c r="AG48" s="68"/>
    </row>
    <row r="49" spans="1:42" ht="14.25" customHeight="1" x14ac:dyDescent="0.25">
      <c r="A49" s="1516"/>
      <c r="B49" s="1103"/>
      <c r="C49" s="1104"/>
      <c r="D49" s="1104"/>
      <c r="E49" s="1104"/>
      <c r="F49" s="1104"/>
      <c r="G49" s="1105"/>
      <c r="H49" s="1191"/>
      <c r="I49" s="1017"/>
      <c r="J49" s="1046"/>
      <c r="K49" s="1047"/>
      <c r="L49" s="1741"/>
      <c r="M49" s="1742"/>
      <c r="N49" s="1742"/>
      <c r="O49" s="1742"/>
      <c r="P49" s="1742"/>
      <c r="Q49" s="1743"/>
      <c r="R49" s="1628"/>
      <c r="S49" s="1270"/>
      <c r="T49" s="1258"/>
      <c r="U49" s="1339"/>
      <c r="V49" s="72"/>
      <c r="W49" s="72"/>
      <c r="X49" s="74"/>
      <c r="Y49" s="72"/>
      <c r="Z49" s="72"/>
      <c r="AA49" s="68"/>
      <c r="AB49" s="72">
        <f t="shared" si="0"/>
        <v>0</v>
      </c>
      <c r="AC49" s="68"/>
      <c r="AD49" s="68"/>
      <c r="AE49" s="68"/>
      <c r="AF49" s="68"/>
      <c r="AG49" s="68"/>
    </row>
    <row r="50" spans="1:42" ht="14.25" customHeight="1" x14ac:dyDescent="0.25">
      <c r="A50" s="1516"/>
      <c r="B50" s="1103" t="s">
        <v>516</v>
      </c>
      <c r="C50" s="1104"/>
      <c r="D50" s="1104"/>
      <c r="E50" s="1104"/>
      <c r="F50" s="1104"/>
      <c r="G50" s="1105"/>
      <c r="H50" s="1190" t="s">
        <v>99</v>
      </c>
      <c r="I50" s="1017"/>
      <c r="J50" s="1046"/>
      <c r="K50" s="1047"/>
      <c r="L50" s="1737"/>
      <c r="M50" s="1738"/>
      <c r="N50" s="1738"/>
      <c r="O50" s="1738"/>
      <c r="P50" s="1738"/>
      <c r="Q50" s="1726" t="s">
        <v>100</v>
      </c>
      <c r="R50" s="1764"/>
      <c r="S50" s="1006"/>
      <c r="T50" s="1258"/>
      <c r="U50" s="1339"/>
      <c r="V50" s="72">
        <f t="shared" si="1"/>
        <v>0</v>
      </c>
      <c r="W50" s="77">
        <f>IF(H50="ja",X50,0)</f>
        <v>3.3333333333333333E-2</v>
      </c>
      <c r="X50" s="74">
        <f>Z44/6</f>
        <v>3.3333333333333333E-2</v>
      </c>
      <c r="Y50" s="72"/>
      <c r="Z50" s="72"/>
      <c r="AA50" s="68"/>
      <c r="AB50" s="72">
        <f t="shared" si="0"/>
        <v>0</v>
      </c>
      <c r="AC50" s="68"/>
      <c r="AD50" s="68"/>
      <c r="AE50" s="68"/>
      <c r="AF50" s="68"/>
      <c r="AG50" s="68"/>
    </row>
    <row r="51" spans="1:42" ht="14.25" customHeight="1" x14ac:dyDescent="0.25">
      <c r="A51" s="1516"/>
      <c r="B51" s="1103"/>
      <c r="C51" s="1104"/>
      <c r="D51" s="1104"/>
      <c r="E51" s="1104"/>
      <c r="F51" s="1104"/>
      <c r="G51" s="1105"/>
      <c r="H51" s="1193"/>
      <c r="I51" s="1017"/>
      <c r="J51" s="1046"/>
      <c r="K51" s="1047"/>
      <c r="L51" s="1739"/>
      <c r="M51" s="1740"/>
      <c r="N51" s="1740"/>
      <c r="O51" s="1740"/>
      <c r="P51" s="1740"/>
      <c r="Q51" s="1727"/>
      <c r="R51" s="1627"/>
      <c r="S51" s="1008"/>
      <c r="T51" s="1258"/>
      <c r="U51" s="1339"/>
      <c r="V51" s="72"/>
      <c r="W51" s="72"/>
      <c r="X51" s="74"/>
      <c r="Y51" s="72"/>
      <c r="Z51" s="77"/>
      <c r="AA51" s="192"/>
      <c r="AB51" s="72">
        <f t="shared" si="0"/>
        <v>0</v>
      </c>
      <c r="AC51" s="68"/>
      <c r="AD51" s="68"/>
      <c r="AE51" s="68"/>
      <c r="AF51" s="68"/>
      <c r="AG51" s="68"/>
    </row>
    <row r="52" spans="1:42" ht="14.25" customHeight="1" x14ac:dyDescent="0.25">
      <c r="A52" s="1516"/>
      <c r="B52" s="1103" t="s">
        <v>518</v>
      </c>
      <c r="C52" s="1104"/>
      <c r="D52" s="1104"/>
      <c r="E52" s="1104"/>
      <c r="F52" s="1104"/>
      <c r="G52" s="1105"/>
      <c r="H52" s="1190" t="s">
        <v>99</v>
      </c>
      <c r="I52" s="1017"/>
      <c r="J52" s="1046"/>
      <c r="K52" s="1047"/>
      <c r="L52" s="1741"/>
      <c r="M52" s="1742"/>
      <c r="N52" s="1742"/>
      <c r="O52" s="1742"/>
      <c r="P52" s="1742"/>
      <c r="Q52" s="1743"/>
      <c r="R52" s="1628"/>
      <c r="S52" s="1270"/>
      <c r="T52" s="1258"/>
      <c r="U52" s="1339"/>
      <c r="V52" s="72"/>
      <c r="W52" s="77">
        <f>IF(H52="ja",X52,0)</f>
        <v>3.3333333333333333E-2</v>
      </c>
      <c r="X52" s="74">
        <f>Z44/6</f>
        <v>3.3333333333333333E-2</v>
      </c>
      <c r="Y52" s="72"/>
      <c r="Z52" s="72"/>
      <c r="AA52" s="68"/>
      <c r="AB52" s="72">
        <f t="shared" si="0"/>
        <v>0</v>
      </c>
      <c r="AC52" s="68"/>
      <c r="AD52" s="68"/>
      <c r="AE52" s="68"/>
      <c r="AF52" s="68"/>
      <c r="AG52" s="68"/>
    </row>
    <row r="53" spans="1:42" ht="14.25" customHeight="1" x14ac:dyDescent="0.25">
      <c r="A53" s="1516"/>
      <c r="B53" s="1103"/>
      <c r="C53" s="1104"/>
      <c r="D53" s="1104"/>
      <c r="E53" s="1104"/>
      <c r="F53" s="1104"/>
      <c r="G53" s="1105"/>
      <c r="H53" s="1191"/>
      <c r="I53" s="1017"/>
      <c r="J53" s="1046"/>
      <c r="K53" s="1047"/>
      <c r="L53" s="1737"/>
      <c r="M53" s="1738"/>
      <c r="N53" s="1738"/>
      <c r="O53" s="1738"/>
      <c r="P53" s="1738"/>
      <c r="Q53" s="1726" t="s">
        <v>100</v>
      </c>
      <c r="R53" s="1764"/>
      <c r="S53" s="1006"/>
      <c r="T53" s="1258"/>
      <c r="U53" s="1339"/>
      <c r="V53" s="72">
        <f t="shared" si="1"/>
        <v>0</v>
      </c>
      <c r="W53" s="72"/>
      <c r="X53" s="74"/>
      <c r="Y53" s="72"/>
      <c r="Z53" s="77"/>
      <c r="AA53" s="192"/>
      <c r="AB53" s="72">
        <f t="shared" si="0"/>
        <v>0</v>
      </c>
      <c r="AC53" s="68"/>
      <c r="AD53" s="68"/>
      <c r="AE53" s="68"/>
      <c r="AF53" s="68"/>
      <c r="AG53" s="68"/>
    </row>
    <row r="54" spans="1:42" ht="14.25" customHeight="1" x14ac:dyDescent="0.25">
      <c r="A54" s="1516"/>
      <c r="B54" s="1103" t="s">
        <v>519</v>
      </c>
      <c r="C54" s="1104"/>
      <c r="D54" s="1104"/>
      <c r="E54" s="1104"/>
      <c r="F54" s="1104"/>
      <c r="G54" s="1105"/>
      <c r="H54" s="1190" t="s">
        <v>99</v>
      </c>
      <c r="I54" s="1017"/>
      <c r="J54" s="1046"/>
      <c r="K54" s="1047"/>
      <c r="L54" s="1739"/>
      <c r="M54" s="1740"/>
      <c r="N54" s="1740"/>
      <c r="O54" s="1740"/>
      <c r="P54" s="1740"/>
      <c r="Q54" s="1727"/>
      <c r="R54" s="1627"/>
      <c r="S54" s="1008"/>
      <c r="T54" s="1258"/>
      <c r="U54" s="1339"/>
      <c r="V54" s="72"/>
      <c r="W54" s="77">
        <f>IF(H54="ja",X54,0)</f>
        <v>3.3333333333333333E-2</v>
      </c>
      <c r="X54" s="74">
        <f>Z44/6</f>
        <v>3.3333333333333333E-2</v>
      </c>
      <c r="Y54" s="72"/>
      <c r="Z54" s="77"/>
      <c r="AA54" s="192"/>
      <c r="AB54" s="72">
        <f t="shared" si="0"/>
        <v>0</v>
      </c>
      <c r="AC54" s="68"/>
      <c r="AD54" s="68"/>
      <c r="AE54" s="68"/>
      <c r="AF54" s="68"/>
      <c r="AG54" s="68"/>
    </row>
    <row r="55" spans="1:42" ht="14.25" customHeight="1" thickBot="1" x14ac:dyDescent="0.3">
      <c r="A55" s="1516"/>
      <c r="B55" s="1103"/>
      <c r="C55" s="1104"/>
      <c r="D55" s="1104"/>
      <c r="E55" s="1104"/>
      <c r="F55" s="1104"/>
      <c r="G55" s="1105"/>
      <c r="H55" s="1191"/>
      <c r="I55" s="1018"/>
      <c r="J55" s="1048"/>
      <c r="K55" s="1049"/>
      <c r="L55" s="1741"/>
      <c r="M55" s="1742"/>
      <c r="N55" s="1742"/>
      <c r="O55" s="1742"/>
      <c r="P55" s="1742"/>
      <c r="Q55" s="1743"/>
      <c r="R55" s="1628"/>
      <c r="S55" s="1270"/>
      <c r="T55" s="1258"/>
      <c r="U55" s="1339"/>
      <c r="V55" s="72"/>
      <c r="W55" s="74"/>
      <c r="X55" s="74"/>
      <c r="Y55" s="72"/>
      <c r="Z55" s="77"/>
      <c r="AA55" s="192"/>
      <c r="AB55" s="72">
        <f t="shared" si="0"/>
        <v>0</v>
      </c>
      <c r="AC55" s="68"/>
      <c r="AD55" s="68"/>
      <c r="AE55" s="68"/>
      <c r="AF55" s="68"/>
      <c r="AG55" s="68"/>
    </row>
    <row r="56" spans="1:42" ht="14.25" customHeight="1" x14ac:dyDescent="0.25">
      <c r="A56" s="1516"/>
      <c r="B56" s="1035" t="s">
        <v>154</v>
      </c>
      <c r="C56" s="1036"/>
      <c r="D56" s="1036"/>
      <c r="E56" s="1036"/>
      <c r="F56" s="1036"/>
      <c r="G56" s="1036"/>
      <c r="H56" s="1161"/>
      <c r="I56" s="1035">
        <f>IF(J17="Kostenschätzung liegt noch nicht vor",I33,J17)</f>
        <v>0</v>
      </c>
      <c r="J56" s="1036"/>
      <c r="K56" s="1037"/>
      <c r="L56" s="1355">
        <f>SUM(R44:S55)</f>
        <v>0</v>
      </c>
      <c r="M56" s="1356"/>
      <c r="N56" s="1356"/>
      <c r="O56" s="1356"/>
      <c r="P56" s="1356"/>
      <c r="Q56" s="1795"/>
      <c r="R56" s="1356"/>
      <c r="S56" s="1798"/>
      <c r="T56" s="1260"/>
      <c r="U56" s="1257"/>
      <c r="V56" s="72"/>
      <c r="W56" s="74">
        <f>SUM(W44:W55)</f>
        <v>0.19999999999999998</v>
      </c>
      <c r="X56" s="75"/>
      <c r="Y56" s="75"/>
      <c r="Z56" s="72"/>
      <c r="AA56" s="68"/>
      <c r="AB56" s="72">
        <f t="shared" si="0"/>
        <v>0</v>
      </c>
      <c r="AC56" s="68"/>
      <c r="AD56" s="68"/>
      <c r="AE56" s="68"/>
      <c r="AF56" s="68"/>
      <c r="AG56" s="68"/>
    </row>
    <row r="57" spans="1:42" ht="14.25" customHeight="1" x14ac:dyDescent="0.25">
      <c r="A57" s="1516"/>
      <c r="B57" s="1038"/>
      <c r="C57" s="1039"/>
      <c r="D57" s="1039"/>
      <c r="E57" s="1039"/>
      <c r="F57" s="1039"/>
      <c r="G57" s="1039"/>
      <c r="H57" s="1162"/>
      <c r="I57" s="1038"/>
      <c r="J57" s="1039"/>
      <c r="K57" s="1040"/>
      <c r="L57" s="1357"/>
      <c r="M57" s="1358"/>
      <c r="N57" s="1358"/>
      <c r="O57" s="1358"/>
      <c r="P57" s="1358"/>
      <c r="Q57" s="1796"/>
      <c r="R57" s="1358"/>
      <c r="S57" s="1799"/>
      <c r="T57" s="1261"/>
      <c r="U57" s="1258"/>
      <c r="V57" s="72"/>
      <c r="W57" s="76"/>
      <c r="X57" s="74"/>
      <c r="Y57" s="72"/>
      <c r="Z57" s="72"/>
      <c r="AA57" s="68"/>
      <c r="AB57" s="72">
        <f t="shared" si="0"/>
        <v>0</v>
      </c>
      <c r="AC57" s="68"/>
      <c r="AD57" s="68"/>
      <c r="AE57" s="68"/>
      <c r="AF57" s="68"/>
      <c r="AG57" s="68"/>
    </row>
    <row r="58" spans="1:42" ht="14.25" customHeight="1" thickBot="1" x14ac:dyDescent="0.3">
      <c r="A58" s="1516"/>
      <c r="B58" s="1041"/>
      <c r="C58" s="1042"/>
      <c r="D58" s="1042"/>
      <c r="E58" s="1042"/>
      <c r="F58" s="1042"/>
      <c r="G58" s="1042"/>
      <c r="H58" s="1163"/>
      <c r="I58" s="1041"/>
      <c r="J58" s="1042"/>
      <c r="K58" s="1043"/>
      <c r="L58" s="1359"/>
      <c r="M58" s="1360"/>
      <c r="N58" s="1360"/>
      <c r="O58" s="1360"/>
      <c r="P58" s="1360"/>
      <c r="Q58" s="1797"/>
      <c r="R58" s="1360"/>
      <c r="S58" s="1800"/>
      <c r="T58" s="1262"/>
      <c r="U58" s="1259"/>
      <c r="V58" s="72"/>
      <c r="W58" s="76"/>
      <c r="X58" s="74"/>
      <c r="Y58" s="72"/>
      <c r="Z58" s="72"/>
      <c r="AA58" s="68"/>
      <c r="AB58" s="72">
        <f t="shared" si="0"/>
        <v>0</v>
      </c>
      <c r="AC58" s="68"/>
      <c r="AD58" s="68"/>
      <c r="AE58" s="68"/>
      <c r="AF58" s="68"/>
      <c r="AG58" s="68"/>
    </row>
    <row r="59" spans="1:42" ht="14.25" customHeight="1" thickBot="1" x14ac:dyDescent="0.3">
      <c r="A59" s="1516"/>
      <c r="B59" s="1082" t="s">
        <v>186</v>
      </c>
      <c r="C59" s="1083"/>
      <c r="D59" s="1083"/>
      <c r="E59" s="1083"/>
      <c r="F59" s="1083"/>
      <c r="G59" s="1084"/>
      <c r="H59" s="144"/>
      <c r="I59" s="1361"/>
      <c r="J59" s="1362"/>
      <c r="K59" s="1576"/>
      <c r="L59" s="1361"/>
      <c r="M59" s="1362"/>
      <c r="N59" s="1362"/>
      <c r="O59" s="1362"/>
      <c r="P59" s="1362"/>
      <c r="Q59" s="212"/>
      <c r="R59" s="1181"/>
      <c r="S59" s="1272"/>
      <c r="U59" s="335" t="s">
        <v>157</v>
      </c>
      <c r="V59" s="72"/>
      <c r="W59" s="74"/>
      <c r="X59" s="150"/>
      <c r="Y59" s="150"/>
      <c r="Z59" s="150"/>
      <c r="AA59" s="68"/>
      <c r="AB59" s="72">
        <f t="shared" si="0"/>
        <v>0</v>
      </c>
      <c r="AC59" s="68"/>
      <c r="AD59" s="68"/>
      <c r="AE59" s="68"/>
      <c r="AF59" s="68"/>
      <c r="AG59" s="68"/>
    </row>
    <row r="60" spans="1:42" ht="14.25" customHeight="1" x14ac:dyDescent="0.25">
      <c r="A60" s="1516"/>
      <c r="B60" s="1497" t="s">
        <v>520</v>
      </c>
      <c r="C60" s="1498"/>
      <c r="D60" s="1498"/>
      <c r="E60" s="1498"/>
      <c r="F60" s="1498"/>
      <c r="G60" s="1499"/>
      <c r="H60" s="1194" t="s">
        <v>99</v>
      </c>
      <c r="I60" s="1016">
        <f>W73</f>
        <v>0.4</v>
      </c>
      <c r="J60" s="1044">
        <f>I60*I56</f>
        <v>0</v>
      </c>
      <c r="K60" s="1045"/>
      <c r="L60" s="1749" t="s">
        <v>521</v>
      </c>
      <c r="M60" s="1750"/>
      <c r="N60" s="1750"/>
      <c r="O60" s="1750"/>
      <c r="P60" s="1750"/>
      <c r="Q60" s="1727" t="s">
        <v>99</v>
      </c>
      <c r="R60" s="1627"/>
      <c r="S60" s="1008"/>
      <c r="T60" s="1257" t="str">
        <f>IFERROR(IF((VLOOKUP(U60,Überblick!$M$125:$N$133,2))="ja","ja","nein"),"")</f>
        <v/>
      </c>
      <c r="U60" s="1338"/>
      <c r="V60" s="72">
        <f t="shared" si="1"/>
        <v>1</v>
      </c>
      <c r="W60" s="77">
        <f>IF(H60="ja",X60,0)</f>
        <v>0.1</v>
      </c>
      <c r="X60" s="74">
        <f>Z60/4</f>
        <v>0.1</v>
      </c>
      <c r="Y60" s="72"/>
      <c r="Z60" s="348">
        <v>0.4</v>
      </c>
      <c r="AA60" s="68"/>
      <c r="AB60" s="72">
        <f t="shared" si="0"/>
        <v>1</v>
      </c>
      <c r="AC60" s="68"/>
      <c r="AD60" s="68"/>
      <c r="AE60" s="68"/>
      <c r="AF60" s="68"/>
      <c r="AG60" s="68"/>
      <c r="AI60" s="192"/>
      <c r="AJ60" s="192"/>
      <c r="AK60" s="68"/>
      <c r="AL60" s="68"/>
      <c r="AM60" s="68"/>
      <c r="AN60" s="68"/>
      <c r="AO60" s="68"/>
      <c r="AP60" s="68"/>
    </row>
    <row r="61" spans="1:42" ht="14.25" customHeight="1" x14ac:dyDescent="0.25">
      <c r="A61" s="1516"/>
      <c r="B61" s="1493"/>
      <c r="C61" s="1317"/>
      <c r="D61" s="1317"/>
      <c r="E61" s="1317"/>
      <c r="F61" s="1317"/>
      <c r="G61" s="1494"/>
      <c r="H61" s="982"/>
      <c r="I61" s="1017"/>
      <c r="J61" s="1046"/>
      <c r="K61" s="1047"/>
      <c r="L61" s="1749"/>
      <c r="M61" s="1750"/>
      <c r="N61" s="1750"/>
      <c r="O61" s="1750"/>
      <c r="P61" s="1750"/>
      <c r="Q61" s="1727"/>
      <c r="R61" s="1627"/>
      <c r="S61" s="1008"/>
      <c r="T61" s="1258"/>
      <c r="U61" s="1339"/>
      <c r="V61" s="72"/>
      <c r="W61" s="72"/>
      <c r="X61" s="74"/>
      <c r="Y61" s="72"/>
      <c r="Z61" s="72"/>
      <c r="AA61" s="68"/>
      <c r="AB61" s="72">
        <f t="shared" si="0"/>
        <v>0</v>
      </c>
      <c r="AC61" s="68"/>
      <c r="AD61" s="68"/>
      <c r="AE61" s="68"/>
      <c r="AF61" s="68"/>
      <c r="AG61" s="68"/>
      <c r="AI61" s="68"/>
      <c r="AJ61" s="68"/>
      <c r="AK61" s="68"/>
      <c r="AL61" s="68"/>
      <c r="AM61" s="68"/>
      <c r="AN61" s="68"/>
      <c r="AO61" s="68"/>
      <c r="AP61" s="68"/>
    </row>
    <row r="62" spans="1:42" ht="15" customHeight="1" x14ac:dyDescent="0.25">
      <c r="A62" s="1516"/>
      <c r="B62" s="1493"/>
      <c r="C62" s="1317"/>
      <c r="D62" s="1317"/>
      <c r="E62" s="1317"/>
      <c r="F62" s="1317"/>
      <c r="G62" s="1494"/>
      <c r="H62" s="983"/>
      <c r="I62" s="1017"/>
      <c r="J62" s="1046"/>
      <c r="K62" s="1047"/>
      <c r="L62" s="1751"/>
      <c r="M62" s="1752"/>
      <c r="N62" s="1752"/>
      <c r="O62" s="1752"/>
      <c r="P62" s="1752"/>
      <c r="Q62" s="1743"/>
      <c r="R62" s="1628"/>
      <c r="S62" s="1270"/>
      <c r="T62" s="1258"/>
      <c r="U62" s="1339"/>
      <c r="V62" s="72"/>
      <c r="W62" s="72"/>
      <c r="X62" s="74"/>
      <c r="Y62" s="72"/>
      <c r="Z62" s="72"/>
      <c r="AA62" s="68"/>
      <c r="AB62" s="72">
        <f t="shared" si="0"/>
        <v>0</v>
      </c>
      <c r="AC62" s="68"/>
      <c r="AD62" s="68"/>
      <c r="AE62" s="68"/>
      <c r="AF62" s="68"/>
      <c r="AG62" s="68"/>
      <c r="AI62" s="68"/>
      <c r="AJ62" s="68"/>
      <c r="AK62" s="68"/>
      <c r="AL62" s="68"/>
      <c r="AM62" s="68"/>
      <c r="AN62" s="68"/>
      <c r="AO62" s="68"/>
      <c r="AP62" s="68"/>
    </row>
    <row r="63" spans="1:42" ht="14.25" customHeight="1" x14ac:dyDescent="0.25">
      <c r="A63" s="1516"/>
      <c r="B63" s="1487" t="s">
        <v>522</v>
      </c>
      <c r="C63" s="1488"/>
      <c r="D63" s="1488"/>
      <c r="E63" s="1488"/>
      <c r="F63" s="1488"/>
      <c r="G63" s="1489"/>
      <c r="H63" s="981" t="s">
        <v>99</v>
      </c>
      <c r="I63" s="1017"/>
      <c r="J63" s="1046"/>
      <c r="K63" s="1047"/>
      <c r="L63" s="1737"/>
      <c r="M63" s="1738"/>
      <c r="N63" s="1738"/>
      <c r="O63" s="1738"/>
      <c r="P63" s="1738"/>
      <c r="Q63" s="1726" t="s">
        <v>100</v>
      </c>
      <c r="R63" s="1764"/>
      <c r="S63" s="1006"/>
      <c r="T63" s="1258"/>
      <c r="U63" s="1339"/>
      <c r="V63" s="72">
        <f t="shared" si="1"/>
        <v>0</v>
      </c>
      <c r="W63" s="77">
        <f>IF(H63="ja",X63,0)</f>
        <v>0.1</v>
      </c>
      <c r="X63" s="74">
        <f>Z60/4</f>
        <v>0.1</v>
      </c>
      <c r="Y63" s="72"/>
      <c r="Z63" s="72"/>
      <c r="AA63" s="68"/>
      <c r="AB63" s="72">
        <f t="shared" si="0"/>
        <v>0</v>
      </c>
      <c r="AC63" s="68"/>
      <c r="AD63" s="68"/>
      <c r="AE63" s="68"/>
      <c r="AF63" s="68"/>
      <c r="AG63" s="68"/>
      <c r="AI63" s="68"/>
      <c r="AJ63" s="68"/>
      <c r="AK63" s="68"/>
      <c r="AL63" s="68"/>
      <c r="AM63" s="68"/>
      <c r="AN63" s="68"/>
      <c r="AO63" s="68"/>
      <c r="AP63" s="68"/>
    </row>
    <row r="64" spans="1:42" ht="14.25" customHeight="1" x14ac:dyDescent="0.25">
      <c r="A64" s="1516"/>
      <c r="B64" s="1493"/>
      <c r="C64" s="1317"/>
      <c r="D64" s="1317"/>
      <c r="E64" s="1317"/>
      <c r="F64" s="1317"/>
      <c r="G64" s="1494"/>
      <c r="H64" s="982"/>
      <c r="I64" s="1017"/>
      <c r="J64" s="1046"/>
      <c r="K64" s="1047"/>
      <c r="L64" s="1739"/>
      <c r="M64" s="1740"/>
      <c r="N64" s="1740"/>
      <c r="O64" s="1740"/>
      <c r="P64" s="1740"/>
      <c r="Q64" s="1727"/>
      <c r="R64" s="1627"/>
      <c r="S64" s="1008"/>
      <c r="T64" s="1258"/>
      <c r="U64" s="1339"/>
      <c r="V64" s="72"/>
      <c r="W64" s="77"/>
      <c r="X64" s="74"/>
      <c r="Y64" s="72"/>
      <c r="Z64" s="72"/>
      <c r="AA64" s="68"/>
      <c r="AB64" s="72">
        <f t="shared" si="0"/>
        <v>0</v>
      </c>
      <c r="AC64" s="68"/>
      <c r="AD64" s="68"/>
      <c r="AE64" s="68"/>
      <c r="AF64" s="68"/>
      <c r="AG64" s="68"/>
      <c r="AI64" s="192"/>
      <c r="AJ64" s="192"/>
      <c r="AK64" s="68"/>
      <c r="AL64" s="68"/>
      <c r="AM64" s="68"/>
      <c r="AN64" s="68"/>
      <c r="AO64" s="68"/>
      <c r="AP64" s="68"/>
    </row>
    <row r="65" spans="1:42" ht="14.25" customHeight="1" x14ac:dyDescent="0.25">
      <c r="A65" s="1516"/>
      <c r="B65" s="1493"/>
      <c r="C65" s="1317"/>
      <c r="D65" s="1317"/>
      <c r="E65" s="1317"/>
      <c r="F65" s="1317"/>
      <c r="G65" s="1494"/>
      <c r="H65" s="982"/>
      <c r="I65" s="1017"/>
      <c r="J65" s="1046"/>
      <c r="K65" s="1047"/>
      <c r="L65" s="1741"/>
      <c r="M65" s="1742"/>
      <c r="N65" s="1742"/>
      <c r="O65" s="1742"/>
      <c r="P65" s="1742"/>
      <c r="Q65" s="1743"/>
      <c r="R65" s="1628"/>
      <c r="S65" s="1270"/>
      <c r="T65" s="1258"/>
      <c r="U65" s="1339"/>
      <c r="V65" s="72"/>
      <c r="W65" s="77"/>
      <c r="X65" s="74"/>
      <c r="Y65" s="72"/>
      <c r="Z65" s="72"/>
      <c r="AA65" s="68"/>
      <c r="AB65" s="72">
        <f t="shared" si="0"/>
        <v>0</v>
      </c>
      <c r="AC65" s="68"/>
      <c r="AD65" s="68"/>
      <c r="AE65" s="68"/>
      <c r="AF65" s="68"/>
      <c r="AG65" s="68"/>
      <c r="AI65" s="192"/>
      <c r="AJ65" s="192"/>
      <c r="AK65" s="68"/>
      <c r="AL65" s="68"/>
      <c r="AM65" s="68"/>
      <c r="AN65" s="68"/>
      <c r="AO65" s="68"/>
      <c r="AP65" s="68"/>
    </row>
    <row r="66" spans="1:42" ht="14.25" customHeight="1" x14ac:dyDescent="0.25">
      <c r="A66" s="1516"/>
      <c r="B66" s="1490"/>
      <c r="C66" s="1491"/>
      <c r="D66" s="1491"/>
      <c r="E66" s="1491"/>
      <c r="F66" s="1491"/>
      <c r="G66" s="1492"/>
      <c r="H66" s="983"/>
      <c r="I66" s="1017"/>
      <c r="J66" s="1046"/>
      <c r="K66" s="1047"/>
      <c r="L66" s="1737"/>
      <c r="M66" s="1738"/>
      <c r="N66" s="1738"/>
      <c r="O66" s="1738"/>
      <c r="P66" s="1738"/>
      <c r="Q66" s="1726" t="s">
        <v>100</v>
      </c>
      <c r="R66" s="1764"/>
      <c r="S66" s="1006"/>
      <c r="T66" s="1258"/>
      <c r="U66" s="1339"/>
      <c r="V66" s="72">
        <f t="shared" si="1"/>
        <v>0</v>
      </c>
      <c r="W66" s="72"/>
      <c r="X66" s="74"/>
      <c r="Y66" s="72"/>
      <c r="Z66" s="72"/>
      <c r="AA66" s="68"/>
      <c r="AB66" s="72">
        <f t="shared" si="0"/>
        <v>0</v>
      </c>
      <c r="AC66" s="68"/>
      <c r="AD66" s="68"/>
      <c r="AE66" s="68"/>
      <c r="AF66" s="68"/>
      <c r="AG66" s="68"/>
      <c r="AI66" s="192"/>
      <c r="AJ66" s="192"/>
      <c r="AK66" s="68"/>
      <c r="AL66" s="68"/>
      <c r="AM66" s="68"/>
      <c r="AN66" s="68"/>
      <c r="AO66" s="68"/>
      <c r="AP66" s="68"/>
    </row>
    <row r="67" spans="1:42" ht="14.25" customHeight="1" x14ac:dyDescent="0.25">
      <c r="A67" s="1516"/>
      <c r="B67" s="1784" t="s">
        <v>523</v>
      </c>
      <c r="C67" s="1785"/>
      <c r="D67" s="1785"/>
      <c r="E67" s="1785"/>
      <c r="F67" s="1785"/>
      <c r="G67" s="1786"/>
      <c r="H67" s="981" t="s">
        <v>99</v>
      </c>
      <c r="I67" s="1017"/>
      <c r="J67" s="1046"/>
      <c r="K67" s="1047"/>
      <c r="L67" s="1739"/>
      <c r="M67" s="1740"/>
      <c r="N67" s="1740"/>
      <c r="O67" s="1740"/>
      <c r="P67" s="1740"/>
      <c r="Q67" s="1727"/>
      <c r="R67" s="1627"/>
      <c r="S67" s="1008"/>
      <c r="T67" s="1258"/>
      <c r="U67" s="1339"/>
      <c r="V67" s="72"/>
      <c r="W67" s="77">
        <f>IF(H67="ja",X67,0)</f>
        <v>0.1</v>
      </c>
      <c r="X67" s="74">
        <f>Z60/4</f>
        <v>0.1</v>
      </c>
      <c r="Y67" s="72"/>
      <c r="Z67" s="72"/>
      <c r="AA67" s="68"/>
      <c r="AB67" s="72">
        <f t="shared" si="0"/>
        <v>0</v>
      </c>
      <c r="AC67" s="68"/>
      <c r="AD67" s="68"/>
      <c r="AE67" s="68"/>
      <c r="AF67" s="68"/>
      <c r="AG67" s="68"/>
      <c r="AI67" s="192"/>
      <c r="AJ67" s="192"/>
      <c r="AK67" s="68"/>
      <c r="AL67" s="68"/>
      <c r="AM67" s="68"/>
      <c r="AN67" s="68"/>
      <c r="AO67" s="68"/>
      <c r="AP67" s="68"/>
    </row>
    <row r="68" spans="1:42" ht="14.25" customHeight="1" x14ac:dyDescent="0.25">
      <c r="A68" s="1516"/>
      <c r="B68" s="1784"/>
      <c r="C68" s="1785"/>
      <c r="D68" s="1785"/>
      <c r="E68" s="1785"/>
      <c r="F68" s="1785"/>
      <c r="G68" s="1786"/>
      <c r="H68" s="982"/>
      <c r="I68" s="1017"/>
      <c r="J68" s="1046"/>
      <c r="K68" s="1047"/>
      <c r="L68" s="1741"/>
      <c r="M68" s="1742"/>
      <c r="N68" s="1742"/>
      <c r="O68" s="1742"/>
      <c r="P68" s="1742"/>
      <c r="Q68" s="1743"/>
      <c r="R68" s="1628"/>
      <c r="S68" s="1270"/>
      <c r="T68" s="1258"/>
      <c r="U68" s="1339"/>
      <c r="V68" s="72"/>
      <c r="W68" s="72"/>
      <c r="X68" s="74"/>
      <c r="Y68" s="72"/>
      <c r="Z68" s="72"/>
      <c r="AA68" s="68"/>
      <c r="AB68" s="72">
        <f t="shared" si="0"/>
        <v>0</v>
      </c>
      <c r="AC68" s="68"/>
      <c r="AD68" s="68"/>
      <c r="AE68" s="68"/>
      <c r="AF68" s="68"/>
      <c r="AG68" s="68"/>
      <c r="AI68" s="192"/>
      <c r="AJ68" s="192"/>
      <c r="AK68" s="68"/>
      <c r="AL68" s="68"/>
      <c r="AM68" s="68"/>
      <c r="AN68" s="68"/>
      <c r="AO68" s="68"/>
      <c r="AP68" s="68"/>
    </row>
    <row r="69" spans="1:42" ht="14.25" customHeight="1" x14ac:dyDescent="0.25">
      <c r="A69" s="1516"/>
      <c r="B69" s="1787"/>
      <c r="C69" s="1788"/>
      <c r="D69" s="1788"/>
      <c r="E69" s="1788"/>
      <c r="F69" s="1788"/>
      <c r="G69" s="1789"/>
      <c r="H69" s="983"/>
      <c r="I69" s="1017"/>
      <c r="J69" s="1046"/>
      <c r="K69" s="1047"/>
      <c r="L69" s="1737"/>
      <c r="M69" s="1738"/>
      <c r="N69" s="1738"/>
      <c r="O69" s="1738"/>
      <c r="P69" s="1738"/>
      <c r="Q69" s="1726" t="s">
        <v>100</v>
      </c>
      <c r="R69" s="1764"/>
      <c r="S69" s="1006"/>
      <c r="T69" s="1258"/>
      <c r="U69" s="1339"/>
      <c r="V69" s="72">
        <f t="shared" si="1"/>
        <v>0</v>
      </c>
      <c r="W69" s="72"/>
      <c r="X69" s="74"/>
      <c r="Y69" s="72"/>
      <c r="Z69" s="72"/>
      <c r="AA69" s="68"/>
      <c r="AB69" s="72">
        <f t="shared" si="0"/>
        <v>0</v>
      </c>
      <c r="AC69" s="68"/>
      <c r="AD69" s="68"/>
      <c r="AE69" s="68"/>
      <c r="AF69" s="68"/>
      <c r="AG69" s="68"/>
      <c r="AI69" s="192"/>
      <c r="AJ69" s="192"/>
      <c r="AK69" s="68"/>
      <c r="AL69" s="68"/>
      <c r="AM69" s="68"/>
      <c r="AN69" s="68"/>
      <c r="AO69" s="68"/>
      <c r="AP69" s="68"/>
    </row>
    <row r="70" spans="1:42" ht="14.25" customHeight="1" x14ac:dyDescent="0.25">
      <c r="A70" s="1516"/>
      <c r="B70" s="1077" t="s">
        <v>524</v>
      </c>
      <c r="C70" s="1078"/>
      <c r="D70" s="1078"/>
      <c r="E70" s="1078"/>
      <c r="F70" s="1078"/>
      <c r="G70" s="1078"/>
      <c r="H70" s="981" t="s">
        <v>99</v>
      </c>
      <c r="I70" s="1017"/>
      <c r="J70" s="1046"/>
      <c r="K70" s="1047"/>
      <c r="L70" s="1739"/>
      <c r="M70" s="1740"/>
      <c r="N70" s="1740"/>
      <c r="O70" s="1740"/>
      <c r="P70" s="1740"/>
      <c r="Q70" s="1727"/>
      <c r="R70" s="1627"/>
      <c r="S70" s="1008"/>
      <c r="T70" s="1258"/>
      <c r="U70" s="1339"/>
      <c r="V70" s="72"/>
      <c r="W70" s="77">
        <f>IF(H70="ja",X70,0)</f>
        <v>0.1</v>
      </c>
      <c r="X70" s="74">
        <f>Z60/4</f>
        <v>0.1</v>
      </c>
      <c r="Y70" s="72"/>
      <c r="Z70" s="72"/>
      <c r="AA70" s="68"/>
      <c r="AB70" s="72">
        <f t="shared" si="0"/>
        <v>0</v>
      </c>
      <c r="AC70" s="68"/>
      <c r="AD70" s="68"/>
      <c r="AE70" s="68"/>
      <c r="AF70" s="68"/>
      <c r="AG70" s="68"/>
      <c r="AI70" s="192"/>
      <c r="AJ70" s="192"/>
      <c r="AK70" s="68"/>
      <c r="AL70" s="68"/>
      <c r="AM70" s="68"/>
      <c r="AN70" s="68"/>
      <c r="AO70" s="68"/>
      <c r="AP70" s="68"/>
    </row>
    <row r="71" spans="1:42" ht="14.25" customHeight="1" x14ac:dyDescent="0.25">
      <c r="A71" s="1516"/>
      <c r="B71" s="1072"/>
      <c r="C71" s="913"/>
      <c r="D71" s="913"/>
      <c r="E71" s="913"/>
      <c r="F71" s="913"/>
      <c r="G71" s="913"/>
      <c r="H71" s="982"/>
      <c r="I71" s="1017"/>
      <c r="J71" s="1046"/>
      <c r="K71" s="1047"/>
      <c r="L71" s="1741"/>
      <c r="M71" s="1742"/>
      <c r="N71" s="1742"/>
      <c r="O71" s="1742"/>
      <c r="P71" s="1742"/>
      <c r="Q71" s="1743"/>
      <c r="R71" s="1628"/>
      <c r="S71" s="1270"/>
      <c r="T71" s="1258"/>
      <c r="U71" s="1339"/>
      <c r="V71" s="72"/>
      <c r="W71" s="72"/>
      <c r="X71" s="74"/>
      <c r="Y71" s="72"/>
      <c r="Z71" s="72"/>
      <c r="AA71" s="68"/>
      <c r="AB71" s="72">
        <f t="shared" si="0"/>
        <v>0</v>
      </c>
      <c r="AC71" s="68"/>
      <c r="AD71" s="68"/>
      <c r="AE71" s="68"/>
      <c r="AF71" s="68"/>
      <c r="AG71" s="68"/>
      <c r="AI71" s="192"/>
      <c r="AJ71" s="192"/>
      <c r="AK71" s="68"/>
      <c r="AL71" s="68"/>
      <c r="AM71" s="68"/>
      <c r="AN71" s="68"/>
      <c r="AO71" s="68"/>
      <c r="AP71" s="68"/>
    </row>
    <row r="72" spans="1:42" ht="14.25" customHeight="1" thickBot="1" x14ac:dyDescent="0.3">
      <c r="A72" s="1516"/>
      <c r="B72" s="1074"/>
      <c r="C72" s="1075"/>
      <c r="D72" s="1075"/>
      <c r="E72" s="1075"/>
      <c r="F72" s="1075"/>
      <c r="G72" s="1075"/>
      <c r="H72" s="983"/>
      <c r="I72" s="1017"/>
      <c r="J72" s="1046"/>
      <c r="K72" s="1047"/>
      <c r="L72" s="1765"/>
      <c r="M72" s="1766"/>
      <c r="N72" s="1766"/>
      <c r="O72" s="1766"/>
      <c r="P72" s="1766"/>
      <c r="Q72" s="353" t="s">
        <v>100</v>
      </c>
      <c r="R72" s="1767"/>
      <c r="S72" s="1624"/>
      <c r="T72" s="1258"/>
      <c r="U72" s="1339"/>
      <c r="V72" s="72">
        <f t="shared" si="1"/>
        <v>0</v>
      </c>
      <c r="W72" s="72"/>
      <c r="X72" s="74"/>
      <c r="Y72" s="72"/>
      <c r="Z72" s="72"/>
      <c r="AA72" s="68"/>
      <c r="AB72" s="72">
        <f t="shared" si="0"/>
        <v>0</v>
      </c>
      <c r="AC72" s="68"/>
      <c r="AD72" s="68"/>
      <c r="AE72" s="68"/>
      <c r="AF72" s="68"/>
      <c r="AG72" s="68"/>
      <c r="AI72" s="192"/>
      <c r="AJ72" s="192"/>
      <c r="AK72" s="68"/>
      <c r="AL72" s="68"/>
      <c r="AM72" s="68"/>
      <c r="AN72" s="68"/>
      <c r="AO72" s="68"/>
      <c r="AP72" s="68"/>
    </row>
    <row r="73" spans="1:42" ht="14.25" customHeight="1" x14ac:dyDescent="0.25">
      <c r="A73" s="1516"/>
      <c r="B73" s="1035" t="s">
        <v>154</v>
      </c>
      <c r="C73" s="1036"/>
      <c r="D73" s="1036"/>
      <c r="E73" s="1036"/>
      <c r="F73" s="1036"/>
      <c r="G73" s="1036"/>
      <c r="H73" s="1161"/>
      <c r="I73" s="1035">
        <f>IF(N17="Kostenberechnung liegt noch nicht vor",I56,N17)</f>
        <v>0</v>
      </c>
      <c r="J73" s="1036"/>
      <c r="K73" s="1037"/>
      <c r="L73" s="1355">
        <f>SUM(R60:S72)</f>
        <v>0</v>
      </c>
      <c r="M73" s="1356"/>
      <c r="N73" s="1356"/>
      <c r="O73" s="1356"/>
      <c r="P73" s="1356"/>
      <c r="Q73" s="1795"/>
      <c r="R73" s="1356"/>
      <c r="S73" s="1798"/>
      <c r="T73" s="1260"/>
      <c r="U73" s="1257"/>
      <c r="V73" s="72"/>
      <c r="W73" s="77">
        <f>SUM(W60:W72)</f>
        <v>0.4</v>
      </c>
      <c r="X73" s="75"/>
      <c r="Y73" s="75"/>
      <c r="Z73" s="72"/>
      <c r="AA73" s="68"/>
      <c r="AB73" s="72">
        <f t="shared" si="0"/>
        <v>0</v>
      </c>
      <c r="AC73" s="68"/>
      <c r="AD73" s="68"/>
      <c r="AE73" s="68"/>
      <c r="AF73" s="68"/>
      <c r="AG73" s="68"/>
    </row>
    <row r="74" spans="1:42" ht="14.25" customHeight="1" x14ac:dyDescent="0.25">
      <c r="A74" s="1516"/>
      <c r="B74" s="1038"/>
      <c r="C74" s="1039"/>
      <c r="D74" s="1039"/>
      <c r="E74" s="1039"/>
      <c r="F74" s="1039"/>
      <c r="G74" s="1039"/>
      <c r="H74" s="1162"/>
      <c r="I74" s="1038"/>
      <c r="J74" s="1039"/>
      <c r="K74" s="1040"/>
      <c r="L74" s="1357"/>
      <c r="M74" s="1358"/>
      <c r="N74" s="1358"/>
      <c r="O74" s="1358"/>
      <c r="P74" s="1358"/>
      <c r="Q74" s="1796"/>
      <c r="R74" s="1358"/>
      <c r="S74" s="1799"/>
      <c r="T74" s="1261"/>
      <c r="U74" s="1258"/>
      <c r="V74" s="72"/>
      <c r="W74" s="76"/>
      <c r="X74" s="74"/>
      <c r="Y74" s="72"/>
      <c r="Z74" s="72"/>
      <c r="AA74" s="68"/>
      <c r="AB74" s="72">
        <f t="shared" si="0"/>
        <v>0</v>
      </c>
      <c r="AC74" s="68"/>
      <c r="AD74" s="68"/>
      <c r="AE74" s="68"/>
      <c r="AF74" s="68"/>
      <c r="AG74" s="68"/>
      <c r="AN74" s="68"/>
    </row>
    <row r="75" spans="1:42" ht="14.25" customHeight="1" thickBot="1" x14ac:dyDescent="0.3">
      <c r="A75" s="1516"/>
      <c r="B75" s="1041"/>
      <c r="C75" s="1042"/>
      <c r="D75" s="1042"/>
      <c r="E75" s="1042"/>
      <c r="F75" s="1042"/>
      <c r="G75" s="1042"/>
      <c r="H75" s="1163"/>
      <c r="I75" s="1041"/>
      <c r="J75" s="1042"/>
      <c r="K75" s="1043"/>
      <c r="L75" s="1359"/>
      <c r="M75" s="1360"/>
      <c r="N75" s="1360"/>
      <c r="O75" s="1360"/>
      <c r="P75" s="1360"/>
      <c r="Q75" s="1797"/>
      <c r="R75" s="1360"/>
      <c r="S75" s="1800"/>
      <c r="T75" s="1262"/>
      <c r="U75" s="1259"/>
      <c r="V75" s="72"/>
      <c r="W75" s="76"/>
      <c r="X75" s="74"/>
      <c r="Y75" s="72"/>
      <c r="Z75" s="72"/>
      <c r="AA75" s="68"/>
      <c r="AB75" s="72">
        <f t="shared" si="0"/>
        <v>0</v>
      </c>
      <c r="AC75" s="68"/>
      <c r="AD75" s="68"/>
      <c r="AE75" s="68"/>
      <c r="AF75" s="68"/>
      <c r="AG75" s="68"/>
      <c r="AN75" s="68"/>
    </row>
    <row r="76" spans="1:42" ht="14.25" customHeight="1" thickBot="1" x14ac:dyDescent="0.3">
      <c r="A76" s="1516"/>
      <c r="B76" s="1082" t="s">
        <v>198</v>
      </c>
      <c r="C76" s="1083"/>
      <c r="D76" s="1083"/>
      <c r="E76" s="1083"/>
      <c r="F76" s="1083"/>
      <c r="G76" s="1084"/>
      <c r="H76" s="144"/>
      <c r="I76" s="1361"/>
      <c r="J76" s="1362"/>
      <c r="K76" s="1576"/>
      <c r="L76" s="1361"/>
      <c r="M76" s="1362"/>
      <c r="N76" s="1362"/>
      <c r="O76" s="1362"/>
      <c r="P76" s="1362"/>
      <c r="Q76" s="212"/>
      <c r="R76" s="1181"/>
      <c r="S76" s="1272"/>
      <c r="T76" s="524"/>
      <c r="U76" s="335" t="s">
        <v>157</v>
      </c>
      <c r="V76" s="72"/>
      <c r="W76" s="77"/>
      <c r="X76" s="74"/>
      <c r="Y76" s="150"/>
      <c r="Z76" s="150"/>
      <c r="AA76" s="68"/>
      <c r="AB76" s="72">
        <f t="shared" si="0"/>
        <v>0</v>
      </c>
      <c r="AC76" s="68"/>
      <c r="AD76" s="68"/>
      <c r="AE76" s="68"/>
      <c r="AF76" s="68"/>
      <c r="AG76" s="68"/>
      <c r="AN76" s="68"/>
    </row>
    <row r="77" spans="1:42" ht="14.25" customHeight="1" x14ac:dyDescent="0.25">
      <c r="A77" s="1516"/>
      <c r="B77" s="1497" t="s">
        <v>525</v>
      </c>
      <c r="C77" s="1498"/>
      <c r="D77" s="1498"/>
      <c r="E77" s="1498"/>
      <c r="F77" s="1498"/>
      <c r="G77" s="1499"/>
      <c r="H77" s="1194" t="s">
        <v>99</v>
      </c>
      <c r="I77" s="1016">
        <f>W88</f>
        <v>0.06</v>
      </c>
      <c r="J77" s="1044">
        <f>I77*$I$73</f>
        <v>0</v>
      </c>
      <c r="K77" s="1045"/>
      <c r="L77" s="1749" t="s">
        <v>526</v>
      </c>
      <c r="M77" s="1750"/>
      <c r="N77" s="1750"/>
      <c r="O77" s="1750"/>
      <c r="P77" s="1750"/>
      <c r="Q77" s="1727" t="s">
        <v>99</v>
      </c>
      <c r="R77" s="1627"/>
      <c r="S77" s="1008"/>
      <c r="T77" s="1257" t="str">
        <f>IFERROR(IF((VLOOKUP(U77,Überblick!$M$125:$N$133,2))="ja","ja","nein"),"")</f>
        <v/>
      </c>
      <c r="U77" s="1338"/>
      <c r="V77" s="72">
        <f t="shared" si="1"/>
        <v>1</v>
      </c>
      <c r="W77" s="74">
        <f>IF(H77="ja",X77,0)</f>
        <v>0.02</v>
      </c>
      <c r="X77" s="74">
        <f>$Z$77/3</f>
        <v>0.02</v>
      </c>
      <c r="Y77" s="72"/>
      <c r="Z77" s="77">
        <v>0.06</v>
      </c>
      <c r="AA77" s="68"/>
      <c r="AB77" s="72">
        <f t="shared" si="0"/>
        <v>1</v>
      </c>
      <c r="AC77" s="68"/>
      <c r="AD77" s="68"/>
      <c r="AE77" s="68"/>
      <c r="AF77" s="68"/>
      <c r="AG77" s="68"/>
      <c r="AN77" s="193"/>
    </row>
    <row r="78" spans="1:42" ht="14.25" customHeight="1" x14ac:dyDescent="0.25">
      <c r="A78" s="1516"/>
      <c r="B78" s="1493"/>
      <c r="C78" s="1317"/>
      <c r="D78" s="1317"/>
      <c r="E78" s="1317"/>
      <c r="F78" s="1317"/>
      <c r="G78" s="1494"/>
      <c r="H78" s="982"/>
      <c r="I78" s="1017"/>
      <c r="J78" s="1046"/>
      <c r="K78" s="1047"/>
      <c r="L78" s="1749"/>
      <c r="M78" s="1750"/>
      <c r="N78" s="1750"/>
      <c r="O78" s="1750"/>
      <c r="P78" s="1750"/>
      <c r="Q78" s="1727"/>
      <c r="R78" s="1627"/>
      <c r="S78" s="1008"/>
      <c r="T78" s="1258"/>
      <c r="U78" s="1339"/>
      <c r="V78" s="72"/>
      <c r="W78" s="76"/>
      <c r="X78" s="74"/>
      <c r="Y78" s="72"/>
      <c r="Z78" s="72"/>
      <c r="AA78" s="68"/>
      <c r="AB78" s="72">
        <f t="shared" si="0"/>
        <v>0</v>
      </c>
      <c r="AC78" s="68"/>
      <c r="AD78" s="68"/>
      <c r="AE78" s="68"/>
      <c r="AF78" s="68"/>
      <c r="AG78" s="68"/>
      <c r="AN78" s="192"/>
    </row>
    <row r="79" spans="1:42" ht="14.25" customHeight="1" x14ac:dyDescent="0.25">
      <c r="A79" s="1516"/>
      <c r="B79" s="1493"/>
      <c r="C79" s="1317"/>
      <c r="D79" s="1317"/>
      <c r="E79" s="1317"/>
      <c r="F79" s="1317"/>
      <c r="G79" s="1494"/>
      <c r="H79" s="982"/>
      <c r="I79" s="1017"/>
      <c r="J79" s="1046"/>
      <c r="K79" s="1047"/>
      <c r="L79" s="1751"/>
      <c r="M79" s="1752"/>
      <c r="N79" s="1752"/>
      <c r="O79" s="1752"/>
      <c r="P79" s="1752"/>
      <c r="Q79" s="1743"/>
      <c r="R79" s="1628"/>
      <c r="S79" s="1270"/>
      <c r="T79" s="1258"/>
      <c r="U79" s="1339"/>
      <c r="V79" s="72"/>
      <c r="W79" s="76"/>
      <c r="X79" s="74"/>
      <c r="Y79" s="72"/>
      <c r="Z79" s="72"/>
      <c r="AA79" s="68"/>
      <c r="AB79" s="72">
        <f t="shared" si="0"/>
        <v>0</v>
      </c>
      <c r="AC79" s="68"/>
      <c r="AD79" s="68"/>
      <c r="AE79" s="68"/>
      <c r="AF79" s="68"/>
      <c r="AG79" s="68"/>
      <c r="AN79" s="68"/>
    </row>
    <row r="80" spans="1:42" ht="14.25" customHeight="1" x14ac:dyDescent="0.25">
      <c r="A80" s="1516"/>
      <c r="B80" s="1490"/>
      <c r="C80" s="1491"/>
      <c r="D80" s="1491"/>
      <c r="E80" s="1491"/>
      <c r="F80" s="1491"/>
      <c r="G80" s="1492"/>
      <c r="H80" s="983"/>
      <c r="I80" s="1017"/>
      <c r="J80" s="1046"/>
      <c r="K80" s="1047"/>
      <c r="L80" s="1737"/>
      <c r="M80" s="1738"/>
      <c r="N80" s="1738"/>
      <c r="O80" s="1738"/>
      <c r="P80" s="1738"/>
      <c r="Q80" s="1726" t="s">
        <v>100</v>
      </c>
      <c r="R80" s="1764"/>
      <c r="S80" s="1006"/>
      <c r="T80" s="1258"/>
      <c r="U80" s="1339"/>
      <c r="V80" s="72">
        <f>IF(AND(Q80="ja",R80=""),1,0)</f>
        <v>0</v>
      </c>
      <c r="W80" s="72"/>
      <c r="X80" s="72"/>
      <c r="Y80" s="72"/>
      <c r="Z80" s="77"/>
      <c r="AA80" s="68"/>
      <c r="AB80" s="72">
        <f t="shared" si="0"/>
        <v>0</v>
      </c>
      <c r="AC80" s="68"/>
      <c r="AD80" s="68"/>
      <c r="AE80" s="68"/>
      <c r="AF80" s="68"/>
      <c r="AG80" s="68"/>
      <c r="AN80" s="192"/>
    </row>
    <row r="81" spans="1:40" ht="14.25" customHeight="1" x14ac:dyDescent="0.25">
      <c r="A81" s="1516"/>
      <c r="B81" s="1487" t="s">
        <v>528</v>
      </c>
      <c r="C81" s="1488"/>
      <c r="D81" s="1488"/>
      <c r="E81" s="1488"/>
      <c r="F81" s="1488"/>
      <c r="G81" s="1489"/>
      <c r="H81" s="981" t="s">
        <v>99</v>
      </c>
      <c r="I81" s="1017"/>
      <c r="J81" s="1046"/>
      <c r="K81" s="1047"/>
      <c r="L81" s="1739"/>
      <c r="M81" s="1740"/>
      <c r="N81" s="1740"/>
      <c r="O81" s="1740"/>
      <c r="P81" s="1740"/>
      <c r="Q81" s="1727"/>
      <c r="R81" s="1627"/>
      <c r="S81" s="1008"/>
      <c r="T81" s="1258"/>
      <c r="U81" s="1339"/>
      <c r="V81" s="72"/>
      <c r="W81" s="74">
        <f>IF(H81="ja",X81,0)</f>
        <v>0.02</v>
      </c>
      <c r="X81" s="74">
        <f>$Z$77/3</f>
        <v>0.02</v>
      </c>
      <c r="Y81" s="72"/>
      <c r="Z81" s="77"/>
      <c r="AA81" s="68"/>
      <c r="AB81" s="72">
        <f t="shared" si="0"/>
        <v>0</v>
      </c>
      <c r="AC81" s="68"/>
      <c r="AD81" s="68"/>
      <c r="AE81" s="68"/>
      <c r="AF81" s="68"/>
      <c r="AG81" s="68"/>
      <c r="AN81" s="192"/>
    </row>
    <row r="82" spans="1:40" ht="14.25" customHeight="1" x14ac:dyDescent="0.25">
      <c r="A82" s="1516"/>
      <c r="B82" s="1493"/>
      <c r="C82" s="1317"/>
      <c r="D82" s="1317"/>
      <c r="E82" s="1317"/>
      <c r="F82" s="1317"/>
      <c r="G82" s="1494"/>
      <c r="H82" s="982"/>
      <c r="I82" s="1017"/>
      <c r="J82" s="1046"/>
      <c r="K82" s="1047"/>
      <c r="L82" s="1741"/>
      <c r="M82" s="1742"/>
      <c r="N82" s="1742"/>
      <c r="O82" s="1742"/>
      <c r="P82" s="1742"/>
      <c r="Q82" s="1743"/>
      <c r="R82" s="1628"/>
      <c r="S82" s="1270"/>
      <c r="T82" s="1258"/>
      <c r="U82" s="1339"/>
      <c r="V82" s="72"/>
      <c r="W82" s="74"/>
      <c r="X82" s="74"/>
      <c r="Y82" s="72"/>
      <c r="Z82" s="77"/>
      <c r="AA82" s="68"/>
      <c r="AB82" s="72">
        <f t="shared" si="0"/>
        <v>0</v>
      </c>
      <c r="AC82" s="68"/>
      <c r="AD82" s="68"/>
      <c r="AE82" s="68"/>
      <c r="AF82" s="68"/>
      <c r="AG82" s="68"/>
      <c r="AN82" s="192"/>
    </row>
    <row r="83" spans="1:40" ht="14.25" customHeight="1" x14ac:dyDescent="0.25">
      <c r="A83" s="1516"/>
      <c r="B83" s="1493"/>
      <c r="C83" s="1317"/>
      <c r="D83" s="1317"/>
      <c r="E83" s="1317"/>
      <c r="F83" s="1317"/>
      <c r="G83" s="1494"/>
      <c r="H83" s="982"/>
      <c r="I83" s="1017"/>
      <c r="J83" s="1046"/>
      <c r="K83" s="1047"/>
      <c r="L83" s="1737"/>
      <c r="M83" s="1738"/>
      <c r="N83" s="1738"/>
      <c r="O83" s="1738"/>
      <c r="P83" s="1738"/>
      <c r="Q83" s="1726" t="s">
        <v>100</v>
      </c>
      <c r="R83" s="1764"/>
      <c r="S83" s="1006"/>
      <c r="T83" s="1258"/>
      <c r="U83" s="1339"/>
      <c r="V83" s="72">
        <f t="shared" si="1"/>
        <v>0</v>
      </c>
      <c r="W83" s="74"/>
      <c r="X83" s="74"/>
      <c r="Y83" s="72"/>
      <c r="Z83" s="77"/>
      <c r="AA83" s="68"/>
      <c r="AB83" s="72">
        <f t="shared" si="0"/>
        <v>0</v>
      </c>
      <c r="AC83" s="68"/>
      <c r="AD83" s="68"/>
      <c r="AE83" s="68"/>
      <c r="AF83" s="68"/>
      <c r="AG83" s="68"/>
      <c r="AN83" s="192"/>
    </row>
    <row r="84" spans="1:40" ht="14.25" customHeight="1" x14ac:dyDescent="0.25">
      <c r="A84" s="1516"/>
      <c r="B84" s="1490"/>
      <c r="C84" s="1491"/>
      <c r="D84" s="1491"/>
      <c r="E84" s="1491"/>
      <c r="F84" s="1491"/>
      <c r="G84" s="1492"/>
      <c r="H84" s="983"/>
      <c r="I84" s="1017"/>
      <c r="J84" s="1046"/>
      <c r="K84" s="1047"/>
      <c r="L84" s="1739"/>
      <c r="M84" s="1740"/>
      <c r="N84" s="1740"/>
      <c r="O84" s="1740"/>
      <c r="P84" s="1740"/>
      <c r="Q84" s="1727"/>
      <c r="R84" s="1627"/>
      <c r="S84" s="1008"/>
      <c r="T84" s="1258"/>
      <c r="U84" s="1339"/>
      <c r="V84" s="72"/>
      <c r="W84" s="74"/>
      <c r="X84" s="74"/>
      <c r="Y84" s="72"/>
      <c r="Z84" s="77"/>
      <c r="AA84" s="68"/>
      <c r="AB84" s="72">
        <f t="shared" si="0"/>
        <v>0</v>
      </c>
      <c r="AC84" s="68"/>
      <c r="AD84" s="68"/>
      <c r="AE84" s="68"/>
      <c r="AF84" s="68"/>
      <c r="AG84" s="68"/>
      <c r="AN84" s="192"/>
    </row>
    <row r="85" spans="1:40" ht="14.25" customHeight="1" x14ac:dyDescent="0.25">
      <c r="A85" s="1516"/>
      <c r="B85" s="1487" t="s">
        <v>529</v>
      </c>
      <c r="C85" s="1488"/>
      <c r="D85" s="1488"/>
      <c r="E85" s="1488"/>
      <c r="F85" s="1488"/>
      <c r="G85" s="1489"/>
      <c r="H85" s="981" t="s">
        <v>99</v>
      </c>
      <c r="I85" s="1017"/>
      <c r="J85" s="1046"/>
      <c r="K85" s="1047"/>
      <c r="L85" s="1741"/>
      <c r="M85" s="1742"/>
      <c r="N85" s="1742"/>
      <c r="O85" s="1742"/>
      <c r="P85" s="1742"/>
      <c r="Q85" s="1743"/>
      <c r="R85" s="1628"/>
      <c r="S85" s="1270"/>
      <c r="T85" s="1258"/>
      <c r="U85" s="1339"/>
      <c r="V85" s="72"/>
      <c r="W85" s="74">
        <f>IF(H85="ja",X85,0)</f>
        <v>0.02</v>
      </c>
      <c r="X85" s="74">
        <f>$Z$77/3</f>
        <v>0.02</v>
      </c>
      <c r="Y85" s="72"/>
      <c r="Z85" s="77"/>
      <c r="AA85" s="68"/>
      <c r="AB85" s="72">
        <f t="shared" si="0"/>
        <v>0</v>
      </c>
      <c r="AC85" s="68"/>
      <c r="AD85" s="68"/>
      <c r="AE85" s="68"/>
      <c r="AF85" s="68"/>
      <c r="AG85" s="68"/>
      <c r="AN85" s="192"/>
    </row>
    <row r="86" spans="1:40" ht="14.25" customHeight="1" x14ac:dyDescent="0.25">
      <c r="A86" s="1516"/>
      <c r="B86" s="1493"/>
      <c r="C86" s="1317"/>
      <c r="D86" s="1317"/>
      <c r="E86" s="1317"/>
      <c r="F86" s="1317"/>
      <c r="G86" s="1494"/>
      <c r="H86" s="982"/>
      <c r="I86" s="1017"/>
      <c r="J86" s="1046"/>
      <c r="K86" s="1047"/>
      <c r="L86" s="1737"/>
      <c r="M86" s="1738"/>
      <c r="N86" s="1738"/>
      <c r="O86" s="1738"/>
      <c r="P86" s="1738"/>
      <c r="Q86" s="1726" t="s">
        <v>100</v>
      </c>
      <c r="R86" s="1764"/>
      <c r="S86" s="1006"/>
      <c r="T86" s="1258"/>
      <c r="U86" s="1339"/>
      <c r="V86" s="72">
        <f t="shared" si="1"/>
        <v>0</v>
      </c>
      <c r="W86" s="74"/>
      <c r="X86" s="74"/>
      <c r="Y86" s="72"/>
      <c r="Z86" s="77"/>
      <c r="AA86" s="68"/>
      <c r="AB86" s="72">
        <f t="shared" si="0"/>
        <v>0</v>
      </c>
      <c r="AC86" s="68"/>
      <c r="AD86" s="68"/>
      <c r="AE86" s="68"/>
      <c r="AF86" s="68"/>
      <c r="AG86" s="68"/>
      <c r="AN86" s="192"/>
    </row>
    <row r="87" spans="1:40" ht="14.25" customHeight="1" thickBot="1" x14ac:dyDescent="0.3">
      <c r="A87" s="1516"/>
      <c r="B87" s="1592"/>
      <c r="C87" s="1593"/>
      <c r="D87" s="1593"/>
      <c r="E87" s="1593"/>
      <c r="F87" s="1593"/>
      <c r="G87" s="1594"/>
      <c r="H87" s="1304"/>
      <c r="I87" s="1017"/>
      <c r="J87" s="1046"/>
      <c r="K87" s="1047"/>
      <c r="L87" s="1770"/>
      <c r="M87" s="1771"/>
      <c r="N87" s="1771"/>
      <c r="O87" s="1771"/>
      <c r="P87" s="1771"/>
      <c r="Q87" s="1769"/>
      <c r="R87" s="1768"/>
      <c r="S87" s="1010"/>
      <c r="T87" s="1258"/>
      <c r="U87" s="1339"/>
      <c r="V87" s="72"/>
      <c r="W87" s="76"/>
      <c r="X87" s="74"/>
      <c r="Y87" s="72"/>
      <c r="Z87" s="72"/>
      <c r="AA87" s="68"/>
      <c r="AB87" s="72">
        <f t="shared" si="0"/>
        <v>0</v>
      </c>
      <c r="AC87" s="68"/>
      <c r="AD87" s="68"/>
      <c r="AE87" s="68"/>
      <c r="AF87" s="68"/>
      <c r="AG87" s="68"/>
      <c r="AN87" s="192"/>
    </row>
    <row r="88" spans="1:40" ht="14.25" customHeight="1" thickBot="1" x14ac:dyDescent="0.3">
      <c r="A88" s="1730"/>
      <c r="B88" s="1082" t="s">
        <v>204</v>
      </c>
      <c r="C88" s="1083"/>
      <c r="D88" s="1083"/>
      <c r="E88" s="1083"/>
      <c r="F88" s="1083"/>
      <c r="G88" s="1084"/>
      <c r="H88" s="144"/>
      <c r="I88" s="1238"/>
      <c r="J88" s="1239"/>
      <c r="K88" s="1240"/>
      <c r="L88" s="1331">
        <f>SUM(R77:S87)</f>
        <v>0</v>
      </c>
      <c r="M88" s="1332"/>
      <c r="N88" s="1332"/>
      <c r="O88" s="1332"/>
      <c r="P88" s="1332"/>
      <c r="Q88" s="355"/>
      <c r="R88" s="1181"/>
      <c r="S88" s="1272"/>
      <c r="T88" s="334"/>
      <c r="U88" s="335" t="s">
        <v>157</v>
      </c>
      <c r="V88" s="72"/>
      <c r="W88" s="74">
        <f>SUM(W77:W87)</f>
        <v>0.06</v>
      </c>
      <c r="X88" s="75"/>
      <c r="Y88" s="75"/>
      <c r="Z88" s="150"/>
      <c r="AA88" s="68"/>
      <c r="AB88" s="72">
        <f t="shared" si="0"/>
        <v>0</v>
      </c>
      <c r="AC88" s="68"/>
      <c r="AD88" s="68"/>
      <c r="AE88" s="68"/>
      <c r="AF88" s="68"/>
      <c r="AG88" s="68"/>
      <c r="AN88" s="68"/>
    </row>
    <row r="89" spans="1:40" ht="14.25" customHeight="1" x14ac:dyDescent="0.25">
      <c r="A89" s="1778" t="s">
        <v>206</v>
      </c>
      <c r="B89" s="1497" t="s">
        <v>530</v>
      </c>
      <c r="C89" s="1498"/>
      <c r="D89" s="1498"/>
      <c r="E89" s="1498"/>
      <c r="F89" s="1498"/>
      <c r="G89" s="1499"/>
      <c r="H89" s="1194" t="s">
        <v>100</v>
      </c>
      <c r="I89" s="1662">
        <f>W89</f>
        <v>0</v>
      </c>
      <c r="J89" s="1780">
        <f>I89*$I$73</f>
        <v>0</v>
      </c>
      <c r="K89" s="1781"/>
      <c r="L89" s="1739" t="s">
        <v>531</v>
      </c>
      <c r="M89" s="1740"/>
      <c r="N89" s="1740"/>
      <c r="O89" s="1740"/>
      <c r="P89" s="1740"/>
      <c r="Q89" s="1727" t="s">
        <v>100</v>
      </c>
      <c r="R89" s="1627"/>
      <c r="S89" s="1008"/>
      <c r="T89" s="1376" t="str">
        <f>IFERROR(IF((VLOOKUP(U89,Überblick!$M$125:$N$133,2))="ja","ja","nein"),"")</f>
        <v/>
      </c>
      <c r="U89" s="1338"/>
      <c r="V89" s="72">
        <f t="shared" ref="V89:V103" si="2">IF(AND(Q89="ja",R89=""),1,0)</f>
        <v>0</v>
      </c>
      <c r="W89" s="74">
        <f>IF(H89="ja",X89,0)</f>
        <v>0</v>
      </c>
      <c r="X89" s="74">
        <f>Z89/2</f>
        <v>0.13500000000000001</v>
      </c>
      <c r="Y89" s="77"/>
      <c r="Z89" s="77">
        <v>0.27</v>
      </c>
      <c r="AA89" s="68"/>
      <c r="AB89" s="72">
        <f t="shared" si="0"/>
        <v>0</v>
      </c>
      <c r="AC89" s="68"/>
      <c r="AD89" s="68"/>
      <c r="AE89" s="68"/>
      <c r="AF89" s="68"/>
      <c r="AG89" s="68"/>
      <c r="AI89" s="68"/>
      <c r="AN89" s="193"/>
    </row>
    <row r="90" spans="1:40" ht="14.25" customHeight="1" x14ac:dyDescent="0.25">
      <c r="A90" s="1779"/>
      <c r="B90" s="1493"/>
      <c r="C90" s="1317"/>
      <c r="D90" s="1317"/>
      <c r="E90" s="1317"/>
      <c r="F90" s="1317"/>
      <c r="G90" s="1494"/>
      <c r="H90" s="982"/>
      <c r="I90" s="1663"/>
      <c r="J90" s="1782"/>
      <c r="K90" s="1783"/>
      <c r="L90" s="1739"/>
      <c r="M90" s="1740"/>
      <c r="N90" s="1740"/>
      <c r="O90" s="1740"/>
      <c r="P90" s="1740"/>
      <c r="Q90" s="1727"/>
      <c r="R90" s="1627"/>
      <c r="S90" s="1008"/>
      <c r="T90" s="1377"/>
      <c r="U90" s="1339"/>
      <c r="V90" s="72"/>
      <c r="W90" s="76"/>
      <c r="X90" s="74"/>
      <c r="Y90" s="72"/>
      <c r="Z90" s="72"/>
      <c r="AA90" s="68"/>
      <c r="AB90" s="72">
        <f t="shared" si="0"/>
        <v>0</v>
      </c>
      <c r="AC90" s="68"/>
      <c r="AD90" s="68"/>
      <c r="AE90" s="68"/>
      <c r="AF90" s="68"/>
      <c r="AG90" s="68"/>
      <c r="AI90" s="68"/>
    </row>
    <row r="91" spans="1:40" ht="14.25" customHeight="1" x14ac:dyDescent="0.25">
      <c r="A91" s="1779"/>
      <c r="B91" s="1493"/>
      <c r="C91" s="1317"/>
      <c r="D91" s="1317"/>
      <c r="E91" s="1317"/>
      <c r="F91" s="1317"/>
      <c r="G91" s="1494"/>
      <c r="H91" s="983"/>
      <c r="I91" s="1663"/>
      <c r="J91" s="1782"/>
      <c r="K91" s="1783"/>
      <c r="L91" s="1741"/>
      <c r="M91" s="1742"/>
      <c r="N91" s="1742"/>
      <c r="O91" s="1742"/>
      <c r="P91" s="1742"/>
      <c r="Q91" s="1743"/>
      <c r="R91" s="1628"/>
      <c r="S91" s="1270"/>
      <c r="T91" s="1377"/>
      <c r="U91" s="1375"/>
      <c r="V91" s="72"/>
      <c r="W91" s="76"/>
      <c r="X91" s="74"/>
      <c r="Y91" s="72"/>
      <c r="Z91" s="72"/>
      <c r="AA91" s="68"/>
      <c r="AB91" s="72">
        <f t="shared" si="0"/>
        <v>0</v>
      </c>
      <c r="AC91" s="68"/>
      <c r="AD91" s="68"/>
      <c r="AE91" s="68"/>
      <c r="AF91" s="68"/>
      <c r="AG91" s="68"/>
      <c r="AI91" s="68"/>
    </row>
    <row r="92" spans="1:40" ht="14.25" customHeight="1" x14ac:dyDescent="0.25">
      <c r="A92" s="1779" t="s">
        <v>208</v>
      </c>
      <c r="B92" s="1487" t="s">
        <v>532</v>
      </c>
      <c r="C92" s="1488"/>
      <c r="D92" s="1488"/>
      <c r="E92" s="1488"/>
      <c r="F92" s="1488"/>
      <c r="G92" s="1489"/>
      <c r="H92" s="1080" t="s">
        <v>100</v>
      </c>
      <c r="I92" s="1663">
        <f>W92</f>
        <v>0</v>
      </c>
      <c r="J92" s="1782">
        <f>I73*I92</f>
        <v>0</v>
      </c>
      <c r="K92" s="1783"/>
      <c r="L92" s="1757"/>
      <c r="M92" s="1758"/>
      <c r="N92" s="1758"/>
      <c r="O92" s="1758"/>
      <c r="P92" s="1758"/>
      <c r="Q92" s="1775" t="s">
        <v>100</v>
      </c>
      <c r="R92" s="1777"/>
      <c r="S92" s="1725"/>
      <c r="T92" s="1011" t="str">
        <f>IFERROR(IF((VLOOKUP(U92,Überblick!$M$125:$N$133,2))="ja","ja","nein"),"")</f>
        <v/>
      </c>
      <c r="U92" s="1372"/>
      <c r="V92" s="72">
        <f t="shared" si="2"/>
        <v>0</v>
      </c>
      <c r="W92" s="74">
        <f>IF(H92="ja",X92,0)</f>
        <v>0</v>
      </c>
      <c r="X92" s="74">
        <f>Z89/2</f>
        <v>0.13500000000000001</v>
      </c>
      <c r="Y92" s="77"/>
      <c r="Z92" s="77"/>
      <c r="AA92" s="68"/>
      <c r="AB92" s="72">
        <f t="shared" si="0"/>
        <v>0</v>
      </c>
      <c r="AC92" s="68"/>
      <c r="AD92" s="68"/>
      <c r="AE92" s="68"/>
      <c r="AF92" s="68"/>
      <c r="AG92" s="68"/>
      <c r="AI92" s="68"/>
    </row>
    <row r="93" spans="1:40" ht="14.25" customHeight="1" x14ac:dyDescent="0.25">
      <c r="A93" s="1779"/>
      <c r="B93" s="1493"/>
      <c r="C93" s="1317"/>
      <c r="D93" s="1317"/>
      <c r="E93" s="1317"/>
      <c r="F93" s="1317"/>
      <c r="G93" s="1494"/>
      <c r="H93" s="1080"/>
      <c r="I93" s="1663"/>
      <c r="J93" s="1782"/>
      <c r="K93" s="1783"/>
      <c r="L93" s="1757"/>
      <c r="M93" s="1758"/>
      <c r="N93" s="1758"/>
      <c r="O93" s="1758"/>
      <c r="P93" s="1758"/>
      <c r="Q93" s="1775"/>
      <c r="R93" s="1777"/>
      <c r="S93" s="1725"/>
      <c r="T93" s="1377"/>
      <c r="U93" s="1372"/>
      <c r="V93" s="72"/>
      <c r="W93" s="74"/>
      <c r="X93" s="74"/>
      <c r="Y93" s="77"/>
      <c r="Z93" s="77"/>
      <c r="AA93" s="68"/>
      <c r="AB93" s="72">
        <f t="shared" si="0"/>
        <v>0</v>
      </c>
      <c r="AC93" s="68"/>
      <c r="AD93" s="68"/>
      <c r="AE93" s="68"/>
      <c r="AF93" s="68"/>
      <c r="AG93" s="68"/>
      <c r="AI93" s="68"/>
    </row>
    <row r="94" spans="1:40" ht="14.25" customHeight="1" thickBot="1" x14ac:dyDescent="0.3">
      <c r="A94" s="1779"/>
      <c r="B94" s="1493"/>
      <c r="C94" s="1317"/>
      <c r="D94" s="1317"/>
      <c r="E94" s="1317"/>
      <c r="F94" s="1317"/>
      <c r="G94" s="1494"/>
      <c r="H94" s="1080"/>
      <c r="I94" s="1663"/>
      <c r="J94" s="1782"/>
      <c r="K94" s="1783"/>
      <c r="L94" s="1757"/>
      <c r="M94" s="1758"/>
      <c r="N94" s="1758"/>
      <c r="O94" s="1758"/>
      <c r="P94" s="1758"/>
      <c r="Q94" s="1775"/>
      <c r="R94" s="1777"/>
      <c r="S94" s="1725"/>
      <c r="T94" s="1794"/>
      <c r="U94" s="1372"/>
      <c r="V94" s="72"/>
      <c r="W94" s="76"/>
      <c r="X94" s="74"/>
      <c r="Y94" s="77"/>
      <c r="Z94" s="72"/>
      <c r="AA94" s="68"/>
      <c r="AB94" s="72">
        <f t="shared" si="0"/>
        <v>0</v>
      </c>
      <c r="AC94" s="68"/>
      <c r="AD94" s="68"/>
      <c r="AE94" s="68"/>
      <c r="AF94" s="68"/>
      <c r="AG94" s="68"/>
      <c r="AI94" s="68"/>
    </row>
    <row r="95" spans="1:40" ht="14.25" customHeight="1" thickBot="1" x14ac:dyDescent="0.3">
      <c r="A95" s="1772" t="s">
        <v>533</v>
      </c>
      <c r="B95" s="1082" t="s">
        <v>218</v>
      </c>
      <c r="C95" s="1083"/>
      <c r="D95" s="1083"/>
      <c r="E95" s="1083"/>
      <c r="F95" s="1083"/>
      <c r="G95" s="1084"/>
      <c r="H95" s="144"/>
      <c r="I95" s="1361"/>
      <c r="J95" s="1362"/>
      <c r="K95" s="1576"/>
      <c r="L95" s="1180">
        <f>SUM(R89:S94)</f>
        <v>0</v>
      </c>
      <c r="M95" s="1181"/>
      <c r="N95" s="1181"/>
      <c r="O95" s="1181"/>
      <c r="P95" s="1181"/>
      <c r="Q95" s="211"/>
      <c r="R95" s="1181"/>
      <c r="S95" s="1272"/>
      <c r="T95" s="334"/>
      <c r="U95" s="335" t="s">
        <v>157</v>
      </c>
      <c r="V95" s="72"/>
      <c r="W95" s="77">
        <f>SUM(W89:W94)</f>
        <v>0</v>
      </c>
      <c r="X95" s="75"/>
      <c r="Y95" s="150"/>
      <c r="Z95" s="150"/>
      <c r="AA95" s="68"/>
      <c r="AB95" s="72">
        <f t="shared" si="0"/>
        <v>0</v>
      </c>
      <c r="AC95" s="68"/>
      <c r="AD95" s="68"/>
      <c r="AE95" s="68"/>
      <c r="AF95" s="68"/>
      <c r="AG95" s="68"/>
    </row>
    <row r="96" spans="1:40" ht="14.25" customHeight="1" x14ac:dyDescent="0.25">
      <c r="A96" s="1516"/>
      <c r="B96" s="1394" t="s">
        <v>534</v>
      </c>
      <c r="C96" s="1395"/>
      <c r="D96" s="1395"/>
      <c r="E96" s="1395"/>
      <c r="F96" s="1395"/>
      <c r="G96" s="1396"/>
      <c r="H96" s="1194" t="s">
        <v>100</v>
      </c>
      <c r="I96" s="1016">
        <f>W96</f>
        <v>0</v>
      </c>
      <c r="J96" s="1790">
        <f>I96*$I$73</f>
        <v>0</v>
      </c>
      <c r="K96" s="1791"/>
      <c r="L96" s="1739"/>
      <c r="M96" s="1740"/>
      <c r="N96" s="1740"/>
      <c r="O96" s="1740"/>
      <c r="P96" s="1740"/>
      <c r="Q96" s="1727" t="s">
        <v>100</v>
      </c>
      <c r="R96" s="1627"/>
      <c r="S96" s="1008"/>
      <c r="T96" s="1257" t="str">
        <f>IFERROR(IF((VLOOKUP(U96,Überblick!$M$125:$N$133,2))="ja","ja","nein"),"")</f>
        <v/>
      </c>
      <c r="U96" s="1338"/>
      <c r="V96" s="72">
        <f t="shared" si="2"/>
        <v>0</v>
      </c>
      <c r="W96" s="74">
        <f>IF(H96="ja",X96,0)</f>
        <v>0</v>
      </c>
      <c r="X96" s="74">
        <v>0.02</v>
      </c>
      <c r="Y96" s="72"/>
      <c r="Z96" s="77">
        <v>0.02</v>
      </c>
      <c r="AA96" s="68"/>
      <c r="AB96" s="72">
        <f t="shared" si="0"/>
        <v>0</v>
      </c>
      <c r="AC96" s="68"/>
      <c r="AD96" s="68"/>
      <c r="AE96" s="68"/>
      <c r="AF96" s="68"/>
      <c r="AG96" s="68"/>
    </row>
    <row r="97" spans="1:33" ht="14.25" customHeight="1" x14ac:dyDescent="0.25">
      <c r="A97" s="1516"/>
      <c r="B97" s="1103"/>
      <c r="C97" s="1104"/>
      <c r="D97" s="1104"/>
      <c r="E97" s="1104"/>
      <c r="F97" s="1104"/>
      <c r="G97" s="1105"/>
      <c r="H97" s="982"/>
      <c r="I97" s="1017"/>
      <c r="J97" s="1060"/>
      <c r="K97" s="1061"/>
      <c r="L97" s="1739"/>
      <c r="M97" s="1740"/>
      <c r="N97" s="1740"/>
      <c r="O97" s="1740"/>
      <c r="P97" s="1740"/>
      <c r="Q97" s="1727"/>
      <c r="R97" s="1627"/>
      <c r="S97" s="1008"/>
      <c r="T97" s="1258"/>
      <c r="U97" s="1339"/>
      <c r="V97" s="72"/>
      <c r="W97" s="74"/>
      <c r="X97" s="74"/>
      <c r="Y97" s="72"/>
      <c r="Z97" s="72"/>
      <c r="AA97" s="68"/>
      <c r="AB97" s="72">
        <f t="shared" si="0"/>
        <v>0</v>
      </c>
      <c r="AC97" s="68"/>
      <c r="AD97" s="68"/>
      <c r="AE97" s="68"/>
      <c r="AF97" s="68"/>
      <c r="AG97" s="68"/>
    </row>
    <row r="98" spans="1:33" ht="14.25" customHeight="1" x14ac:dyDescent="0.25">
      <c r="A98" s="1516"/>
      <c r="B98" s="1103"/>
      <c r="C98" s="1104"/>
      <c r="D98" s="1104"/>
      <c r="E98" s="1104"/>
      <c r="F98" s="1104"/>
      <c r="G98" s="1105"/>
      <c r="H98" s="982"/>
      <c r="I98" s="1017"/>
      <c r="J98" s="1060"/>
      <c r="K98" s="1061"/>
      <c r="L98" s="1741"/>
      <c r="M98" s="1742"/>
      <c r="N98" s="1742"/>
      <c r="O98" s="1742"/>
      <c r="P98" s="1742"/>
      <c r="Q98" s="1743"/>
      <c r="R98" s="1628"/>
      <c r="S98" s="1270"/>
      <c r="T98" s="1258"/>
      <c r="U98" s="1339"/>
      <c r="V98" s="72"/>
      <c r="W98" s="74"/>
      <c r="X98" s="74"/>
      <c r="Y98" s="72"/>
      <c r="Z98" s="72"/>
      <c r="AA98" s="68"/>
      <c r="AB98" s="72">
        <f t="shared" si="0"/>
        <v>0</v>
      </c>
      <c r="AC98" s="68"/>
      <c r="AD98" s="68"/>
      <c r="AE98" s="68"/>
      <c r="AF98" s="68"/>
      <c r="AG98" s="68"/>
    </row>
    <row r="99" spans="1:33" ht="14.25" customHeight="1" x14ac:dyDescent="0.25">
      <c r="A99" s="1516"/>
      <c r="B99" s="1103"/>
      <c r="C99" s="1104"/>
      <c r="D99" s="1104"/>
      <c r="E99" s="1104"/>
      <c r="F99" s="1104"/>
      <c r="G99" s="1105"/>
      <c r="H99" s="982"/>
      <c r="I99" s="1017"/>
      <c r="J99" s="1060"/>
      <c r="K99" s="1061"/>
      <c r="L99" s="1757"/>
      <c r="M99" s="1758"/>
      <c r="N99" s="1758"/>
      <c r="O99" s="1758"/>
      <c r="P99" s="1758"/>
      <c r="Q99" s="1775" t="s">
        <v>100</v>
      </c>
      <c r="R99" s="1777"/>
      <c r="S99" s="1725"/>
      <c r="T99" s="1258"/>
      <c r="U99" s="1339"/>
      <c r="V99" s="72">
        <f t="shared" si="2"/>
        <v>0</v>
      </c>
      <c r="W99" s="74"/>
      <c r="X99" s="74"/>
      <c r="Y99" s="72"/>
      <c r="Z99" s="72"/>
      <c r="AA99" s="68"/>
      <c r="AB99" s="72">
        <f t="shared" si="0"/>
        <v>0</v>
      </c>
      <c r="AC99" s="68"/>
      <c r="AD99" s="68"/>
      <c r="AE99" s="68"/>
      <c r="AF99" s="68"/>
      <c r="AG99" s="68"/>
    </row>
    <row r="100" spans="1:33" ht="14.25" customHeight="1" x14ac:dyDescent="0.25">
      <c r="A100" s="1516"/>
      <c r="B100" s="1103"/>
      <c r="C100" s="1104"/>
      <c r="D100" s="1104"/>
      <c r="E100" s="1104"/>
      <c r="F100" s="1104"/>
      <c r="G100" s="1105"/>
      <c r="H100" s="982"/>
      <c r="I100" s="1017"/>
      <c r="J100" s="1060"/>
      <c r="K100" s="1061"/>
      <c r="L100" s="1757"/>
      <c r="M100" s="1758"/>
      <c r="N100" s="1758"/>
      <c r="O100" s="1758"/>
      <c r="P100" s="1758"/>
      <c r="Q100" s="1775"/>
      <c r="R100" s="1777"/>
      <c r="S100" s="1725"/>
      <c r="T100" s="1258"/>
      <c r="U100" s="1339"/>
      <c r="V100" s="72"/>
      <c r="W100" s="74"/>
      <c r="X100" s="74"/>
      <c r="Y100" s="72"/>
      <c r="Z100" s="72"/>
      <c r="AA100" s="68"/>
      <c r="AB100" s="72">
        <f t="shared" si="0"/>
        <v>0</v>
      </c>
      <c r="AC100" s="68"/>
      <c r="AD100" s="68"/>
      <c r="AE100" s="68"/>
      <c r="AF100" s="68"/>
      <c r="AG100" s="68"/>
    </row>
    <row r="101" spans="1:33" ht="14.25" customHeight="1" thickBot="1" x14ac:dyDescent="0.3">
      <c r="A101" s="1516"/>
      <c r="B101" s="1103"/>
      <c r="C101" s="1104"/>
      <c r="D101" s="1104"/>
      <c r="E101" s="1104"/>
      <c r="F101" s="1104"/>
      <c r="G101" s="1105"/>
      <c r="H101" s="982"/>
      <c r="I101" s="1017"/>
      <c r="J101" s="1792"/>
      <c r="K101" s="1793"/>
      <c r="L101" s="1757"/>
      <c r="M101" s="1758"/>
      <c r="N101" s="1758"/>
      <c r="O101" s="1758"/>
      <c r="P101" s="1758"/>
      <c r="Q101" s="1775"/>
      <c r="R101" s="1777"/>
      <c r="S101" s="1725"/>
      <c r="T101" s="1258"/>
      <c r="U101" s="1340"/>
      <c r="V101" s="72"/>
      <c r="W101" s="74"/>
      <c r="X101" s="74"/>
      <c r="Y101" s="72"/>
      <c r="Z101" s="72"/>
      <c r="AA101" s="68"/>
      <c r="AB101" s="72">
        <f t="shared" si="0"/>
        <v>0</v>
      </c>
      <c r="AC101" s="68"/>
      <c r="AD101" s="68"/>
      <c r="AE101" s="68"/>
      <c r="AF101" s="68"/>
      <c r="AG101" s="68"/>
    </row>
    <row r="102" spans="1:33" ht="14.25" customHeight="1" thickBot="1" x14ac:dyDescent="0.3">
      <c r="A102" s="1516"/>
      <c r="B102" s="1082" t="s">
        <v>229</v>
      </c>
      <c r="C102" s="1083"/>
      <c r="D102" s="1083"/>
      <c r="E102" s="1083"/>
      <c r="F102" s="1083"/>
      <c r="G102" s="1084"/>
      <c r="H102" s="144"/>
      <c r="I102" s="1361"/>
      <c r="J102" s="1362"/>
      <c r="K102" s="1576"/>
      <c r="L102" s="1180">
        <f>SUM(R95:S101)</f>
        <v>0</v>
      </c>
      <c r="M102" s="1181"/>
      <c r="N102" s="1181"/>
      <c r="O102" s="1181"/>
      <c r="P102" s="1181"/>
      <c r="Q102" s="211"/>
      <c r="R102" s="1181"/>
      <c r="S102" s="1272"/>
      <c r="T102" s="334"/>
      <c r="U102" s="335" t="s">
        <v>157</v>
      </c>
      <c r="V102" s="72"/>
      <c r="W102" s="74"/>
      <c r="X102" s="74"/>
      <c r="Y102" s="72"/>
      <c r="Z102" s="72"/>
      <c r="AA102" s="68"/>
      <c r="AB102" s="72">
        <f t="shared" ref="AB102:AB108" si="3">IF(Q102="ja",1,0)</f>
        <v>0</v>
      </c>
      <c r="AC102" s="68"/>
      <c r="AD102" s="68"/>
      <c r="AE102" s="68"/>
      <c r="AF102" s="68"/>
      <c r="AG102" s="68"/>
    </row>
    <row r="103" spans="1:33" ht="14.25" customHeight="1" x14ac:dyDescent="0.25">
      <c r="A103" s="1516"/>
      <c r="B103" s="1493" t="s">
        <v>535</v>
      </c>
      <c r="C103" s="1317"/>
      <c r="D103" s="1317"/>
      <c r="E103" s="1317"/>
      <c r="F103" s="1317"/>
      <c r="G103" s="1494"/>
      <c r="H103" s="986" t="s">
        <v>100</v>
      </c>
      <c r="I103" s="1016">
        <f>W103</f>
        <v>0</v>
      </c>
      <c r="J103" s="1790">
        <f>I103*I73</f>
        <v>0</v>
      </c>
      <c r="K103" s="1791"/>
      <c r="L103" s="1739" t="s">
        <v>536</v>
      </c>
      <c r="M103" s="1740"/>
      <c r="N103" s="1740"/>
      <c r="O103" s="1740"/>
      <c r="P103" s="1740"/>
      <c r="Q103" s="1727" t="s">
        <v>100</v>
      </c>
      <c r="R103" s="1627"/>
      <c r="S103" s="1008"/>
      <c r="T103" s="1257" t="str">
        <f>IFERROR(IF((VLOOKUP(U103,Überblick!$M$125:$N$133,2))="ja","ja","nein"),"")</f>
        <v/>
      </c>
      <c r="U103" s="1338"/>
      <c r="V103" s="72">
        <f t="shared" si="2"/>
        <v>0</v>
      </c>
      <c r="W103" s="74">
        <f>IF(H103="ja",X103,0)</f>
        <v>0</v>
      </c>
      <c r="X103" s="74">
        <v>0.02</v>
      </c>
      <c r="Y103" s="72"/>
      <c r="Z103" s="77">
        <v>0.02</v>
      </c>
      <c r="AA103" s="68"/>
      <c r="AB103" s="72">
        <f t="shared" si="3"/>
        <v>0</v>
      </c>
      <c r="AC103" s="68"/>
      <c r="AD103" s="68"/>
      <c r="AE103" s="68"/>
      <c r="AF103" s="68"/>
      <c r="AG103" s="68"/>
    </row>
    <row r="104" spans="1:33" ht="14.25" customHeight="1" x14ac:dyDescent="0.25">
      <c r="A104" s="1516"/>
      <c r="B104" s="1493"/>
      <c r="C104" s="1317"/>
      <c r="D104" s="1317"/>
      <c r="E104" s="1317"/>
      <c r="F104" s="1317"/>
      <c r="G104" s="1494"/>
      <c r="H104" s="986"/>
      <c r="I104" s="1017"/>
      <c r="J104" s="1060"/>
      <c r="K104" s="1061"/>
      <c r="L104" s="1739"/>
      <c r="M104" s="1740"/>
      <c r="N104" s="1740"/>
      <c r="O104" s="1740"/>
      <c r="P104" s="1740"/>
      <c r="Q104" s="1727"/>
      <c r="R104" s="1627"/>
      <c r="S104" s="1008"/>
      <c r="T104" s="1258"/>
      <c r="U104" s="1339"/>
      <c r="V104" s="72"/>
      <c r="W104" s="74"/>
      <c r="X104" s="74"/>
      <c r="Y104" s="72"/>
      <c r="Z104" s="72"/>
      <c r="AA104" s="68"/>
      <c r="AB104" s="72">
        <f t="shared" si="3"/>
        <v>0</v>
      </c>
      <c r="AC104" s="68"/>
      <c r="AD104" s="68"/>
      <c r="AE104" s="68"/>
      <c r="AF104" s="68"/>
      <c r="AG104" s="68"/>
    </row>
    <row r="105" spans="1:33" ht="14.25" customHeight="1" x14ac:dyDescent="0.25">
      <c r="A105" s="1516"/>
      <c r="B105" s="1493"/>
      <c r="C105" s="1317"/>
      <c r="D105" s="1317"/>
      <c r="E105" s="1317"/>
      <c r="F105" s="1317"/>
      <c r="G105" s="1494"/>
      <c r="H105" s="986"/>
      <c r="I105" s="1017"/>
      <c r="J105" s="1060"/>
      <c r="K105" s="1061"/>
      <c r="L105" s="1741"/>
      <c r="M105" s="1742"/>
      <c r="N105" s="1742"/>
      <c r="O105" s="1742"/>
      <c r="P105" s="1742"/>
      <c r="Q105" s="1743"/>
      <c r="R105" s="1628"/>
      <c r="S105" s="1270"/>
      <c r="T105" s="1258"/>
      <c r="U105" s="1339"/>
      <c r="V105" s="72"/>
      <c r="W105" s="74"/>
      <c r="X105" s="74"/>
      <c r="Y105" s="72"/>
      <c r="Z105" s="72"/>
      <c r="AA105" s="68"/>
      <c r="AB105" s="72">
        <f t="shared" si="3"/>
        <v>0</v>
      </c>
      <c r="AC105" s="68"/>
      <c r="AD105" s="68"/>
      <c r="AE105" s="68"/>
      <c r="AF105" s="68"/>
      <c r="AG105" s="68"/>
    </row>
    <row r="106" spans="1:33" ht="14.25" customHeight="1" x14ac:dyDescent="0.25">
      <c r="A106" s="1516"/>
      <c r="B106" s="1493"/>
      <c r="C106" s="1317"/>
      <c r="D106" s="1317"/>
      <c r="E106" s="1317"/>
      <c r="F106" s="1317"/>
      <c r="G106" s="1494"/>
      <c r="H106" s="986"/>
      <c r="I106" s="1017"/>
      <c r="J106" s="1060"/>
      <c r="K106" s="1061"/>
      <c r="L106" s="1757"/>
      <c r="M106" s="1758"/>
      <c r="N106" s="1758"/>
      <c r="O106" s="1758"/>
      <c r="P106" s="1758"/>
      <c r="Q106" s="1775" t="s">
        <v>100</v>
      </c>
      <c r="R106" s="1777"/>
      <c r="S106" s="1725"/>
      <c r="T106" s="1258"/>
      <c r="U106" s="1339"/>
      <c r="V106" s="72">
        <f t="shared" ref="V106" si="4">IF(AND(Q106="ja",R106=""),1,0)</f>
        <v>0</v>
      </c>
      <c r="W106" s="74"/>
      <c r="X106" s="74"/>
      <c r="Y106" s="72"/>
      <c r="Z106" s="72"/>
      <c r="AA106" s="68"/>
      <c r="AB106" s="72">
        <f t="shared" si="3"/>
        <v>0</v>
      </c>
      <c r="AC106" s="68"/>
      <c r="AD106" s="68"/>
      <c r="AE106" s="68"/>
      <c r="AF106" s="68"/>
      <c r="AG106" s="68"/>
    </row>
    <row r="107" spans="1:33" ht="14.25" customHeight="1" x14ac:dyDescent="0.25">
      <c r="A107" s="1516"/>
      <c r="B107" s="1493"/>
      <c r="C107" s="1317"/>
      <c r="D107" s="1317"/>
      <c r="E107" s="1317"/>
      <c r="F107" s="1317"/>
      <c r="G107" s="1494"/>
      <c r="H107" s="986"/>
      <c r="I107" s="1017"/>
      <c r="J107" s="1060"/>
      <c r="K107" s="1061"/>
      <c r="L107" s="1757"/>
      <c r="M107" s="1758"/>
      <c r="N107" s="1758"/>
      <c r="O107" s="1758"/>
      <c r="P107" s="1758"/>
      <c r="Q107" s="1775"/>
      <c r="R107" s="1777"/>
      <c r="S107" s="1725"/>
      <c r="T107" s="1258"/>
      <c r="U107" s="1339"/>
      <c r="V107" s="72"/>
      <c r="W107" s="74"/>
      <c r="X107" s="74"/>
      <c r="Y107" s="72"/>
      <c r="Z107" s="72"/>
      <c r="AA107" s="68"/>
      <c r="AB107" s="72">
        <f t="shared" si="3"/>
        <v>0</v>
      </c>
      <c r="AC107" s="68"/>
      <c r="AD107" s="68"/>
      <c r="AE107" s="68"/>
      <c r="AF107" s="68"/>
      <c r="AG107" s="68"/>
    </row>
    <row r="108" spans="1:33" ht="14.25" customHeight="1" thickBot="1" x14ac:dyDescent="0.3">
      <c r="A108" s="1516"/>
      <c r="B108" s="1490"/>
      <c r="C108" s="1491"/>
      <c r="D108" s="1491"/>
      <c r="E108" s="1491"/>
      <c r="F108" s="1491"/>
      <c r="G108" s="1492"/>
      <c r="H108" s="986"/>
      <c r="I108" s="1018"/>
      <c r="J108" s="1792"/>
      <c r="K108" s="1793"/>
      <c r="L108" s="1757"/>
      <c r="M108" s="1758"/>
      <c r="N108" s="1758"/>
      <c r="O108" s="1758"/>
      <c r="P108" s="1758"/>
      <c r="Q108" s="1776"/>
      <c r="R108" s="1777"/>
      <c r="S108" s="1725"/>
      <c r="T108" s="1258"/>
      <c r="U108" s="1340"/>
      <c r="V108" s="72"/>
      <c r="W108" s="76"/>
      <c r="X108" s="74"/>
      <c r="Y108" s="72"/>
      <c r="Z108" s="72"/>
      <c r="AA108" s="68"/>
      <c r="AB108" s="72">
        <f t="shared" si="3"/>
        <v>0</v>
      </c>
      <c r="AC108" s="68"/>
      <c r="AD108" s="68"/>
      <c r="AE108" s="68"/>
      <c r="AF108" s="68"/>
      <c r="AG108" s="68"/>
    </row>
    <row r="109" spans="1:33" ht="14.25" customHeight="1" thickBot="1" x14ac:dyDescent="0.3">
      <c r="A109" s="1516"/>
      <c r="B109" s="1502" t="s">
        <v>277</v>
      </c>
      <c r="C109" s="1503"/>
      <c r="D109" s="1503"/>
      <c r="E109" s="1503"/>
      <c r="F109" s="1503"/>
      <c r="G109" s="1503"/>
      <c r="H109" s="1503"/>
      <c r="I109" s="1500">
        <f>I37+I44+I60+I77+I89+I92+I96+I103</f>
        <v>0.69</v>
      </c>
      <c r="J109" s="1506">
        <f>J103+J96+J92+J89+J77+J60+J44+J37</f>
        <v>0</v>
      </c>
      <c r="K109" s="1161"/>
      <c r="L109" s="1323">
        <f>SUM(R103:S108)</f>
        <v>0</v>
      </c>
      <c r="M109" s="1323"/>
      <c r="N109" s="1323"/>
      <c r="O109" s="1323"/>
      <c r="P109" s="1355"/>
      <c r="Q109" s="1329"/>
      <c r="R109" s="1036">
        <f>SUM(R96:S108)+SUM(R89:S94)+SUM(R77:S87)+SUM(R60:S72)+SUM(R44:S55)+SUM(R37:S42)</f>
        <v>0</v>
      </c>
      <c r="S109" s="1037"/>
      <c r="T109" s="1371"/>
      <c r="U109" s="1773"/>
      <c r="V109" s="72"/>
      <c r="W109" s="74"/>
      <c r="X109" s="78"/>
      <c r="Y109" s="78"/>
      <c r="Z109" s="78"/>
      <c r="AA109" s="68"/>
      <c r="AC109" s="68"/>
      <c r="AD109" s="68"/>
      <c r="AE109" s="68"/>
      <c r="AF109" s="68"/>
      <c r="AG109" s="68"/>
    </row>
    <row r="110" spans="1:33" ht="15" customHeight="1" thickBot="1" x14ac:dyDescent="0.3">
      <c r="A110" s="1516"/>
      <c r="B110" s="1504"/>
      <c r="C110" s="1505"/>
      <c r="D110" s="1505"/>
      <c r="E110" s="1505"/>
      <c r="F110" s="1505"/>
      <c r="G110" s="1505"/>
      <c r="H110" s="1505"/>
      <c r="I110" s="1501"/>
      <c r="J110" s="1507"/>
      <c r="K110" s="1163"/>
      <c r="L110" s="1325"/>
      <c r="M110" s="1325"/>
      <c r="N110" s="1325"/>
      <c r="O110" s="1325"/>
      <c r="P110" s="1359"/>
      <c r="Q110" s="1330"/>
      <c r="R110" s="1042"/>
      <c r="S110" s="1043"/>
      <c r="T110" s="1371"/>
      <c r="U110" s="1774"/>
      <c r="V110" s="206">
        <f>SUM(V33:V108)+R21</f>
        <v>2</v>
      </c>
      <c r="W110" s="207"/>
      <c r="X110" s="207"/>
      <c r="Y110" s="72"/>
      <c r="Z110" s="72"/>
      <c r="AA110" s="68"/>
      <c r="AB110" s="72">
        <f>SUM(AB37:AB108)</f>
        <v>3</v>
      </c>
      <c r="AC110" s="68"/>
      <c r="AD110" s="68"/>
      <c r="AE110" s="68"/>
      <c r="AF110" s="68"/>
      <c r="AG110" s="68"/>
    </row>
    <row r="111" spans="1:33" ht="15" customHeight="1" x14ac:dyDescent="0.25">
      <c r="B111" s="136"/>
      <c r="C111" s="136"/>
      <c r="D111" s="136"/>
      <c r="E111" s="136"/>
      <c r="F111" s="136"/>
      <c r="G111" s="136"/>
      <c r="H111" s="136"/>
      <c r="I111" s="137"/>
      <c r="J111" s="138"/>
      <c r="K111" s="138"/>
      <c r="L111" s="139"/>
      <c r="M111" s="137"/>
      <c r="N111" s="137"/>
      <c r="O111" s="137"/>
      <c r="P111" s="138"/>
      <c r="Q111" s="138"/>
      <c r="R111" s="140"/>
      <c r="S111" s="79"/>
      <c r="T111" s="80"/>
      <c r="U111" s="195"/>
      <c r="V111" s="68"/>
      <c r="W111" s="68"/>
      <c r="X111" s="68"/>
      <c r="Y111" s="68"/>
      <c r="Z111" s="68"/>
      <c r="AA111" s="68"/>
      <c r="AC111" s="68"/>
      <c r="AD111" s="68"/>
      <c r="AE111" s="68"/>
      <c r="AF111" s="68"/>
    </row>
    <row r="112" spans="1:33" ht="15" customHeight="1" x14ac:dyDescent="0.25">
      <c r="B112" s="1317" t="s">
        <v>278</v>
      </c>
      <c r="C112" s="1318"/>
      <c r="D112" s="1318"/>
      <c r="E112" s="1318"/>
      <c r="F112" s="1318"/>
      <c r="G112" s="1318"/>
      <c r="H112" s="1318"/>
      <c r="I112" s="1318"/>
      <c r="J112" s="1318"/>
      <c r="K112" s="1318"/>
      <c r="L112" s="1318"/>
      <c r="M112" s="1318"/>
      <c r="N112" s="1318"/>
      <c r="O112" s="1318"/>
      <c r="P112" s="1318"/>
      <c r="Q112" s="1318"/>
      <c r="R112" s="1318"/>
      <c r="S112" s="79"/>
      <c r="T112" s="80"/>
      <c r="U112" s="195"/>
      <c r="V112" s="68"/>
      <c r="W112" s="68"/>
      <c r="X112" s="68"/>
      <c r="Y112" s="68"/>
      <c r="Z112" s="68"/>
      <c r="AA112" s="68"/>
      <c r="AC112" s="68"/>
      <c r="AD112" s="68"/>
      <c r="AE112" s="68"/>
      <c r="AF112" s="68"/>
    </row>
    <row r="113" spans="1:27" ht="15" customHeight="1" x14ac:dyDescent="0.25">
      <c r="B113" s="1318"/>
      <c r="C113" s="1318"/>
      <c r="D113" s="1318"/>
      <c r="E113" s="1318"/>
      <c r="F113" s="1318"/>
      <c r="G113" s="1318"/>
      <c r="H113" s="1318"/>
      <c r="I113" s="1318"/>
      <c r="J113" s="1318"/>
      <c r="K113" s="1318"/>
      <c r="L113" s="1318"/>
      <c r="M113" s="1318"/>
      <c r="N113" s="1318"/>
      <c r="O113" s="1318"/>
      <c r="P113" s="1318"/>
      <c r="Q113" s="1318"/>
      <c r="R113" s="1318"/>
      <c r="S113" s="79"/>
      <c r="T113" s="80"/>
      <c r="U113" s="80"/>
    </row>
    <row r="114" spans="1:27" ht="15" customHeight="1" x14ac:dyDescent="0.25">
      <c r="B114" s="327"/>
      <c r="C114" s="327"/>
      <c r="D114" s="327"/>
      <c r="E114" s="327"/>
      <c r="F114" s="327"/>
      <c r="G114" s="327"/>
      <c r="H114" s="327"/>
      <c r="I114" s="327"/>
      <c r="J114" s="327"/>
      <c r="K114" s="327"/>
      <c r="L114" s="327"/>
      <c r="M114" s="327"/>
      <c r="N114" s="327"/>
      <c r="O114" s="327"/>
      <c r="P114" s="327"/>
      <c r="Q114" s="327"/>
      <c r="R114" s="327"/>
      <c r="S114" s="79"/>
      <c r="T114" s="80"/>
      <c r="U114" s="80"/>
    </row>
    <row r="116" spans="1:27" x14ac:dyDescent="0.25">
      <c r="A116" s="491" t="s">
        <v>279</v>
      </c>
      <c r="B116" s="40" t="str">
        <f>IF(B1=V2,"Honorarvereinbarung für die zunächst beauftragten und für die optionalen Leistungen ","Honorarangebot für die zunächst beauftragten und für die optionalen Leistungen")</f>
        <v>Honorarangebot für die zunächst beauftragten und für die optionalen Leistungen</v>
      </c>
      <c r="Q116" s="40"/>
      <c r="AA116" s="40"/>
    </row>
    <row r="117" spans="1:27" ht="14.55" thickBot="1" x14ac:dyDescent="0.3"/>
    <row r="118" spans="1:27" x14ac:dyDescent="0.25">
      <c r="B118" s="941" t="s">
        <v>55</v>
      </c>
      <c r="C118" s="942"/>
      <c r="D118" s="942"/>
      <c r="E118" s="942"/>
      <c r="F118" s="943"/>
      <c r="G118" s="99"/>
      <c r="H118" s="944">
        <f>J109</f>
        <v>0</v>
      </c>
      <c r="I118" s="944"/>
      <c r="J118" s="945"/>
    </row>
    <row r="119" spans="1:27" x14ac:dyDescent="0.25">
      <c r="B119" s="301"/>
      <c r="C119" s="41"/>
      <c r="D119" s="41"/>
      <c r="E119" s="41"/>
      <c r="F119" s="302"/>
      <c r="G119" s="101"/>
      <c r="H119" s="303"/>
      <c r="I119" s="303"/>
      <c r="J119" s="304"/>
    </row>
    <row r="120" spans="1:27" ht="15.95" customHeight="1" thickBot="1" x14ac:dyDescent="0.3">
      <c r="B120" s="1298" t="s">
        <v>280</v>
      </c>
      <c r="C120" s="1299"/>
      <c r="D120" s="1299"/>
      <c r="E120" s="1299"/>
      <c r="F120" s="1300"/>
      <c r="G120" s="102">
        <f>F21</f>
        <v>0</v>
      </c>
      <c r="H120" s="956">
        <f>H118*G120</f>
        <v>0</v>
      </c>
      <c r="I120" s="956"/>
      <c r="J120" s="957"/>
      <c r="K120" s="96">
        <f>H118+H120</f>
        <v>0</v>
      </c>
    </row>
    <row r="121" spans="1:27" x14ac:dyDescent="0.25">
      <c r="B121" s="90"/>
      <c r="C121" s="91"/>
      <c r="D121" s="91"/>
      <c r="E121" s="91"/>
      <c r="F121" s="92"/>
      <c r="G121" s="88"/>
      <c r="J121" s="89"/>
    </row>
    <row r="122" spans="1:27" x14ac:dyDescent="0.25">
      <c r="B122" s="926" t="s">
        <v>57</v>
      </c>
      <c r="C122" s="927"/>
      <c r="D122" s="927"/>
      <c r="E122" s="927"/>
      <c r="F122" s="928"/>
      <c r="G122" s="101"/>
      <c r="H122" s="954">
        <f>R109</f>
        <v>0</v>
      </c>
      <c r="I122" s="954"/>
      <c r="J122" s="955"/>
    </row>
    <row r="123" spans="1:27" ht="14.55" thickBot="1" x14ac:dyDescent="0.3">
      <c r="B123" s="296"/>
      <c r="C123" s="297"/>
      <c r="D123" s="297"/>
      <c r="E123" s="297"/>
      <c r="F123" s="298"/>
      <c r="G123" s="1333"/>
      <c r="H123" s="1334"/>
      <c r="I123" s="1334"/>
      <c r="J123" s="1335"/>
    </row>
    <row r="124" spans="1:27" ht="15.95" customHeight="1" thickBot="1" x14ac:dyDescent="0.3">
      <c r="B124" s="929" t="s">
        <v>59</v>
      </c>
      <c r="C124" s="930"/>
      <c r="D124" s="930"/>
      <c r="E124" s="930"/>
      <c r="F124" s="931"/>
      <c r="G124" s="107"/>
      <c r="H124" s="935">
        <f>SUM(H118:J122)</f>
        <v>0</v>
      </c>
      <c r="I124" s="935"/>
      <c r="J124" s="936"/>
    </row>
    <row r="125" spans="1:27" x14ac:dyDescent="0.25">
      <c r="B125" s="320"/>
      <c r="C125" s="321"/>
      <c r="D125" s="321"/>
      <c r="E125" s="321"/>
      <c r="F125" s="322"/>
      <c r="G125" s="45"/>
      <c r="H125" s="93"/>
      <c r="I125" s="93"/>
      <c r="J125" s="94"/>
    </row>
    <row r="126" spans="1:27" ht="15" customHeight="1" x14ac:dyDescent="0.25">
      <c r="B126" s="917" t="s">
        <v>60</v>
      </c>
      <c r="C126" s="918"/>
      <c r="D126" s="918"/>
      <c r="E126" s="918"/>
      <c r="F126" s="919"/>
      <c r="G126" s="100">
        <f>Überblick!$G$98</f>
        <v>0.19</v>
      </c>
      <c r="H126" s="954">
        <f>H124*G126</f>
        <v>0</v>
      </c>
      <c r="I126" s="954"/>
      <c r="J126" s="955"/>
    </row>
    <row r="127" spans="1:27" ht="14.55" thickBot="1" x14ac:dyDescent="0.3">
      <c r="B127" s="305"/>
      <c r="C127" s="306"/>
      <c r="D127" s="306"/>
      <c r="E127" s="306"/>
      <c r="F127" s="307"/>
      <c r="G127" s="102"/>
      <c r="H127" s="299"/>
      <c r="I127" s="299"/>
      <c r="J127" s="300"/>
    </row>
    <row r="128" spans="1:27" ht="15" customHeight="1" x14ac:dyDescent="0.25">
      <c r="B128" s="920" t="s">
        <v>281</v>
      </c>
      <c r="C128" s="921"/>
      <c r="D128" s="921"/>
      <c r="E128" s="921"/>
      <c r="F128" s="922"/>
      <c r="G128" s="97"/>
      <c r="H128" s="937">
        <f>H124+H126</f>
        <v>0</v>
      </c>
      <c r="I128" s="937"/>
      <c r="J128" s="938"/>
    </row>
    <row r="129" spans="1:26" ht="14.55" thickBot="1" x14ac:dyDescent="0.3">
      <c r="B129" s="923"/>
      <c r="C129" s="924"/>
      <c r="D129" s="924"/>
      <c r="E129" s="924"/>
      <c r="F129" s="925"/>
      <c r="G129" s="98"/>
      <c r="H129" s="939"/>
      <c r="I129" s="939"/>
      <c r="J129" s="940"/>
    </row>
    <row r="131" spans="1:26" x14ac:dyDescent="0.25">
      <c r="A131" s="491" t="s">
        <v>282</v>
      </c>
      <c r="B131" s="60" t="str">
        <f>IF(B1=V2,"Honorarvereinbarung für die zunächst beauftragenden Leistungen","Honorangebot für die zunächst beauftragenden Leistungen ")</f>
        <v xml:space="preserve">Honorangebot für die zunächst beauftragenden Leistungen </v>
      </c>
      <c r="C131" s="60"/>
      <c r="D131" s="60"/>
      <c r="E131" s="60"/>
      <c r="F131" s="65"/>
      <c r="G131" s="65"/>
      <c r="H131" s="65"/>
      <c r="I131" s="66"/>
      <c r="J131" s="66"/>
      <c r="K131" s="66"/>
      <c r="L131" s="66"/>
      <c r="M131" s="66"/>
      <c r="N131" s="66"/>
      <c r="O131" s="66"/>
      <c r="P131" s="67"/>
      <c r="Q131" s="60"/>
      <c r="R131" s="67"/>
      <c r="S131" s="67"/>
      <c r="T131" s="67"/>
      <c r="U131" s="67"/>
      <c r="Z131" s="60"/>
    </row>
    <row r="132" spans="1:26" ht="14.55" thickBot="1" x14ac:dyDescent="0.3">
      <c r="B132" s="60"/>
      <c r="C132" s="60"/>
      <c r="D132" s="60"/>
      <c r="E132" s="60"/>
      <c r="F132" s="65"/>
      <c r="G132" s="65"/>
      <c r="H132" s="65"/>
      <c r="I132" s="66"/>
      <c r="J132" s="66"/>
      <c r="K132" s="66"/>
      <c r="L132" s="66"/>
      <c r="M132" s="66"/>
      <c r="N132" s="66"/>
      <c r="O132" s="66"/>
      <c r="P132" s="67"/>
      <c r="Q132" s="67"/>
      <c r="R132" s="67"/>
      <c r="S132" s="67"/>
      <c r="T132" s="67"/>
      <c r="U132" s="67"/>
    </row>
    <row r="133" spans="1:26" x14ac:dyDescent="0.25">
      <c r="B133" s="941" t="s">
        <v>55</v>
      </c>
      <c r="C133" s="942"/>
      <c r="D133" s="942"/>
      <c r="E133" s="942"/>
      <c r="F133" s="943"/>
      <c r="G133" s="99"/>
      <c r="H133" s="944">
        <f>'Berechnung - Raumakustik'!H101</f>
        <v>0</v>
      </c>
      <c r="I133" s="944"/>
      <c r="J133" s="945"/>
      <c r="K133" s="66"/>
      <c r="L133" s="66"/>
      <c r="M133" s="66"/>
      <c r="N133" s="66"/>
      <c r="O133" s="66"/>
      <c r="P133" s="67"/>
      <c r="Q133" s="67"/>
      <c r="R133" s="67"/>
      <c r="S133" s="67"/>
      <c r="T133" s="67"/>
      <c r="U133" s="67"/>
    </row>
    <row r="134" spans="1:26" x14ac:dyDescent="0.25">
      <c r="B134" s="301"/>
      <c r="C134" s="41"/>
      <c r="D134" s="41"/>
      <c r="E134" s="41"/>
      <c r="F134" s="302"/>
      <c r="G134" s="101"/>
      <c r="H134" s="303"/>
      <c r="I134" s="303"/>
      <c r="J134" s="304"/>
      <c r="K134" s="66"/>
      <c r="L134" s="66"/>
      <c r="M134" s="66"/>
      <c r="N134" s="66"/>
      <c r="O134" s="66"/>
      <c r="P134" s="67"/>
      <c r="Q134" s="67"/>
      <c r="R134" s="67"/>
      <c r="S134" s="67"/>
      <c r="T134" s="67"/>
      <c r="U134" s="67"/>
    </row>
    <row r="135" spans="1:26" ht="15" customHeight="1" thickBot="1" x14ac:dyDescent="0.3">
      <c r="B135" s="1298" t="s">
        <v>280</v>
      </c>
      <c r="C135" s="1299"/>
      <c r="D135" s="1299"/>
      <c r="E135" s="1299"/>
      <c r="F135" s="1300"/>
      <c r="G135" s="102">
        <f>F21</f>
        <v>0</v>
      </c>
      <c r="H135" s="956">
        <f>H133*G135</f>
        <v>0</v>
      </c>
      <c r="I135" s="956"/>
      <c r="J135" s="957"/>
      <c r="K135" s="66"/>
      <c r="L135" s="66"/>
      <c r="M135" s="66"/>
      <c r="N135" s="66"/>
      <c r="O135" s="66"/>
      <c r="P135" s="67"/>
      <c r="Q135" s="67"/>
      <c r="R135" s="67"/>
      <c r="S135" s="67"/>
      <c r="T135" s="67"/>
      <c r="U135" s="67"/>
    </row>
    <row r="136" spans="1:26" x14ac:dyDescent="0.25">
      <c r="B136" s="90"/>
      <c r="C136" s="91"/>
      <c r="D136" s="91"/>
      <c r="E136" s="91"/>
      <c r="F136" s="92"/>
      <c r="G136" s="45"/>
      <c r="H136" s="46"/>
      <c r="I136" s="46"/>
      <c r="J136" s="105"/>
      <c r="K136" s="66"/>
      <c r="L136" s="66"/>
      <c r="M136" s="66"/>
      <c r="N136" s="66"/>
      <c r="O136" s="66"/>
      <c r="P136" s="67"/>
      <c r="Q136" s="67"/>
      <c r="R136" s="67"/>
      <c r="S136" s="67"/>
      <c r="T136" s="67"/>
      <c r="U136" s="67"/>
    </row>
    <row r="137" spans="1:26" x14ac:dyDescent="0.25">
      <c r="B137" s="926" t="s">
        <v>57</v>
      </c>
      <c r="C137" s="927"/>
      <c r="D137" s="927"/>
      <c r="E137" s="927"/>
      <c r="F137" s="928"/>
      <c r="G137" s="101"/>
      <c r="H137" s="954">
        <f>'Berechnung - Raumakustik'!J101</f>
        <v>0</v>
      </c>
      <c r="I137" s="954"/>
      <c r="J137" s="955"/>
      <c r="K137" s="66"/>
      <c r="L137" s="66"/>
      <c r="M137" s="66"/>
      <c r="N137" s="66"/>
      <c r="O137" s="66"/>
      <c r="P137" s="67"/>
      <c r="Q137" s="67"/>
      <c r="R137" s="67"/>
      <c r="S137" s="67"/>
      <c r="T137" s="67"/>
      <c r="U137" s="67"/>
    </row>
    <row r="138" spans="1:26" ht="14.55" thickBot="1" x14ac:dyDescent="0.3">
      <c r="B138" s="90"/>
      <c r="C138" s="91"/>
      <c r="D138" s="91"/>
      <c r="E138" s="91"/>
      <c r="F138" s="92"/>
      <c r="G138" s="1333"/>
      <c r="H138" s="1334"/>
      <c r="I138" s="1334"/>
      <c r="J138" s="1335"/>
      <c r="K138" s="66"/>
      <c r="L138" s="66"/>
      <c r="M138" s="66"/>
      <c r="N138" s="66"/>
      <c r="O138" s="66"/>
      <c r="P138" s="67"/>
      <c r="Q138" s="67"/>
      <c r="R138" s="67"/>
      <c r="S138" s="67"/>
      <c r="T138" s="67"/>
      <c r="U138" s="67"/>
    </row>
    <row r="139" spans="1:26" ht="15.95" customHeight="1" thickBot="1" x14ac:dyDescent="0.3">
      <c r="B139" s="929" t="s">
        <v>59</v>
      </c>
      <c r="C139" s="930"/>
      <c r="D139" s="930"/>
      <c r="E139" s="930"/>
      <c r="F139" s="931"/>
      <c r="G139" s="107"/>
      <c r="H139" s="935">
        <f>SUM(H133:J137)</f>
        <v>0</v>
      </c>
      <c r="I139" s="935"/>
      <c r="J139" s="936"/>
      <c r="K139" s="66"/>
      <c r="L139" s="66"/>
      <c r="M139" s="66"/>
      <c r="N139" s="66"/>
      <c r="O139" s="66"/>
      <c r="P139" s="67"/>
      <c r="Q139" s="67"/>
      <c r="R139" s="67"/>
      <c r="S139" s="67"/>
      <c r="T139" s="67"/>
      <c r="U139" s="67"/>
    </row>
    <row r="140" spans="1:26" x14ac:dyDescent="0.25">
      <c r="B140" s="320"/>
      <c r="C140" s="321"/>
      <c r="D140" s="321"/>
      <c r="E140" s="321"/>
      <c r="F140" s="322"/>
      <c r="G140" s="45"/>
      <c r="H140" s="93"/>
      <c r="I140" s="93"/>
      <c r="J140" s="94"/>
      <c r="K140" s="66"/>
      <c r="L140" s="66"/>
      <c r="M140" s="66"/>
      <c r="N140" s="66"/>
      <c r="O140" s="66"/>
      <c r="P140" s="67"/>
      <c r="Q140" s="67"/>
      <c r="R140" s="67"/>
      <c r="S140" s="67"/>
      <c r="T140" s="67"/>
      <c r="U140" s="67"/>
    </row>
    <row r="141" spans="1:26" ht="15" customHeight="1" x14ac:dyDescent="0.25">
      <c r="B141" s="917" t="s">
        <v>94</v>
      </c>
      <c r="C141" s="918"/>
      <c r="D141" s="918"/>
      <c r="E141" s="918"/>
      <c r="F141" s="919"/>
      <c r="G141" s="100">
        <f>Überblick!$G$98</f>
        <v>0.19</v>
      </c>
      <c r="H141" s="954">
        <f>H139*G141</f>
        <v>0</v>
      </c>
      <c r="I141" s="954"/>
      <c r="J141" s="955"/>
      <c r="K141" s="66"/>
      <c r="L141" s="66"/>
      <c r="M141" s="66"/>
      <c r="N141" s="66"/>
      <c r="O141" s="66"/>
      <c r="P141" s="67"/>
      <c r="Q141" s="67"/>
      <c r="R141" s="67"/>
      <c r="S141" s="67"/>
      <c r="T141" s="67"/>
      <c r="U141" s="67"/>
    </row>
    <row r="142" spans="1:26" ht="14.55" thickBot="1" x14ac:dyDescent="0.3">
      <c r="B142" s="305"/>
      <c r="C142" s="306"/>
      <c r="D142" s="306"/>
      <c r="E142" s="306"/>
      <c r="F142" s="307"/>
      <c r="G142" s="102"/>
      <c r="H142" s="299"/>
      <c r="I142" s="299"/>
      <c r="J142" s="300"/>
      <c r="K142" s="66"/>
      <c r="L142" s="66"/>
      <c r="M142" s="66"/>
      <c r="N142" s="66"/>
      <c r="O142" s="66"/>
      <c r="P142" s="67"/>
      <c r="Q142" s="67"/>
      <c r="R142" s="67"/>
      <c r="S142" s="67"/>
      <c r="T142" s="67"/>
      <c r="U142" s="67"/>
    </row>
    <row r="143" spans="1:26" ht="15" customHeight="1" x14ac:dyDescent="0.25">
      <c r="B143" s="920" t="s">
        <v>98</v>
      </c>
      <c r="C143" s="921"/>
      <c r="D143" s="921"/>
      <c r="E143" s="921"/>
      <c r="F143" s="922"/>
      <c r="G143" s="172"/>
      <c r="H143" s="937">
        <f>H139+H141</f>
        <v>0</v>
      </c>
      <c r="I143" s="937"/>
      <c r="J143" s="938"/>
      <c r="K143" s="66"/>
      <c r="L143" s="66"/>
      <c r="M143" s="66"/>
      <c r="N143" s="66"/>
      <c r="O143" s="66"/>
      <c r="P143" s="67"/>
      <c r="Q143" s="67"/>
      <c r="R143" s="67"/>
      <c r="S143" s="67"/>
      <c r="T143" s="67"/>
      <c r="U143" s="67"/>
    </row>
    <row r="144" spans="1:26" ht="14.55" thickBot="1" x14ac:dyDescent="0.3">
      <c r="B144" s="923"/>
      <c r="C144" s="924"/>
      <c r="D144" s="924"/>
      <c r="E144" s="924"/>
      <c r="F144" s="925"/>
      <c r="G144" s="98"/>
      <c r="H144" s="939"/>
      <c r="I144" s="939"/>
      <c r="J144" s="940"/>
      <c r="K144" s="66"/>
      <c r="L144" s="66"/>
      <c r="M144" s="66"/>
      <c r="N144" s="66"/>
      <c r="O144" s="66"/>
      <c r="P144" s="67"/>
      <c r="Q144" s="67"/>
      <c r="R144" s="67"/>
      <c r="S144" s="67"/>
      <c r="T144" s="67"/>
      <c r="U144" s="67"/>
    </row>
    <row r="145" spans="1:21" x14ac:dyDescent="0.25">
      <c r="B145" s="60"/>
      <c r="C145" s="60"/>
      <c r="D145" s="60"/>
      <c r="E145" s="60"/>
      <c r="F145" s="65"/>
      <c r="G145" s="65"/>
      <c r="H145" s="65"/>
      <c r="I145" s="66"/>
      <c r="J145" s="66"/>
      <c r="K145" s="66"/>
      <c r="L145" s="66"/>
      <c r="M145" s="66"/>
      <c r="N145" s="66"/>
      <c r="O145" s="66"/>
      <c r="P145" s="67"/>
      <c r="Q145" s="67"/>
      <c r="R145" s="67"/>
      <c r="S145" s="67"/>
      <c r="T145" s="67"/>
      <c r="U145" s="67"/>
    </row>
    <row r="146" spans="1:21" x14ac:dyDescent="0.25">
      <c r="A146" s="491" t="s">
        <v>284</v>
      </c>
      <c r="B146" s="40" t="str">
        <f>IF(B1=V2,"Gemäß der Honorarvereinbarung werden die Stufen wie folgt vergütet (netto): ","Gemäß des Honorarangebotes werden die Stufen wie folgt vergütet (netto): ")</f>
        <v xml:space="preserve">Gemäß des Honorarangebotes werden die Stufen wie folgt vergütet (netto): </v>
      </c>
      <c r="C146" s="40"/>
      <c r="D146" s="40"/>
      <c r="E146" s="40"/>
      <c r="F146" s="40"/>
      <c r="G146" s="40"/>
      <c r="H146" s="40"/>
      <c r="I146" s="40"/>
      <c r="J146" s="40"/>
      <c r="K146" s="40"/>
      <c r="L146" s="60"/>
      <c r="M146" s="66"/>
      <c r="N146" s="66"/>
      <c r="O146" s="40"/>
      <c r="P146" s="67"/>
      <c r="Q146" s="67"/>
      <c r="R146" s="67"/>
      <c r="S146" s="67"/>
      <c r="T146" s="67"/>
      <c r="U146" s="67"/>
    </row>
    <row r="147" spans="1:21" ht="14.55" thickBot="1" x14ac:dyDescent="0.3">
      <c r="B147" s="60"/>
      <c r="C147" s="60"/>
      <c r="D147" s="60"/>
      <c r="E147" s="60"/>
      <c r="F147" s="65"/>
      <c r="G147" s="65"/>
      <c r="H147" s="65"/>
      <c r="I147" s="66"/>
      <c r="J147" s="66"/>
      <c r="K147" s="66"/>
      <c r="L147" s="66"/>
      <c r="M147" s="66"/>
      <c r="N147" s="66"/>
      <c r="O147" s="40"/>
      <c r="P147" s="67"/>
      <c r="Q147" s="67"/>
      <c r="R147" s="67"/>
      <c r="S147" s="67"/>
      <c r="T147" s="67"/>
      <c r="U147" s="67"/>
    </row>
    <row r="148" spans="1:21" ht="15.2" thickTop="1" thickBot="1" x14ac:dyDescent="0.3">
      <c r="B148" s="357" t="s">
        <v>105</v>
      </c>
      <c r="C148" s="358" t="s">
        <v>285</v>
      </c>
      <c r="D148" s="359" t="s">
        <v>286</v>
      </c>
      <c r="E148" s="360" t="s">
        <v>287</v>
      </c>
      <c r="F148" s="360" t="s">
        <v>288</v>
      </c>
      <c r="G148" s="361" t="s">
        <v>289</v>
      </c>
      <c r="H148" s="361" t="s">
        <v>290</v>
      </c>
      <c r="I148" s="362" t="s">
        <v>295</v>
      </c>
      <c r="J148" s="364" t="s">
        <v>296</v>
      </c>
      <c r="K148" s="204"/>
      <c r="L148" s="204"/>
      <c r="M148" s="204"/>
      <c r="N148" s="204"/>
      <c r="O148" s="204"/>
      <c r="P148" s="205"/>
      <c r="Q148" s="67"/>
      <c r="R148" s="67"/>
      <c r="S148" s="67"/>
      <c r="T148" s="67"/>
      <c r="U148" s="67"/>
    </row>
    <row r="149" spans="1:21" x14ac:dyDescent="0.25">
      <c r="A149" s="492"/>
      <c r="B149" s="153" t="str">
        <f>IF(Überblick!$H$53&gt;=1,"1:",0)</f>
        <v>1:</v>
      </c>
      <c r="C149" s="481">
        <f>'Berechnung - Raumakustik'!C106</f>
        <v>0</v>
      </c>
      <c r="D149" s="481">
        <f>'Berechnung - Raumakustik'!D106</f>
        <v>0</v>
      </c>
      <c r="E149" s="481">
        <f>'Berechnung - Raumakustik'!E106</f>
        <v>0</v>
      </c>
      <c r="F149" s="481">
        <f>'Berechnung - Raumakustik'!F106</f>
        <v>0</v>
      </c>
      <c r="G149" s="481">
        <f>'Berechnung - Raumakustik'!G106</f>
        <v>0</v>
      </c>
      <c r="H149" s="481">
        <f>'Berechnung - Raumakustik'!H106</f>
        <v>0</v>
      </c>
      <c r="I149" s="481">
        <f>'Berechnung - Raumakustik'!M106</f>
        <v>0</v>
      </c>
      <c r="J149" s="481">
        <f>'Berechnung - Raumakustik'!N106</f>
        <v>0</v>
      </c>
      <c r="K149" s="354"/>
      <c r="L149" s="354"/>
      <c r="M149" s="354"/>
      <c r="N149" s="177"/>
      <c r="O149" s="177"/>
      <c r="P149" s="177"/>
      <c r="Q149" s="96">
        <f>SUM(C149:P149)</f>
        <v>0</v>
      </c>
      <c r="S149" s="63"/>
      <c r="T149" s="63"/>
      <c r="U149" s="63"/>
    </row>
    <row r="150" spans="1:21" ht="15.95" customHeight="1" x14ac:dyDescent="0.25">
      <c r="A150" s="492"/>
      <c r="B150" s="153" t="str">
        <f>IF(Überblick!$H$53&gt;=2,"2:",0)</f>
        <v>2:</v>
      </c>
      <c r="C150" s="481">
        <f>'Berechnung - Raumakustik'!C107</f>
        <v>0</v>
      </c>
      <c r="D150" s="481">
        <f>'Berechnung - Raumakustik'!D107</f>
        <v>0</v>
      </c>
      <c r="E150" s="481">
        <f>'Berechnung - Raumakustik'!E107</f>
        <v>0</v>
      </c>
      <c r="F150" s="481">
        <f>'Berechnung - Raumakustik'!F107</f>
        <v>0</v>
      </c>
      <c r="G150" s="481">
        <f>'Berechnung - Raumakustik'!G107</f>
        <v>0</v>
      </c>
      <c r="H150" s="481">
        <f>'Berechnung - Raumakustik'!H107</f>
        <v>0</v>
      </c>
      <c r="I150" s="481">
        <f>'Berechnung - Raumakustik'!M107</f>
        <v>0</v>
      </c>
      <c r="J150" s="481">
        <f>'Berechnung - Raumakustik'!N107</f>
        <v>0</v>
      </c>
      <c r="K150" s="354"/>
      <c r="L150" s="354"/>
      <c r="M150" s="354"/>
      <c r="N150" s="177"/>
      <c r="O150" s="177"/>
      <c r="P150" s="177"/>
      <c r="Q150" s="96">
        <f t="shared" ref="Q150:Q156" si="5">SUM(C150:P150)</f>
        <v>0</v>
      </c>
    </row>
    <row r="151" spans="1:21" x14ac:dyDescent="0.25">
      <c r="A151" s="59"/>
      <c r="B151" s="153" t="str">
        <f>IF(Überblick!$H$53&gt;=3,"3:",0)</f>
        <v>3:</v>
      </c>
      <c r="C151" s="481">
        <f>'Berechnung - Raumakustik'!C108</f>
        <v>0</v>
      </c>
      <c r="D151" s="481">
        <f>'Berechnung - Raumakustik'!D108</f>
        <v>0</v>
      </c>
      <c r="E151" s="481">
        <f>'Berechnung - Raumakustik'!E108</f>
        <v>0</v>
      </c>
      <c r="F151" s="481">
        <f>'Berechnung - Raumakustik'!F108</f>
        <v>0</v>
      </c>
      <c r="G151" s="481">
        <f>'Berechnung - Raumakustik'!G108</f>
        <v>0</v>
      </c>
      <c r="H151" s="481">
        <f>'Berechnung - Raumakustik'!H108</f>
        <v>0</v>
      </c>
      <c r="I151" s="481">
        <f>'Berechnung - Raumakustik'!M108</f>
        <v>0</v>
      </c>
      <c r="J151" s="481">
        <f>'Berechnung - Raumakustik'!N108</f>
        <v>0</v>
      </c>
      <c r="K151" s="354"/>
      <c r="L151" s="354"/>
      <c r="M151" s="354"/>
      <c r="N151" s="177"/>
      <c r="O151" s="177"/>
      <c r="P151" s="177"/>
      <c r="Q151" s="96">
        <f t="shared" si="5"/>
        <v>0</v>
      </c>
    </row>
    <row r="152" spans="1:21" x14ac:dyDescent="0.25">
      <c r="B152" s="153" t="str">
        <f>IF(Überblick!$H$53&gt;=4,"4:",0)</f>
        <v>4:</v>
      </c>
      <c r="C152" s="481">
        <f>'Berechnung - Raumakustik'!C109</f>
        <v>0</v>
      </c>
      <c r="D152" s="481">
        <f>'Berechnung - Raumakustik'!D109</f>
        <v>0</v>
      </c>
      <c r="E152" s="481">
        <f>'Berechnung - Raumakustik'!E109</f>
        <v>0</v>
      </c>
      <c r="F152" s="481">
        <f>'Berechnung - Raumakustik'!F109</f>
        <v>0</v>
      </c>
      <c r="G152" s="481">
        <f>'Berechnung - Raumakustik'!G109</f>
        <v>0</v>
      </c>
      <c r="H152" s="481">
        <f>'Berechnung - Raumakustik'!H109</f>
        <v>0</v>
      </c>
      <c r="I152" s="481">
        <f>'Berechnung - Raumakustik'!M109</f>
        <v>0</v>
      </c>
      <c r="J152" s="481">
        <f>'Berechnung - Raumakustik'!N109</f>
        <v>0</v>
      </c>
      <c r="K152" s="354"/>
      <c r="L152" s="354"/>
      <c r="M152" s="354"/>
      <c r="N152" s="177"/>
      <c r="O152" s="177"/>
      <c r="P152" s="177"/>
      <c r="Q152" s="96">
        <f t="shared" si="5"/>
        <v>0</v>
      </c>
    </row>
    <row r="153" spans="1:21" x14ac:dyDescent="0.25">
      <c r="B153" s="153" t="str">
        <f>IF(Überblick!$H$53&gt;=5,"5:",0)</f>
        <v>5:</v>
      </c>
      <c r="C153" s="481">
        <f>'Berechnung - Raumakustik'!C110</f>
        <v>0</v>
      </c>
      <c r="D153" s="481">
        <f>'Berechnung - Raumakustik'!D110</f>
        <v>0</v>
      </c>
      <c r="E153" s="481">
        <f>'Berechnung - Raumakustik'!E110</f>
        <v>0</v>
      </c>
      <c r="F153" s="481">
        <f>'Berechnung - Raumakustik'!F110</f>
        <v>0</v>
      </c>
      <c r="G153" s="481">
        <f>'Berechnung - Raumakustik'!G110</f>
        <v>0</v>
      </c>
      <c r="H153" s="481">
        <f>'Berechnung - Raumakustik'!H110</f>
        <v>0</v>
      </c>
      <c r="I153" s="481">
        <f>'Berechnung - Raumakustik'!M110</f>
        <v>0</v>
      </c>
      <c r="J153" s="481">
        <f>'Berechnung - Raumakustik'!N110</f>
        <v>0</v>
      </c>
      <c r="K153" s="354"/>
      <c r="L153" s="354"/>
      <c r="M153" s="354"/>
      <c r="N153" s="177"/>
      <c r="O153" s="177"/>
      <c r="P153" s="177"/>
      <c r="Q153" s="96">
        <f t="shared" si="5"/>
        <v>0</v>
      </c>
    </row>
    <row r="154" spans="1:21" ht="15.95" customHeight="1" x14ac:dyDescent="0.25">
      <c r="B154" s="153" t="str">
        <f>IF(Überblick!$H$53&gt;=6,"6:",0)</f>
        <v>6:</v>
      </c>
      <c r="C154" s="481">
        <f>'Berechnung - Raumakustik'!C111</f>
        <v>0</v>
      </c>
      <c r="D154" s="481">
        <f>'Berechnung - Raumakustik'!D111</f>
        <v>0</v>
      </c>
      <c r="E154" s="481">
        <f>'Berechnung - Raumakustik'!E111</f>
        <v>0</v>
      </c>
      <c r="F154" s="481">
        <f>'Berechnung - Raumakustik'!F111</f>
        <v>0</v>
      </c>
      <c r="G154" s="481">
        <f>'Berechnung - Raumakustik'!G111</f>
        <v>0</v>
      </c>
      <c r="H154" s="481">
        <f>'Berechnung - Raumakustik'!H111</f>
        <v>0</v>
      </c>
      <c r="I154" s="481">
        <f>'Berechnung - Raumakustik'!M111</f>
        <v>0</v>
      </c>
      <c r="J154" s="481">
        <f>'Berechnung - Raumakustik'!N111</f>
        <v>0</v>
      </c>
      <c r="K154" s="354"/>
      <c r="L154" s="354"/>
      <c r="M154" s="354"/>
      <c r="N154" s="177"/>
      <c r="O154" s="177"/>
      <c r="P154" s="177"/>
      <c r="Q154" s="96">
        <f t="shared" si="5"/>
        <v>0</v>
      </c>
    </row>
    <row r="155" spans="1:21" x14ac:dyDescent="0.25">
      <c r="B155" s="153">
        <f>IF(Überblick!$H$53&gt;=7,"7:",0)</f>
        <v>0</v>
      </c>
      <c r="C155" s="481">
        <f>'Berechnung - Raumakustik'!C112</f>
        <v>0</v>
      </c>
      <c r="D155" s="481">
        <f>'Berechnung - Raumakustik'!D112</f>
        <v>0</v>
      </c>
      <c r="E155" s="481">
        <f>'Berechnung - Raumakustik'!E112</f>
        <v>0</v>
      </c>
      <c r="F155" s="481">
        <f>'Berechnung - Raumakustik'!F112</f>
        <v>0</v>
      </c>
      <c r="G155" s="481">
        <f>'Berechnung - Raumakustik'!G112</f>
        <v>0</v>
      </c>
      <c r="H155" s="481">
        <f>'Berechnung - Raumakustik'!H112</f>
        <v>0</v>
      </c>
      <c r="I155" s="481">
        <f>'Berechnung - Raumakustik'!M112</f>
        <v>0</v>
      </c>
      <c r="J155" s="481">
        <f>'Berechnung - Raumakustik'!N112</f>
        <v>0</v>
      </c>
      <c r="K155" s="354"/>
      <c r="L155" s="354"/>
      <c r="M155" s="354"/>
      <c r="N155" s="177"/>
      <c r="O155" s="177"/>
      <c r="P155" s="177"/>
      <c r="Q155" s="96">
        <f t="shared" si="5"/>
        <v>0</v>
      </c>
    </row>
    <row r="156" spans="1:21" ht="15" customHeight="1" x14ac:dyDescent="0.25">
      <c r="B156" s="153">
        <f>IF(Überblick!$H$53&gt;=8,"8:",0)</f>
        <v>0</v>
      </c>
      <c r="C156" s="481">
        <f>'Berechnung - Raumakustik'!C113</f>
        <v>0</v>
      </c>
      <c r="D156" s="481">
        <f>'Berechnung - Raumakustik'!D113</f>
        <v>0</v>
      </c>
      <c r="E156" s="481">
        <f>'Berechnung - Raumakustik'!E113</f>
        <v>0</v>
      </c>
      <c r="F156" s="481">
        <f>'Berechnung - Raumakustik'!F113</f>
        <v>0</v>
      </c>
      <c r="G156" s="481">
        <f>'Berechnung - Raumakustik'!G113</f>
        <v>0</v>
      </c>
      <c r="H156" s="481">
        <f>'Berechnung - Raumakustik'!H113</f>
        <v>0</v>
      </c>
      <c r="I156" s="481">
        <f>'Berechnung - Raumakustik'!M113</f>
        <v>0</v>
      </c>
      <c r="J156" s="481">
        <f>'Berechnung - Raumakustik'!N113</f>
        <v>0</v>
      </c>
      <c r="K156" s="354"/>
      <c r="L156" s="354"/>
      <c r="M156" s="354"/>
      <c r="N156" s="177"/>
      <c r="O156" s="177"/>
      <c r="P156" s="177"/>
      <c r="Q156" s="96">
        <f t="shared" si="5"/>
        <v>0</v>
      </c>
    </row>
    <row r="157" spans="1:21" x14ac:dyDescent="0.25">
      <c r="B157" s="153">
        <f>IF(Überblick!$H$53&gt;=9,"9:",0)</f>
        <v>0</v>
      </c>
      <c r="C157" s="481">
        <f>'Berechnung - Raumakustik'!C114</f>
        <v>0</v>
      </c>
      <c r="D157" s="481">
        <f>'Berechnung - Raumakustik'!D114</f>
        <v>0</v>
      </c>
      <c r="E157" s="481">
        <f>'Berechnung - Raumakustik'!E114</f>
        <v>0</v>
      </c>
      <c r="F157" s="481">
        <f>'Berechnung - Raumakustik'!F114</f>
        <v>0</v>
      </c>
      <c r="G157" s="481">
        <f>'Berechnung - Raumakustik'!G114</f>
        <v>0</v>
      </c>
      <c r="H157" s="481">
        <f>'Berechnung - Raumakustik'!H114</f>
        <v>0</v>
      </c>
      <c r="I157" s="481">
        <f>'Berechnung - Raumakustik'!M114</f>
        <v>0</v>
      </c>
      <c r="J157" s="481">
        <f>'Berechnung - Raumakustik'!N114</f>
        <v>0</v>
      </c>
      <c r="Q157" s="96"/>
    </row>
    <row r="158" spans="1:21" ht="14.25" customHeight="1" x14ac:dyDescent="0.25">
      <c r="B158" s="140"/>
      <c r="C158" s="140"/>
      <c r="D158" s="140"/>
      <c r="E158" s="140"/>
      <c r="F158" s="140"/>
      <c r="G158" s="140"/>
      <c r="H158" s="140"/>
      <c r="I158" s="140"/>
      <c r="J158" s="140"/>
      <c r="Q158" s="96"/>
    </row>
    <row r="159" spans="1:21" x14ac:dyDescent="0.25">
      <c r="B159" s="140"/>
      <c r="C159" s="140"/>
      <c r="D159" s="140"/>
      <c r="E159" s="140"/>
      <c r="F159" s="140"/>
      <c r="G159" s="140"/>
      <c r="H159" s="140"/>
      <c r="I159" s="140"/>
      <c r="J159" s="140"/>
      <c r="Q159" s="96"/>
    </row>
    <row r="160" spans="1:21" x14ac:dyDescent="0.25">
      <c r="B160" s="140"/>
      <c r="C160" s="140"/>
      <c r="D160" s="140"/>
      <c r="E160" s="140"/>
      <c r="F160" s="140"/>
      <c r="G160" s="140"/>
      <c r="H160" s="140"/>
      <c r="I160" s="140"/>
      <c r="J160" s="140"/>
      <c r="Q160" s="96"/>
    </row>
    <row r="161" spans="2:17" x14ac:dyDescent="0.25">
      <c r="B161" s="140"/>
      <c r="C161" s="140"/>
      <c r="D161" s="140"/>
      <c r="E161" s="140"/>
      <c r="F161" s="140"/>
      <c r="G161" s="140"/>
      <c r="H161" s="140"/>
      <c r="I161" s="140"/>
      <c r="J161" s="140"/>
      <c r="Q161" s="96"/>
    </row>
    <row r="162" spans="2:17" x14ac:dyDescent="0.25">
      <c r="B162" s="140"/>
      <c r="C162" s="140"/>
      <c r="D162" s="140"/>
      <c r="E162" s="140"/>
      <c r="F162" s="140"/>
      <c r="G162" s="140"/>
      <c r="H162" s="140"/>
      <c r="I162" s="140"/>
      <c r="J162" s="140"/>
    </row>
    <row r="163" spans="2:17" x14ac:dyDescent="0.25">
      <c r="B163" s="140"/>
      <c r="C163" s="140"/>
      <c r="D163" s="140"/>
      <c r="E163" s="140"/>
      <c r="F163" s="140"/>
      <c r="G163" s="140"/>
      <c r="H163" s="140"/>
      <c r="I163" s="140"/>
      <c r="J163" s="140"/>
    </row>
  </sheetData>
  <sheetProtection algorithmName="SHA-512" hashValue="yvP194kIkL/TZKOt9EqsMof2d/l2o/dY1wAysDpEw+wmOM17Ho3FJGX0xs0Gbc5tY54G3nPzDFHeP8kMPPTYaA==" saltValue="9pI+AOtO6khvH4xxK095Vg==" spinCount="100000" sheet="1" objects="1" scenarios="1"/>
  <mergeCells count="269">
    <mergeCell ref="T1:U1"/>
    <mergeCell ref="F5:I5"/>
    <mergeCell ref="J5:M5"/>
    <mergeCell ref="N5:Q5"/>
    <mergeCell ref="F6:G6"/>
    <mergeCell ref="H6:I6"/>
    <mergeCell ref="J6:K6"/>
    <mergeCell ref="L6:M6"/>
    <mergeCell ref="N6:O6"/>
    <mergeCell ref="P6:Q6"/>
    <mergeCell ref="S2:U2"/>
    <mergeCell ref="S3:U3"/>
    <mergeCell ref="S4:U4"/>
    <mergeCell ref="B13:E13"/>
    <mergeCell ref="F13:Q13"/>
    <mergeCell ref="B14:E14"/>
    <mergeCell ref="F14:Q14"/>
    <mergeCell ref="F15:I16"/>
    <mergeCell ref="J15:M16"/>
    <mergeCell ref="N15:Q16"/>
    <mergeCell ref="P7:Q7"/>
    <mergeCell ref="B8:E8"/>
    <mergeCell ref="F8:G8"/>
    <mergeCell ref="H8:I8"/>
    <mergeCell ref="J8:K8"/>
    <mergeCell ref="L8:M8"/>
    <mergeCell ref="N8:O8"/>
    <mergeCell ref="P8:Q8"/>
    <mergeCell ref="B7:E7"/>
    <mergeCell ref="F7:G7"/>
    <mergeCell ref="H7:I7"/>
    <mergeCell ref="J7:K7"/>
    <mergeCell ref="L7:M7"/>
    <mergeCell ref="N7:O7"/>
    <mergeCell ref="F17:I17"/>
    <mergeCell ref="J17:M17"/>
    <mergeCell ref="N17:Q17"/>
    <mergeCell ref="B21:E21"/>
    <mergeCell ref="F21:Q21"/>
    <mergeCell ref="A30:A88"/>
    <mergeCell ref="B30:G32"/>
    <mergeCell ref="H30:H32"/>
    <mergeCell ref="I30:I32"/>
    <mergeCell ref="J30:K32"/>
    <mergeCell ref="B43:G43"/>
    <mergeCell ref="I43:K43"/>
    <mergeCell ref="L43:P43"/>
    <mergeCell ref="Q53:Q55"/>
    <mergeCell ref="L72:P72"/>
    <mergeCell ref="B88:G88"/>
    <mergeCell ref="I88:K88"/>
    <mergeCell ref="L88:P88"/>
    <mergeCell ref="T33:T35"/>
    <mergeCell ref="U33:U35"/>
    <mergeCell ref="B36:G36"/>
    <mergeCell ref="I36:K36"/>
    <mergeCell ref="L36:P36"/>
    <mergeCell ref="R36:S36"/>
    <mergeCell ref="B33:G35"/>
    <mergeCell ref="H33:H35"/>
    <mergeCell ref="I33:K35"/>
    <mergeCell ref="L33:P35"/>
    <mergeCell ref="Q33:Q35"/>
    <mergeCell ref="R33:S35"/>
    <mergeCell ref="R37:S38"/>
    <mergeCell ref="T37:T42"/>
    <mergeCell ref="U37:U42"/>
    <mergeCell ref="L39:P39"/>
    <mergeCell ref="R39:S39"/>
    <mergeCell ref="B40:G42"/>
    <mergeCell ref="H40:H42"/>
    <mergeCell ref="L40:P41"/>
    <mergeCell ref="Q40:Q41"/>
    <mergeCell ref="R40:S41"/>
    <mergeCell ref="B37:G39"/>
    <mergeCell ref="H37:H39"/>
    <mergeCell ref="I37:I42"/>
    <mergeCell ref="J37:K42"/>
    <mergeCell ref="L37:P38"/>
    <mergeCell ref="Q37:Q38"/>
    <mergeCell ref="L42:P42"/>
    <mergeCell ref="R42:S42"/>
    <mergeCell ref="R43:S43"/>
    <mergeCell ref="B44:G44"/>
    <mergeCell ref="I44:I55"/>
    <mergeCell ref="J44:K55"/>
    <mergeCell ref="L44:P46"/>
    <mergeCell ref="Q44:Q46"/>
    <mergeCell ref="R44:S46"/>
    <mergeCell ref="T44:T55"/>
    <mergeCell ref="U44:U55"/>
    <mergeCell ref="B45:G47"/>
    <mergeCell ref="H45:H47"/>
    <mergeCell ref="L47:P49"/>
    <mergeCell ref="Q47:Q49"/>
    <mergeCell ref="R47:S49"/>
    <mergeCell ref="B48:G49"/>
    <mergeCell ref="H48:H49"/>
    <mergeCell ref="B50:G51"/>
    <mergeCell ref="H50:H51"/>
    <mergeCell ref="L50:P52"/>
    <mergeCell ref="Q50:Q52"/>
    <mergeCell ref="R50:S52"/>
    <mergeCell ref="B52:G53"/>
    <mergeCell ref="H52:H53"/>
    <mergeCell ref="L53:P55"/>
    <mergeCell ref="R53:S55"/>
    <mergeCell ref="Q56:Q58"/>
    <mergeCell ref="R56:S58"/>
    <mergeCell ref="T56:T58"/>
    <mergeCell ref="U56:U58"/>
    <mergeCell ref="B59:G59"/>
    <mergeCell ref="I59:K59"/>
    <mergeCell ref="L59:P59"/>
    <mergeCell ref="R59:S59"/>
    <mergeCell ref="B54:G55"/>
    <mergeCell ref="H54:H55"/>
    <mergeCell ref="B56:G58"/>
    <mergeCell ref="H56:H58"/>
    <mergeCell ref="I56:K58"/>
    <mergeCell ref="L56:P58"/>
    <mergeCell ref="R60:S62"/>
    <mergeCell ref="T60:T72"/>
    <mergeCell ref="U60:U72"/>
    <mergeCell ref="B63:G66"/>
    <mergeCell ref="H63:H66"/>
    <mergeCell ref="L63:P65"/>
    <mergeCell ref="Q63:Q65"/>
    <mergeCell ref="R63:S65"/>
    <mergeCell ref="L66:P68"/>
    <mergeCell ref="Q66:Q68"/>
    <mergeCell ref="B60:G62"/>
    <mergeCell ref="H60:H62"/>
    <mergeCell ref="I60:I72"/>
    <mergeCell ref="J60:K72"/>
    <mergeCell ref="L60:P62"/>
    <mergeCell ref="Q60:Q62"/>
    <mergeCell ref="R66:S68"/>
    <mergeCell ref="B67:G69"/>
    <mergeCell ref="H67:H69"/>
    <mergeCell ref="L69:P71"/>
    <mergeCell ref="Q69:Q71"/>
    <mergeCell ref="R69:S71"/>
    <mergeCell ref="B70:G72"/>
    <mergeCell ref="H70:H72"/>
    <mergeCell ref="R72:S72"/>
    <mergeCell ref="B85:G87"/>
    <mergeCell ref="H85:H87"/>
    <mergeCell ref="T73:T75"/>
    <mergeCell ref="U73:U75"/>
    <mergeCell ref="B76:G76"/>
    <mergeCell ref="I76:K76"/>
    <mergeCell ref="L76:P76"/>
    <mergeCell ref="R76:S76"/>
    <mergeCell ref="B73:G75"/>
    <mergeCell ref="H73:H75"/>
    <mergeCell ref="I73:K75"/>
    <mergeCell ref="L73:P75"/>
    <mergeCell ref="Q73:Q75"/>
    <mergeCell ref="R73:S75"/>
    <mergeCell ref="Q86:Q87"/>
    <mergeCell ref="R86:S87"/>
    <mergeCell ref="B77:G80"/>
    <mergeCell ref="H77:H80"/>
    <mergeCell ref="I77:I87"/>
    <mergeCell ref="J77:K87"/>
    <mergeCell ref="B81:G84"/>
    <mergeCell ref="H81:H84"/>
    <mergeCell ref="R88:S88"/>
    <mergeCell ref="R77:S79"/>
    <mergeCell ref="T77:T87"/>
    <mergeCell ref="U77:U87"/>
    <mergeCell ref="L80:P82"/>
    <mergeCell ref="Q80:Q82"/>
    <mergeCell ref="R80:S82"/>
    <mergeCell ref="L83:P85"/>
    <mergeCell ref="Q83:Q85"/>
    <mergeCell ref="R83:S85"/>
    <mergeCell ref="L86:P87"/>
    <mergeCell ref="L77:P79"/>
    <mergeCell ref="Q77:Q79"/>
    <mergeCell ref="Q89:Q91"/>
    <mergeCell ref="R89:S91"/>
    <mergeCell ref="T89:T91"/>
    <mergeCell ref="U89:U91"/>
    <mergeCell ref="A92:A94"/>
    <mergeCell ref="B92:G94"/>
    <mergeCell ref="H92:H94"/>
    <mergeCell ref="I92:I94"/>
    <mergeCell ref="J92:K94"/>
    <mergeCell ref="L92:P94"/>
    <mergeCell ref="A89:A91"/>
    <mergeCell ref="B89:G91"/>
    <mergeCell ref="H89:H91"/>
    <mergeCell ref="I89:I91"/>
    <mergeCell ref="J89:K91"/>
    <mergeCell ref="L89:P91"/>
    <mergeCell ref="Q92:Q94"/>
    <mergeCell ref="R92:S94"/>
    <mergeCell ref="T92:T94"/>
    <mergeCell ref="U92:U94"/>
    <mergeCell ref="A95:A110"/>
    <mergeCell ref="B95:G95"/>
    <mergeCell ref="I95:K95"/>
    <mergeCell ref="L95:P95"/>
    <mergeCell ref="R95:S95"/>
    <mergeCell ref="B96:G101"/>
    <mergeCell ref="T96:T101"/>
    <mergeCell ref="U96:U101"/>
    <mergeCell ref="L99:P101"/>
    <mergeCell ref="Q99:Q101"/>
    <mergeCell ref="R99:S101"/>
    <mergeCell ref="B102:G102"/>
    <mergeCell ref="I102:K102"/>
    <mergeCell ref="L102:P102"/>
    <mergeCell ref="R102:S102"/>
    <mergeCell ref="H96:H101"/>
    <mergeCell ref="I96:I101"/>
    <mergeCell ref="J96:K101"/>
    <mergeCell ref="L96:P98"/>
    <mergeCell ref="Q96:Q98"/>
    <mergeCell ref="R96:S98"/>
    <mergeCell ref="R103:S105"/>
    <mergeCell ref="T103:T108"/>
    <mergeCell ref="U103:U108"/>
    <mergeCell ref="L106:P108"/>
    <mergeCell ref="Q106:Q108"/>
    <mergeCell ref="R106:S108"/>
    <mergeCell ref="B103:G108"/>
    <mergeCell ref="H103:H108"/>
    <mergeCell ref="I103:I108"/>
    <mergeCell ref="J103:K108"/>
    <mergeCell ref="L103:P105"/>
    <mergeCell ref="Q103:Q105"/>
    <mergeCell ref="T109:T110"/>
    <mergeCell ref="U109:U110"/>
    <mergeCell ref="B112:R113"/>
    <mergeCell ref="B118:F118"/>
    <mergeCell ref="H118:J118"/>
    <mergeCell ref="B120:F120"/>
    <mergeCell ref="H120:J120"/>
    <mergeCell ref="B109:H110"/>
    <mergeCell ref="I109:I110"/>
    <mergeCell ref="J109:K110"/>
    <mergeCell ref="L109:P110"/>
    <mergeCell ref="Q109:Q110"/>
    <mergeCell ref="R109:S110"/>
    <mergeCell ref="B128:F129"/>
    <mergeCell ref="H128:J129"/>
    <mergeCell ref="B133:F133"/>
    <mergeCell ref="H133:J133"/>
    <mergeCell ref="B135:F135"/>
    <mergeCell ref="H135:J135"/>
    <mergeCell ref="B122:F122"/>
    <mergeCell ref="H122:J122"/>
    <mergeCell ref="G123:J123"/>
    <mergeCell ref="B124:F124"/>
    <mergeCell ref="H124:J124"/>
    <mergeCell ref="B126:F126"/>
    <mergeCell ref="H126:J126"/>
    <mergeCell ref="B143:F144"/>
    <mergeCell ref="H143:J144"/>
    <mergeCell ref="B137:F137"/>
    <mergeCell ref="H137:J137"/>
    <mergeCell ref="G138:J138"/>
    <mergeCell ref="B139:F139"/>
    <mergeCell ref="H139:J139"/>
    <mergeCell ref="B141:F141"/>
    <mergeCell ref="H141:J141"/>
  </mergeCells>
  <conditionalFormatting sqref="Z44">
    <cfRule type="containsText" dxfId="784" priority="42" operator="containsText" text="Ja">
      <formula>NOT(ISERROR(SEARCH("Ja",Z44)))</formula>
    </cfRule>
  </conditionalFormatting>
  <conditionalFormatting sqref="B149:B156">
    <cfRule type="cellIs" dxfId="783" priority="38" operator="greaterThan">
      <formula>0</formula>
    </cfRule>
  </conditionalFormatting>
  <conditionalFormatting sqref="C150:J157">
    <cfRule type="expression" dxfId="782" priority="36">
      <formula>$B150&gt;=1</formula>
    </cfRule>
  </conditionalFormatting>
  <conditionalFormatting sqref="C149:J157">
    <cfRule type="cellIs" dxfId="781" priority="35" operator="greaterThan">
      <formula>0</formula>
    </cfRule>
    <cfRule type="expression" dxfId="780" priority="37">
      <formula>$B149&gt;=1</formula>
    </cfRule>
  </conditionalFormatting>
  <conditionalFormatting sqref="F21:Q21">
    <cfRule type="expression" dxfId="779" priority="34">
      <formula>$R$8&gt;0</formula>
    </cfRule>
  </conditionalFormatting>
  <conditionalFormatting sqref="R72">
    <cfRule type="expression" dxfId="778" priority="33">
      <formula>Q72="ja"</formula>
    </cfRule>
  </conditionalFormatting>
  <conditionalFormatting sqref="R37">
    <cfRule type="expression" dxfId="777" priority="32">
      <formula>Q37="ja"</formula>
    </cfRule>
  </conditionalFormatting>
  <conditionalFormatting sqref="R40">
    <cfRule type="expression" dxfId="776" priority="31">
      <formula>Q40="ja"</formula>
    </cfRule>
  </conditionalFormatting>
  <conditionalFormatting sqref="R44">
    <cfRule type="expression" dxfId="775" priority="30">
      <formula>Q44="ja"</formula>
    </cfRule>
  </conditionalFormatting>
  <conditionalFormatting sqref="R47">
    <cfRule type="expression" dxfId="774" priority="29">
      <formula>Q47="ja"</formula>
    </cfRule>
  </conditionalFormatting>
  <conditionalFormatting sqref="R50">
    <cfRule type="expression" dxfId="773" priority="28">
      <formula>Q50="ja"</formula>
    </cfRule>
  </conditionalFormatting>
  <conditionalFormatting sqref="R53">
    <cfRule type="expression" dxfId="772" priority="27">
      <formula>Q53="ja"</formula>
    </cfRule>
  </conditionalFormatting>
  <conditionalFormatting sqref="R60">
    <cfRule type="expression" dxfId="771" priority="26">
      <formula>Q60="ja"</formula>
    </cfRule>
  </conditionalFormatting>
  <conditionalFormatting sqref="R63">
    <cfRule type="expression" dxfId="770" priority="25">
      <formula>Q63="ja"</formula>
    </cfRule>
  </conditionalFormatting>
  <conditionalFormatting sqref="R66">
    <cfRule type="expression" dxfId="769" priority="24">
      <formula>Q66="ja"</formula>
    </cfRule>
  </conditionalFormatting>
  <conditionalFormatting sqref="R69">
    <cfRule type="expression" dxfId="768" priority="23">
      <formula>Q69="ja"</formula>
    </cfRule>
  </conditionalFormatting>
  <conditionalFormatting sqref="R77">
    <cfRule type="expression" dxfId="767" priority="22">
      <formula>Q77="ja"</formula>
    </cfRule>
  </conditionalFormatting>
  <conditionalFormatting sqref="R80">
    <cfRule type="expression" dxfId="766" priority="21">
      <formula>Q80="ja"</formula>
    </cfRule>
  </conditionalFormatting>
  <conditionalFormatting sqref="R83">
    <cfRule type="expression" dxfId="765" priority="20">
      <formula>Q83="ja"</formula>
    </cfRule>
  </conditionalFormatting>
  <conditionalFormatting sqref="R86">
    <cfRule type="expression" dxfId="764" priority="19">
      <formula>Q86="ja"</formula>
    </cfRule>
  </conditionalFormatting>
  <conditionalFormatting sqref="R89">
    <cfRule type="expression" dxfId="763" priority="18">
      <formula>Q89="ja"</formula>
    </cfRule>
  </conditionalFormatting>
  <conditionalFormatting sqref="R92:R93">
    <cfRule type="expression" dxfId="762" priority="17">
      <formula>Q92="ja"</formula>
    </cfRule>
  </conditionalFormatting>
  <conditionalFormatting sqref="R96">
    <cfRule type="expression" dxfId="761" priority="16">
      <formula>Q96="ja"</formula>
    </cfRule>
  </conditionalFormatting>
  <conditionalFormatting sqref="R99:R100">
    <cfRule type="expression" dxfId="760" priority="15">
      <formula>Q99="ja"</formula>
    </cfRule>
  </conditionalFormatting>
  <conditionalFormatting sqref="R103">
    <cfRule type="expression" dxfId="759" priority="14">
      <formula>Q103="ja"</formula>
    </cfRule>
  </conditionalFormatting>
  <conditionalFormatting sqref="R106:R107">
    <cfRule type="expression" dxfId="758" priority="13">
      <formula>Q106="ja"</formula>
    </cfRule>
  </conditionalFormatting>
  <conditionalFormatting sqref="B157">
    <cfRule type="cellIs" dxfId="757" priority="10" operator="greaterThan">
      <formula>0</formula>
    </cfRule>
  </conditionalFormatting>
  <conditionalFormatting sqref="R42">
    <cfRule type="expression" dxfId="756" priority="9">
      <formula>Q42="ja"</formula>
    </cfRule>
  </conditionalFormatting>
  <conditionalFormatting sqref="R39">
    <cfRule type="expression" dxfId="755" priority="8">
      <formula>Q39="ja"</formula>
    </cfRule>
  </conditionalFormatting>
  <conditionalFormatting sqref="T44:T55">
    <cfRule type="expression" dxfId="754" priority="5">
      <formula>$T$44="ja"</formula>
    </cfRule>
  </conditionalFormatting>
  <conditionalFormatting sqref="T60 T77">
    <cfRule type="cellIs" dxfId="753" priority="4" operator="equal">
      <formula>"ja"</formula>
    </cfRule>
  </conditionalFormatting>
  <conditionalFormatting sqref="T96 T89:T91">
    <cfRule type="cellIs" dxfId="752" priority="3" operator="equal">
      <formula>$V$28</formula>
    </cfRule>
  </conditionalFormatting>
  <conditionalFormatting sqref="T37">
    <cfRule type="expression" dxfId="751" priority="6">
      <formula>$T$37="JA"</formula>
    </cfRule>
  </conditionalFormatting>
  <conditionalFormatting sqref="T92:T94">
    <cfRule type="cellIs" dxfId="750" priority="2" operator="equal">
      <formula>$V$28</formula>
    </cfRule>
  </conditionalFormatting>
  <conditionalFormatting sqref="T103">
    <cfRule type="cellIs" dxfId="749" priority="1" operator="equal">
      <formula>$V$28</formula>
    </cfRule>
  </conditionalFormatting>
  <dataValidations count="2">
    <dataValidation type="list" allowBlank="1" showInputMessage="1" showErrorMessage="1" sqref="H52 Q42 H54 H37 Q39:Q40 H70 Q106:Q107 H85 H77 H81 H103:H108 H48:H50 Q37 H89:H94 H96:H101 Q47 Q44 Q96 Q72 Q66 Q69 Q86 Q92:Q93 Q50 H44:H45 Q53 H40 Q63 Q60 Q83 Q80 Q77 Q89 Q99:Q100 Q103 H60 H67 H63" xr:uid="{0FB884AE-D36A-4689-87BD-77791D3267B4}">
      <formula1>$V$27:$V$29</formula1>
    </dataValidation>
    <dataValidation type="list" allowBlank="1" showInputMessage="1" showErrorMessage="1" sqref="F13:Q13" xr:uid="{0042C00B-F2A8-420E-8239-5AAB349648C1}">
      <formula1>$V$13:$V$17</formula1>
    </dataValidation>
  </dataValidations>
  <pageMargins left="0.25" right="0.25" top="0.75" bottom="0.75" header="0.3" footer="0.3"/>
  <pageSetup paperSize="9" scale="50" fitToHeight="0" orientation="portrait" r:id="rId1"/>
  <headerFooter>
    <oddFooter>&amp;LVersions-Nr.: 29.08.2016&amp;CDruckdatum: &amp;D&amp;RSeite &amp;P von &amp;N</oddFooter>
  </headerFooter>
  <rowBreaks count="1" manualBreakCount="1">
    <brk id="94"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BE142672-2C48-4FBE-A6AB-F9BD146D69DE}">
          <x14:formula1>
            <xm:f>'Berechnung - Hochbau'!$B$109:$B$112</xm:f>
          </x14:formula1>
          <xm:sqref>R5:S6 W5:X6</xm:sqref>
        </x14:dataValidation>
        <x14:dataValidation type="list" allowBlank="1" showInputMessage="1" showErrorMessage="1" xr:uid="{B5F899C9-9561-4123-A19B-0BA83327E506}">
          <x14:formula1>
            <xm:f>'Berechnung - Hochbau'!$H$52:$H$56</xm:f>
          </x14:formula1>
          <xm:sqref>F14</xm:sqref>
        </x14:dataValidation>
        <x14:dataValidation type="list" allowBlank="1" showInputMessage="1" showErrorMessage="1" xr:uid="{7242847E-329D-4BF8-A8B6-313127C87620}">
          <x14:formula1>
            <xm:f>'Berechnung - Hochbau'!$B$131:$B$140</xm:f>
          </x14:formula1>
          <xm:sqref>U37:U42 U44:U55 U60:U72 U77:U87 U89:U94 U96:U101 U103:U108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6C47A-F5C8-429C-B752-3E4C57461D9F}">
  <sheetPr>
    <tabColor rgb="FFFFC000"/>
  </sheetPr>
  <dimension ref="A1:AP194"/>
  <sheetViews>
    <sheetView topLeftCell="A99" zoomScale="40" zoomScaleNormal="40" workbookViewId="0">
      <selection activeCell="F9" sqref="F9:I11"/>
    </sheetView>
  </sheetViews>
  <sheetFormatPr baseColWidth="10" defaultColWidth="11.44140625" defaultRowHeight="13.9" outlineLevelRow="1" x14ac:dyDescent="0.25"/>
  <cols>
    <col min="1" max="1" width="7.21875" style="491" customWidth="1"/>
    <col min="2" max="7" width="9.21875" style="39" customWidth="1"/>
    <col min="8" max="8" width="9.44140625" style="39" customWidth="1"/>
    <col min="9" max="13" width="9.21875" style="39" customWidth="1"/>
    <col min="14" max="14" width="9.44140625" style="39" customWidth="1"/>
    <col min="15" max="23" width="9.21875" style="39" customWidth="1"/>
    <col min="24" max="24" width="11" style="39" customWidth="1"/>
    <col min="25" max="26" width="8.21875" style="39" bestFit="1" customWidth="1"/>
    <col min="27" max="27" width="12.5546875" style="39" customWidth="1"/>
    <col min="28" max="28" width="11.44140625" style="72"/>
    <col min="29" max="31" width="11.44140625" style="39"/>
    <col min="32" max="32" width="12.77734375" style="39" bestFit="1" customWidth="1"/>
    <col min="33" max="16384" width="11.44140625" style="39"/>
  </cols>
  <sheetData>
    <row r="1" spans="1:34" x14ac:dyDescent="0.25">
      <c r="A1" s="493" t="str">
        <f>Überblick!X112</f>
        <v>H.</v>
      </c>
      <c r="B1" s="188" t="str">
        <f>IF(Überblick!B2=Überblick!L4,Tragwerksplanung!V1,Tragwerksplanung!V2)</f>
        <v>Honorarangebot HOAI - Tragwerksplanung</v>
      </c>
      <c r="T1" s="963" t="str">
        <f>'Hochbauplanung '!T1</f>
        <v>Version: 27.06.2023</v>
      </c>
      <c r="U1" s="963"/>
      <c r="V1" s="72" t="s">
        <v>550</v>
      </c>
      <c r="W1" s="72"/>
      <c r="X1" s="72"/>
      <c r="Y1" s="72"/>
      <c r="Z1" s="72"/>
      <c r="AA1" s="72"/>
    </row>
    <row r="2" spans="1:34" x14ac:dyDescent="0.25">
      <c r="R2" s="535" t="s">
        <v>110</v>
      </c>
      <c r="S2" s="1389" t="str">
        <f>IF(Überblick!Q2=0,"",Überblick!Q2)</f>
        <v/>
      </c>
      <c r="T2" s="1389"/>
      <c r="U2" s="1389"/>
      <c r="V2" s="72" t="s">
        <v>551</v>
      </c>
    </row>
    <row r="3" spans="1:34" x14ac:dyDescent="0.25">
      <c r="A3" s="491" t="s">
        <v>112</v>
      </c>
      <c r="B3" s="40" t="s">
        <v>365</v>
      </c>
      <c r="F3" s="883" t="s">
        <v>963</v>
      </c>
      <c r="G3" s="883"/>
      <c r="H3" s="884"/>
      <c r="R3" s="535" t="s">
        <v>24</v>
      </c>
      <c r="S3" s="1389" t="str">
        <f>IF(Überblick!G29=0,"",Überblick!G29)</f>
        <v>Breite Strasse, 10178 Berlin-Mitte, zw. Neumannsgasse und Scharrenstrasse</v>
      </c>
      <c r="T3" s="1389"/>
      <c r="U3" s="1389"/>
      <c r="X3" s="2224"/>
      <c r="Y3" s="2224"/>
      <c r="Z3" s="2224"/>
      <c r="AA3" s="875"/>
      <c r="AB3" s="876"/>
      <c r="AC3" s="875"/>
      <c r="AD3" s="875"/>
      <c r="AE3" s="2224"/>
      <c r="AF3" s="2224"/>
      <c r="AG3" s="2224"/>
    </row>
    <row r="4" spans="1:34" ht="14.55" thickBot="1" x14ac:dyDescent="0.3">
      <c r="R4" s="535" t="s">
        <v>17</v>
      </c>
      <c r="S4" s="1389" t="str">
        <f>IF(Überblick!D19=0,"",Überblick!D19)</f>
        <v/>
      </c>
      <c r="T4" s="1389"/>
      <c r="U4" s="1389"/>
      <c r="V4" s="72"/>
      <c r="X4" s="2224"/>
      <c r="Y4" s="2224"/>
      <c r="Z4" s="2224"/>
      <c r="AA4" s="2224"/>
      <c r="AB4" s="876"/>
      <c r="AC4" s="2224"/>
      <c r="AD4" s="2224"/>
      <c r="AE4" s="2224"/>
      <c r="AF4" s="2224"/>
      <c r="AG4" s="2224"/>
    </row>
    <row r="5" spans="1:34" ht="32.25" customHeight="1" thickBot="1" x14ac:dyDescent="0.3">
      <c r="B5" s="107"/>
      <c r="C5" s="144"/>
      <c r="D5" s="144"/>
      <c r="E5" s="488"/>
      <c r="F5" s="1198" t="s">
        <v>116</v>
      </c>
      <c r="G5" s="1199"/>
      <c r="H5" s="1199"/>
      <c r="I5" s="1200"/>
      <c r="J5" s="1198" t="s">
        <v>117</v>
      </c>
      <c r="K5" s="1199"/>
      <c r="L5" s="1199"/>
      <c r="M5" s="1200"/>
      <c r="N5" s="1198" t="s">
        <v>118</v>
      </c>
      <c r="O5" s="1199"/>
      <c r="P5" s="1199"/>
      <c r="Q5" s="1200"/>
      <c r="R5" s="47"/>
      <c r="S5" s="47"/>
      <c r="T5" s="47"/>
      <c r="U5" s="87"/>
      <c r="V5" s="87" t="s">
        <v>119</v>
      </c>
      <c r="W5" s="47"/>
      <c r="X5" s="2269"/>
      <c r="Y5" s="2224"/>
      <c r="Z5" s="2224"/>
      <c r="AA5" s="2260"/>
      <c r="AB5" s="2261"/>
      <c r="AC5" s="2262"/>
      <c r="AD5" s="2262"/>
      <c r="AE5" s="2262"/>
      <c r="AF5" s="2262"/>
      <c r="AG5" s="2224"/>
    </row>
    <row r="6" spans="1:34" ht="15.95" customHeight="1" thickBot="1" x14ac:dyDescent="0.3">
      <c r="B6" s="107"/>
      <c r="C6" s="144"/>
      <c r="D6" s="144"/>
      <c r="E6" s="488"/>
      <c r="F6" s="1215" t="s">
        <v>120</v>
      </c>
      <c r="G6" s="1216"/>
      <c r="H6" s="1217">
        <v>45071</v>
      </c>
      <c r="I6" s="1218"/>
      <c r="J6" s="1213" t="s">
        <v>120</v>
      </c>
      <c r="K6" s="1214"/>
      <c r="L6" s="1217"/>
      <c r="M6" s="1218"/>
      <c r="N6" s="1213" t="s">
        <v>120</v>
      </c>
      <c r="O6" s="1214"/>
      <c r="P6" s="1217"/>
      <c r="Q6" s="1218"/>
      <c r="R6" s="47"/>
      <c r="S6" s="47"/>
      <c r="T6" s="47"/>
      <c r="U6" s="47"/>
      <c r="V6" s="47"/>
      <c r="W6" s="47"/>
      <c r="X6" s="2269"/>
      <c r="Y6" s="2224"/>
      <c r="Z6" s="2224"/>
      <c r="AA6" s="2262"/>
      <c r="AB6" s="2262"/>
      <c r="AC6" s="2262"/>
      <c r="AD6" s="2262"/>
      <c r="AE6" s="2262"/>
      <c r="AF6" s="2262"/>
      <c r="AG6" s="2224"/>
    </row>
    <row r="7" spans="1:34" ht="15.95" customHeight="1" thickBot="1" x14ac:dyDescent="0.3">
      <c r="B7" s="1115" t="s">
        <v>121</v>
      </c>
      <c r="C7" s="1116"/>
      <c r="D7" s="1116"/>
      <c r="E7" s="1117"/>
      <c r="F7" s="1209" t="s">
        <v>107</v>
      </c>
      <c r="G7" s="1210"/>
      <c r="H7" s="1211" t="s">
        <v>106</v>
      </c>
      <c r="I7" s="1212"/>
      <c r="J7" s="1209" t="s">
        <v>107</v>
      </c>
      <c r="K7" s="1210"/>
      <c r="L7" s="1211" t="s">
        <v>106</v>
      </c>
      <c r="M7" s="1212"/>
      <c r="N7" s="1209" t="s">
        <v>107</v>
      </c>
      <c r="O7" s="1210"/>
      <c r="P7" s="1211" t="s">
        <v>106</v>
      </c>
      <c r="Q7" s="1212"/>
      <c r="R7" s="40"/>
      <c r="S7" s="40"/>
      <c r="T7" s="40"/>
      <c r="U7" s="40"/>
      <c r="V7" s="40"/>
      <c r="W7" s="40"/>
      <c r="X7" s="2262"/>
      <c r="Y7" s="2224"/>
      <c r="Z7" s="2224"/>
      <c r="AA7" s="2263"/>
      <c r="AB7" s="2264"/>
      <c r="AC7" s="2263"/>
      <c r="AD7" s="2263"/>
      <c r="AE7" s="2263"/>
      <c r="AF7" s="2263"/>
      <c r="AG7" s="2224"/>
    </row>
    <row r="8" spans="1:34" ht="15" customHeight="1" thickBot="1" x14ac:dyDescent="0.3">
      <c r="B8" s="1232" t="s">
        <v>490</v>
      </c>
      <c r="C8" s="1233"/>
      <c r="D8" s="1233"/>
      <c r="E8" s="1234"/>
      <c r="F8" s="1235">
        <f>H8*Überblick!G98+H8</f>
        <v>0</v>
      </c>
      <c r="G8" s="1236"/>
      <c r="H8" s="1219">
        <f>AF8</f>
        <v>0</v>
      </c>
      <c r="I8" s="1220"/>
      <c r="J8" s="1201">
        <f>L8*1.19</f>
        <v>0</v>
      </c>
      <c r="K8" s="1202"/>
      <c r="L8" s="1203"/>
      <c r="M8" s="1204"/>
      <c r="N8" s="1201">
        <f>P8*1.19</f>
        <v>0</v>
      </c>
      <c r="O8" s="1202"/>
      <c r="P8" s="1203"/>
      <c r="Q8" s="1204"/>
      <c r="R8" s="96">
        <f>SUM(H8,L8,P8)</f>
        <v>0</v>
      </c>
      <c r="S8" s="72">
        <f>IF((R8+AB140)&gt;0,1,0)</f>
        <v>1</v>
      </c>
      <c r="T8" s="48"/>
      <c r="U8" s="48"/>
      <c r="V8" s="48"/>
      <c r="W8" s="48"/>
      <c r="X8" s="2270"/>
      <c r="Y8" s="2224"/>
      <c r="Z8" s="2224"/>
      <c r="AA8" s="2265"/>
      <c r="AB8" s="2265"/>
      <c r="AC8" s="2265"/>
      <c r="AD8" s="2265"/>
      <c r="AE8" s="2265"/>
      <c r="AF8" s="2265"/>
      <c r="AG8" s="2224"/>
    </row>
    <row r="9" spans="1:34" outlineLevel="1" x14ac:dyDescent="0.25">
      <c r="B9" s="49"/>
      <c r="C9" s="49"/>
      <c r="D9" s="49"/>
      <c r="E9" s="49"/>
      <c r="F9" s="1138" t="str">
        <f>IF(H8&gt;'Berechnung - Tragswerksplanung'!$B$27,$R$9,"")</f>
        <v/>
      </c>
      <c r="G9" s="1138"/>
      <c r="H9" s="1138"/>
      <c r="I9" s="1138"/>
      <c r="J9" s="1138" t="str">
        <f>IF(L8&gt;'Berechnung - Tragswerksplanung'!$B$27,$R$9,"")</f>
        <v/>
      </c>
      <c r="K9" s="1138"/>
      <c r="L9" s="1138"/>
      <c r="M9" s="1138"/>
      <c r="N9" s="1138" t="str">
        <f>IF(P8&gt;'Berechnung - Tragswerksplanung'!$B$27,$R$9,"")</f>
        <v/>
      </c>
      <c r="O9" s="1138"/>
      <c r="P9" s="1138"/>
      <c r="Q9" s="1138"/>
      <c r="R9" s="96" t="s">
        <v>124</v>
      </c>
      <c r="S9" s="96"/>
      <c r="T9" s="96"/>
      <c r="U9" s="96"/>
      <c r="V9" s="96"/>
      <c r="W9" s="96"/>
      <c r="X9" s="2271"/>
      <c r="Y9" s="875"/>
      <c r="Z9" s="875"/>
      <c r="AA9" s="875"/>
      <c r="AB9" s="876"/>
      <c r="AC9" s="875"/>
      <c r="AD9" s="875"/>
      <c r="AE9" s="875"/>
      <c r="AF9" s="875"/>
      <c r="AG9" s="875"/>
      <c r="AH9" s="68"/>
    </row>
    <row r="10" spans="1:34" outlineLevel="1" x14ac:dyDescent="0.25">
      <c r="B10" s="56"/>
      <c r="C10" s="56"/>
      <c r="D10" s="56"/>
      <c r="E10" s="56"/>
      <c r="F10" s="1139"/>
      <c r="G10" s="1139"/>
      <c r="H10" s="1139"/>
      <c r="I10" s="1139"/>
      <c r="J10" s="1139"/>
      <c r="K10" s="1139"/>
      <c r="L10" s="1139"/>
      <c r="M10" s="1139"/>
      <c r="N10" s="1139"/>
      <c r="O10" s="1139"/>
      <c r="P10" s="1139"/>
      <c r="Q10" s="1139"/>
      <c r="R10" s="96"/>
      <c r="S10" s="96"/>
      <c r="T10" s="96"/>
      <c r="U10" s="96"/>
      <c r="V10" s="96"/>
      <c r="W10" s="96"/>
      <c r="X10" s="2271"/>
      <c r="Y10" s="875"/>
      <c r="Z10" s="875"/>
      <c r="AA10" s="875"/>
      <c r="AB10" s="876"/>
      <c r="AC10" s="875"/>
      <c r="AD10" s="875"/>
      <c r="AE10" s="875"/>
      <c r="AF10" s="875"/>
      <c r="AG10" s="875"/>
      <c r="AH10" s="68"/>
    </row>
    <row r="11" spans="1:34" outlineLevel="1" x14ac:dyDescent="0.25">
      <c r="B11" s="56"/>
      <c r="C11" s="56"/>
      <c r="D11" s="56"/>
      <c r="E11" s="56"/>
      <c r="F11" s="1139"/>
      <c r="G11" s="1139"/>
      <c r="H11" s="1139"/>
      <c r="I11" s="1139"/>
      <c r="J11" s="1139"/>
      <c r="K11" s="1139"/>
      <c r="L11" s="1139"/>
      <c r="M11" s="1139"/>
      <c r="N11" s="1139"/>
      <c r="O11" s="1139"/>
      <c r="P11" s="1139"/>
      <c r="Q11" s="1139"/>
      <c r="R11" s="96"/>
      <c r="S11" s="96"/>
      <c r="T11" s="96"/>
      <c r="U11" s="96"/>
      <c r="V11" s="96"/>
      <c r="W11" s="96"/>
      <c r="X11" s="2271"/>
      <c r="Y11" s="875"/>
      <c r="Z11" s="875"/>
      <c r="AA11" s="875"/>
      <c r="AB11" s="876"/>
      <c r="AC11" s="875"/>
      <c r="AD11" s="875"/>
      <c r="AE11" s="875"/>
      <c r="AF11" s="875"/>
      <c r="AG11" s="875"/>
      <c r="AH11" s="68"/>
    </row>
    <row r="12" spans="1:34" x14ac:dyDescent="0.25">
      <c r="B12" s="39" t="s">
        <v>130</v>
      </c>
      <c r="X12" s="2224"/>
      <c r="Y12" s="2224"/>
      <c r="Z12" s="2224"/>
      <c r="AA12" s="2224"/>
      <c r="AB12" s="876"/>
      <c r="AC12" s="2224"/>
      <c r="AD12" s="2224"/>
      <c r="AE12" s="2224"/>
      <c r="AF12" s="2224"/>
      <c r="AG12" s="2224"/>
    </row>
    <row r="13" spans="1:34" x14ac:dyDescent="0.25">
      <c r="B13" s="39" t="s">
        <v>131</v>
      </c>
      <c r="X13" s="2224"/>
      <c r="Y13" s="2224"/>
      <c r="Z13" s="2224"/>
      <c r="AA13" s="2224"/>
      <c r="AB13" s="876"/>
      <c r="AC13" s="2224"/>
      <c r="AD13" s="2224"/>
      <c r="AE13" s="2224"/>
      <c r="AF13" s="2224"/>
      <c r="AG13" s="2224"/>
    </row>
    <row r="14" spans="1:34" ht="14.55" thickBot="1" x14ac:dyDescent="0.3">
      <c r="B14" s="40"/>
      <c r="G14" s="54"/>
      <c r="H14" s="41"/>
      <c r="I14" s="57"/>
      <c r="J14" s="54"/>
      <c r="K14" s="54"/>
      <c r="L14" s="57"/>
      <c r="M14" s="58"/>
      <c r="N14" s="58"/>
      <c r="O14" s="59"/>
      <c r="S14" s="57"/>
      <c r="T14" s="48"/>
    </row>
    <row r="15" spans="1:34" ht="15" customHeight="1" x14ac:dyDescent="0.25">
      <c r="B15" s="1221" t="s">
        <v>132</v>
      </c>
      <c r="C15" s="1222"/>
      <c r="D15" s="1222"/>
      <c r="E15" s="1223"/>
      <c r="F15" s="1164">
        <v>3</v>
      </c>
      <c r="G15" s="1165"/>
      <c r="H15" s="1165"/>
      <c r="I15" s="1165"/>
      <c r="J15" s="1165"/>
      <c r="K15" s="1165"/>
      <c r="L15" s="1165"/>
      <c r="M15" s="1165"/>
      <c r="N15" s="1165"/>
      <c r="O15" s="1165"/>
      <c r="P15" s="1165"/>
      <c r="Q15" s="1166"/>
      <c r="S15" s="57"/>
      <c r="T15" s="48"/>
      <c r="U15" s="72" t="s">
        <v>133</v>
      </c>
      <c r="V15" s="72">
        <v>1</v>
      </c>
    </row>
    <row r="16" spans="1:34" ht="15.95" customHeight="1" thickBot="1" x14ac:dyDescent="0.3">
      <c r="B16" s="1224" t="s">
        <v>134</v>
      </c>
      <c r="C16" s="1225"/>
      <c r="D16" s="1225"/>
      <c r="E16" s="1226"/>
      <c r="F16" s="1167" t="s">
        <v>135</v>
      </c>
      <c r="G16" s="1168"/>
      <c r="H16" s="1168"/>
      <c r="I16" s="1168"/>
      <c r="J16" s="1168"/>
      <c r="K16" s="1168"/>
      <c r="L16" s="1168"/>
      <c r="M16" s="1168"/>
      <c r="N16" s="1168"/>
      <c r="O16" s="1168"/>
      <c r="P16" s="1168"/>
      <c r="Q16" s="1169"/>
      <c r="S16" s="57"/>
      <c r="T16" s="48"/>
      <c r="U16" s="72"/>
      <c r="V16" s="72">
        <v>2</v>
      </c>
    </row>
    <row r="17" spans="1:30" ht="15.95" customHeight="1" x14ac:dyDescent="0.25">
      <c r="B17" s="60"/>
      <c r="C17" s="60"/>
      <c r="D17" s="60"/>
      <c r="E17" s="60"/>
      <c r="F17" s="1241" t="s">
        <v>136</v>
      </c>
      <c r="G17" s="1241"/>
      <c r="H17" s="1241"/>
      <c r="I17" s="1241"/>
      <c r="J17" s="1241" t="s">
        <v>137</v>
      </c>
      <c r="K17" s="1241"/>
      <c r="L17" s="1241"/>
      <c r="M17" s="1241"/>
      <c r="N17" s="1241" t="s">
        <v>367</v>
      </c>
      <c r="O17" s="1241"/>
      <c r="P17" s="1241"/>
      <c r="Q17" s="1241"/>
      <c r="S17" s="57"/>
      <c r="T17" s="48"/>
      <c r="U17" s="72"/>
      <c r="V17" s="72">
        <v>3</v>
      </c>
    </row>
    <row r="18" spans="1:30" ht="15.95" customHeight="1" thickBot="1" x14ac:dyDescent="0.3">
      <c r="B18" s="60"/>
      <c r="C18" s="60"/>
      <c r="D18" s="60"/>
      <c r="E18" s="60"/>
      <c r="F18" s="1242"/>
      <c r="G18" s="1242"/>
      <c r="H18" s="1242"/>
      <c r="I18" s="1242"/>
      <c r="J18" s="1242"/>
      <c r="K18" s="1242"/>
      <c r="L18" s="1242"/>
      <c r="M18" s="1242"/>
      <c r="N18" s="1242"/>
      <c r="O18" s="1242"/>
      <c r="P18" s="1242"/>
      <c r="Q18" s="1242"/>
      <c r="S18" s="57"/>
      <c r="T18" s="48"/>
      <c r="U18" s="72"/>
      <c r="V18" s="72">
        <v>4</v>
      </c>
    </row>
    <row r="19" spans="1:30" ht="15.95" customHeight="1" thickBot="1" x14ac:dyDescent="0.3">
      <c r="B19" s="40"/>
      <c r="C19" s="40"/>
      <c r="D19" s="40"/>
      <c r="E19" s="69"/>
      <c r="F19" s="1721">
        <f>'Berechnung - Tragswerksplanung'!H108</f>
        <v>0</v>
      </c>
      <c r="G19" s="1722"/>
      <c r="H19" s="1722"/>
      <c r="I19" s="1723"/>
      <c r="J19" s="1721" t="str">
        <f>IF('Berechnung - Tragswerksplanung'!J108=0,"Kostenschätzung liegt noch nicht vor",'Berechnung - Tragswerksplanung'!J108)</f>
        <v>Kostenschätzung liegt noch nicht vor</v>
      </c>
      <c r="K19" s="1722"/>
      <c r="L19" s="1722"/>
      <c r="M19" s="1723"/>
      <c r="N19" s="1721" t="str">
        <f>IF('Berechnung - Tragswerksplanung'!L108=0,"Kostenberechnung liegt noch nicht vor",'Berechnung - Tragswerksplanung'!L108)</f>
        <v>Kostenberechnung liegt noch nicht vor</v>
      </c>
      <c r="O19" s="1722"/>
      <c r="P19" s="1722"/>
      <c r="Q19" s="1723"/>
      <c r="R19" s="96">
        <f>SUM(F19:Q19)</f>
        <v>0</v>
      </c>
      <c r="S19" s="57"/>
      <c r="T19" s="48"/>
      <c r="U19" s="72"/>
      <c r="V19" s="72">
        <v>5</v>
      </c>
    </row>
    <row r="20" spans="1:30" x14ac:dyDescent="0.25">
      <c r="B20" s="40"/>
      <c r="G20" s="54"/>
      <c r="H20" s="41"/>
      <c r="I20" s="57"/>
      <c r="J20" s="54"/>
      <c r="K20" s="54"/>
      <c r="L20" s="57"/>
      <c r="M20" s="58"/>
      <c r="N20" s="58"/>
      <c r="O20" s="59"/>
      <c r="R20" s="72"/>
      <c r="S20" s="57"/>
      <c r="T20" s="48"/>
    </row>
    <row r="21" spans="1:30" x14ac:dyDescent="0.25">
      <c r="A21" s="492" t="s">
        <v>139</v>
      </c>
      <c r="B21" s="42" t="s">
        <v>140</v>
      </c>
      <c r="C21" s="43"/>
      <c r="D21" s="43"/>
      <c r="E21" s="61"/>
      <c r="F21" s="43"/>
      <c r="G21" s="43"/>
      <c r="H21" s="44"/>
      <c r="I21" s="44"/>
      <c r="R21" s="72"/>
    </row>
    <row r="22" spans="1:30" ht="14.55" thickBot="1" x14ac:dyDescent="0.3">
      <c r="A22" s="492"/>
      <c r="B22" s="43"/>
      <c r="C22" s="43"/>
      <c r="D22" s="43"/>
      <c r="E22" s="61"/>
      <c r="F22" s="43"/>
      <c r="G22" s="43"/>
      <c r="H22" s="62"/>
      <c r="I22" s="62"/>
      <c r="R22" s="72"/>
      <c r="S22" s="63"/>
      <c r="T22" s="63"/>
      <c r="U22" s="63"/>
    </row>
    <row r="23" spans="1:30" ht="52.1"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3">
        <f>IF(AND(R8&gt;0,F23=""),1,0)</f>
        <v>0</v>
      </c>
      <c r="S23" s="148"/>
      <c r="T23" s="148"/>
      <c r="U23" s="148"/>
      <c r="V23" s="148"/>
      <c r="W23" s="148"/>
      <c r="X23" s="148"/>
    </row>
    <row r="24" spans="1:30" x14ac:dyDescent="0.25">
      <c r="B24" s="40"/>
      <c r="G24" s="54"/>
      <c r="H24" s="41"/>
      <c r="I24" s="57"/>
      <c r="J24" s="54"/>
      <c r="K24" s="54"/>
      <c r="L24" s="57"/>
      <c r="M24" s="58"/>
      <c r="N24" s="58"/>
      <c r="O24" s="59"/>
      <c r="S24" s="57"/>
      <c r="T24" s="96"/>
      <c r="U24" s="72"/>
      <c r="V24" s="72"/>
      <c r="W24" s="68"/>
      <c r="X24" s="68"/>
    </row>
    <row r="25" spans="1:30" x14ac:dyDescent="0.25">
      <c r="B25" s="39" t="s">
        <v>506</v>
      </c>
      <c r="G25" s="54"/>
      <c r="H25" s="41"/>
      <c r="I25" s="57"/>
      <c r="J25" s="54"/>
      <c r="K25" s="54"/>
      <c r="L25" s="57"/>
      <c r="M25" s="58"/>
      <c r="N25" s="58"/>
      <c r="O25" s="59"/>
      <c r="S25" s="57"/>
      <c r="T25" s="96"/>
      <c r="U25" s="72"/>
      <c r="V25" s="72"/>
      <c r="W25" s="68"/>
      <c r="X25" s="68"/>
    </row>
    <row r="26" spans="1:30" x14ac:dyDescent="0.25">
      <c r="B26" s="40"/>
      <c r="G26" s="54"/>
      <c r="H26" s="41"/>
      <c r="I26" s="57"/>
      <c r="J26" s="54"/>
      <c r="K26" s="54"/>
      <c r="L26" s="57"/>
      <c r="M26" s="58"/>
      <c r="N26" s="58"/>
      <c r="O26" s="59"/>
      <c r="S26" s="57"/>
      <c r="T26" s="96"/>
      <c r="U26" s="72"/>
      <c r="V26" s="72"/>
      <c r="W26" s="72"/>
      <c r="X26" s="72"/>
    </row>
    <row r="27" spans="1:30" x14ac:dyDescent="0.25">
      <c r="A27" s="491" t="s">
        <v>144</v>
      </c>
      <c r="B27" s="40" t="s">
        <v>145</v>
      </c>
      <c r="G27" s="48"/>
      <c r="I27" s="48"/>
      <c r="T27" s="72"/>
      <c r="U27" s="72"/>
      <c r="V27" s="72"/>
      <c r="W27" s="72"/>
      <c r="X27" s="72"/>
    </row>
    <row r="28" spans="1:30" x14ac:dyDescent="0.25">
      <c r="B28" s="40"/>
      <c r="T28" s="72"/>
      <c r="U28" s="72"/>
      <c r="V28" s="72"/>
      <c r="W28" s="68"/>
      <c r="X28" s="68"/>
    </row>
    <row r="29" spans="1:30" ht="15.95" customHeight="1" x14ac:dyDescent="0.25">
      <c r="B29" s="39" t="s">
        <v>369</v>
      </c>
      <c r="S29" s="72"/>
      <c r="T29" s="72"/>
      <c r="U29" s="72" t="s">
        <v>115</v>
      </c>
      <c r="V29" s="72" t="s">
        <v>100</v>
      </c>
      <c r="W29" s="68"/>
      <c r="X29" s="68"/>
    </row>
    <row r="30" spans="1:30" ht="15.95" customHeight="1" x14ac:dyDescent="0.25">
      <c r="B30" s="39" t="s">
        <v>147</v>
      </c>
      <c r="S30" s="72"/>
      <c r="T30" s="72"/>
      <c r="U30" s="72"/>
      <c r="V30" s="72" t="s">
        <v>99</v>
      </c>
      <c r="W30" s="68"/>
      <c r="X30" s="68"/>
      <c r="AA30" s="72" t="s">
        <v>148</v>
      </c>
    </row>
    <row r="31" spans="1:30" ht="15.95" customHeight="1" thickBot="1" x14ac:dyDescent="0.3">
      <c r="S31" s="72"/>
      <c r="T31" s="72"/>
      <c r="U31" s="72"/>
      <c r="V31" s="72"/>
      <c r="W31" s="68"/>
      <c r="X31" s="68"/>
    </row>
    <row r="32" spans="1:30" ht="15.95" customHeight="1" x14ac:dyDescent="0.25">
      <c r="A32" s="1516" t="s">
        <v>552</v>
      </c>
      <c r="B32" s="1125" t="s">
        <v>150</v>
      </c>
      <c r="C32" s="1126"/>
      <c r="D32" s="1126"/>
      <c r="E32" s="1126"/>
      <c r="F32" s="1126"/>
      <c r="G32" s="1126"/>
      <c r="H32" s="1731" t="s">
        <v>151</v>
      </c>
      <c r="I32" s="1134" t="s">
        <v>152</v>
      </c>
      <c r="J32" s="995" t="s">
        <v>153</v>
      </c>
      <c r="K32" s="996"/>
      <c r="L32" s="142"/>
      <c r="M32" s="114"/>
      <c r="N32" s="114"/>
      <c r="O32" s="114"/>
      <c r="P32" s="70"/>
      <c r="Q32" s="70"/>
      <c r="R32" s="70"/>
      <c r="S32" s="73"/>
      <c r="T32" s="117"/>
      <c r="U32" s="117"/>
      <c r="V32" s="68"/>
      <c r="W32" s="68"/>
      <c r="X32" s="68"/>
      <c r="Y32" s="68"/>
      <c r="Z32" s="68"/>
      <c r="AA32" s="68"/>
      <c r="AC32" s="68"/>
      <c r="AD32" s="68"/>
    </row>
    <row r="33" spans="1:32" ht="15.95" customHeight="1" x14ac:dyDescent="0.25">
      <c r="A33" s="1516"/>
      <c r="B33" s="1127"/>
      <c r="C33" s="1128"/>
      <c r="D33" s="1128"/>
      <c r="E33" s="1128"/>
      <c r="F33" s="1128"/>
      <c r="G33" s="1128"/>
      <c r="H33" s="1732"/>
      <c r="I33" s="1135"/>
      <c r="J33" s="997"/>
      <c r="K33" s="998"/>
      <c r="L33" s="142"/>
      <c r="M33" s="114"/>
      <c r="N33" s="114"/>
      <c r="O33" s="114"/>
      <c r="P33" s="70"/>
      <c r="Q33" s="70"/>
      <c r="R33" s="70"/>
      <c r="S33" s="73"/>
      <c r="T33" s="73"/>
      <c r="U33" s="81" t="s">
        <v>372</v>
      </c>
      <c r="V33" s="68"/>
      <c r="W33" s="68"/>
      <c r="X33" s="68"/>
      <c r="Y33" s="68"/>
      <c r="Z33" s="68"/>
      <c r="AA33" s="68"/>
      <c r="AC33" s="68"/>
      <c r="AD33" s="68"/>
    </row>
    <row r="34" spans="1:32" ht="15" customHeight="1" thickBot="1" x14ac:dyDescent="0.3">
      <c r="A34" s="1516"/>
      <c r="B34" s="1129"/>
      <c r="C34" s="1130"/>
      <c r="D34" s="1130"/>
      <c r="E34" s="1130"/>
      <c r="F34" s="1130"/>
      <c r="G34" s="1130"/>
      <c r="H34" s="1733"/>
      <c r="I34" s="1136"/>
      <c r="J34" s="999"/>
      <c r="K34" s="1000"/>
      <c r="L34" s="143"/>
      <c r="M34" s="115"/>
      <c r="N34" s="115"/>
      <c r="O34" s="115"/>
      <c r="P34" s="116"/>
      <c r="Q34" s="116"/>
      <c r="R34" s="116"/>
      <c r="S34" s="73"/>
      <c r="T34" s="73"/>
      <c r="U34" s="81"/>
      <c r="V34" s="68"/>
      <c r="W34" s="68"/>
      <c r="X34" s="68"/>
      <c r="Y34" s="68"/>
      <c r="Z34" s="68"/>
      <c r="AA34" s="68"/>
      <c r="AC34" s="68"/>
      <c r="AD34" s="68"/>
      <c r="AE34" s="68"/>
      <c r="AF34" s="68"/>
    </row>
    <row r="35" spans="1:32" ht="15" customHeight="1" thickBot="1" x14ac:dyDescent="0.3">
      <c r="A35" s="1516"/>
      <c r="B35" s="1035" t="s">
        <v>154</v>
      </c>
      <c r="C35" s="1036"/>
      <c r="D35" s="1036"/>
      <c r="E35" s="1036"/>
      <c r="F35" s="1036"/>
      <c r="G35" s="1036"/>
      <c r="H35" s="1161"/>
      <c r="I35" s="1344">
        <f>F19</f>
        <v>0</v>
      </c>
      <c r="J35" s="1345"/>
      <c r="K35" s="1346"/>
      <c r="L35" s="1019" t="s">
        <v>155</v>
      </c>
      <c r="M35" s="1020"/>
      <c r="N35" s="1020"/>
      <c r="O35" s="1020"/>
      <c r="P35" s="1629"/>
      <c r="Q35" s="905" t="s">
        <v>151</v>
      </c>
      <c r="R35" s="1263" t="str">
        <f>IF(B1=V2,"Honorar für die Besonderen Leistungen","Honorarangebot für die Besonderen Leistungen")</f>
        <v>Honorarangebot für die Besonderen Leistungen</v>
      </c>
      <c r="S35" s="1264"/>
      <c r="T35" s="1254" t="s">
        <v>156</v>
      </c>
      <c r="U35" s="1336" t="s">
        <v>157</v>
      </c>
      <c r="V35" s="184"/>
      <c r="W35" s="72"/>
      <c r="X35" s="72"/>
      <c r="Y35" s="72"/>
      <c r="Z35" s="72"/>
      <c r="AA35" s="68"/>
      <c r="AC35" s="68"/>
      <c r="AD35" s="68"/>
      <c r="AE35" s="68"/>
      <c r="AF35" s="68"/>
    </row>
    <row r="36" spans="1:32" ht="15" customHeight="1" thickBot="1" x14ac:dyDescent="0.3">
      <c r="A36" s="1516"/>
      <c r="B36" s="1038"/>
      <c r="C36" s="1039"/>
      <c r="D36" s="1039"/>
      <c r="E36" s="1039"/>
      <c r="F36" s="1039"/>
      <c r="G36" s="1039"/>
      <c r="H36" s="1162"/>
      <c r="I36" s="1347"/>
      <c r="J36" s="1348"/>
      <c r="K36" s="1349"/>
      <c r="L36" s="1021"/>
      <c r="M36" s="1022"/>
      <c r="N36" s="1022"/>
      <c r="O36" s="1022"/>
      <c r="P36" s="1630"/>
      <c r="Q36" s="1857"/>
      <c r="R36" s="1265"/>
      <c r="S36" s="1266"/>
      <c r="T36" s="1255"/>
      <c r="U36" s="1336"/>
      <c r="V36" s="184"/>
      <c r="W36" s="72"/>
      <c r="X36" s="72"/>
      <c r="Y36" s="72"/>
      <c r="Z36" s="72"/>
      <c r="AA36" s="68"/>
      <c r="AC36" s="68"/>
      <c r="AD36" s="68"/>
      <c r="AE36" s="68"/>
      <c r="AF36" s="68"/>
    </row>
    <row r="37" spans="1:32" ht="15.95" customHeight="1" thickBot="1" x14ac:dyDescent="0.3">
      <c r="A37" s="1516"/>
      <c r="B37" s="1041"/>
      <c r="C37" s="1042"/>
      <c r="D37" s="1042"/>
      <c r="E37" s="1042"/>
      <c r="F37" s="1042"/>
      <c r="G37" s="1042"/>
      <c r="H37" s="1163"/>
      <c r="I37" s="1350"/>
      <c r="J37" s="1351"/>
      <c r="K37" s="1352"/>
      <c r="L37" s="1023"/>
      <c r="M37" s="1024"/>
      <c r="N37" s="1024"/>
      <c r="O37" s="1024"/>
      <c r="P37" s="1631"/>
      <c r="Q37" s="907"/>
      <c r="R37" s="1267"/>
      <c r="S37" s="1268"/>
      <c r="T37" s="1256"/>
      <c r="U37" s="1336"/>
      <c r="V37" s="184"/>
      <c r="W37" s="72"/>
      <c r="X37" s="72"/>
      <c r="Y37" s="72"/>
      <c r="Z37" s="72"/>
      <c r="AA37" s="68"/>
      <c r="AC37" s="68"/>
      <c r="AD37" s="68"/>
      <c r="AE37" s="68"/>
      <c r="AF37" s="68"/>
    </row>
    <row r="38" spans="1:32" ht="15.95" customHeight="1" thickBot="1" x14ac:dyDescent="0.3">
      <c r="A38" s="1516"/>
      <c r="B38" s="1082" t="s">
        <v>159</v>
      </c>
      <c r="C38" s="1083"/>
      <c r="D38" s="1083"/>
      <c r="E38" s="1083"/>
      <c r="F38" s="1083"/>
      <c r="G38" s="1084"/>
      <c r="H38" s="246"/>
      <c r="I38" s="1378"/>
      <c r="J38" s="1379"/>
      <c r="K38" s="1379"/>
      <c r="L38" s="1378"/>
      <c r="M38" s="1379"/>
      <c r="N38" s="1379"/>
      <c r="O38" s="1379"/>
      <c r="P38" s="1379"/>
      <c r="Q38" s="392"/>
      <c r="R38" s="196"/>
      <c r="S38" s="200"/>
      <c r="T38" s="71"/>
      <c r="U38" s="154"/>
      <c r="V38" s="149"/>
      <c r="W38" s="72"/>
      <c r="X38" s="72"/>
      <c r="Y38" s="72"/>
      <c r="Z38" s="72"/>
      <c r="AA38" s="68"/>
      <c r="AC38" s="68"/>
      <c r="AD38" s="68"/>
      <c r="AE38" s="68"/>
      <c r="AF38" s="68"/>
    </row>
    <row r="39" spans="1:32" ht="14.25" customHeight="1" thickBot="1" x14ac:dyDescent="0.3">
      <c r="A39" s="1516"/>
      <c r="B39" s="1383" t="s">
        <v>553</v>
      </c>
      <c r="C39" s="1384"/>
      <c r="D39" s="1384"/>
      <c r="E39" s="1384"/>
      <c r="F39" s="1384"/>
      <c r="G39" s="1384"/>
      <c r="H39" s="1137" t="s">
        <v>99</v>
      </c>
      <c r="I39" s="1016">
        <f>W45</f>
        <v>0.03</v>
      </c>
      <c r="J39" s="1027">
        <f>$I$35*I39</f>
        <v>0</v>
      </c>
      <c r="K39" s="1028"/>
      <c r="L39" s="1847" t="s">
        <v>554</v>
      </c>
      <c r="M39" s="1848"/>
      <c r="N39" s="1848"/>
      <c r="O39" s="1848"/>
      <c r="P39" s="1849"/>
      <c r="Q39" s="1088" t="s">
        <v>99</v>
      </c>
      <c r="R39" s="1808"/>
      <c r="S39" s="1729"/>
      <c r="T39" s="1341" t="str">
        <f>IFERROR(IF((VLOOKUP(U39,Überblick!$M$125:$N$133,2))="ja","ja","nein"),"")</f>
        <v/>
      </c>
      <c r="U39" s="1337"/>
      <c r="V39" s="72">
        <f>IF(AND(Q39="ja",R39=""),1,0)</f>
        <v>1</v>
      </c>
      <c r="W39" s="77">
        <f>IF(H39="ja",X39,0)</f>
        <v>2.5999999999999999E-2</v>
      </c>
      <c r="X39" s="74">
        <v>2.5999999999999999E-2</v>
      </c>
      <c r="Y39" s="72"/>
      <c r="Z39" s="77"/>
      <c r="AA39" s="192"/>
      <c r="AB39" s="72">
        <f>IF(Q39="ja",1,0)</f>
        <v>1</v>
      </c>
      <c r="AC39" s="68"/>
      <c r="AD39" s="68"/>
      <c r="AE39" s="68"/>
      <c r="AF39" s="68"/>
    </row>
    <row r="40" spans="1:32" ht="15" customHeight="1" thickBot="1" x14ac:dyDescent="0.3">
      <c r="A40" s="1516"/>
      <c r="B40" s="1098"/>
      <c r="C40" s="1099"/>
      <c r="D40" s="1099"/>
      <c r="E40" s="1099"/>
      <c r="F40" s="1099"/>
      <c r="G40" s="1099"/>
      <c r="H40" s="1013"/>
      <c r="I40" s="1017"/>
      <c r="J40" s="1029"/>
      <c r="K40" s="1030"/>
      <c r="L40" s="1850"/>
      <c r="M40" s="1851"/>
      <c r="N40" s="1851"/>
      <c r="O40" s="1851"/>
      <c r="P40" s="1852"/>
      <c r="Q40" s="986"/>
      <c r="R40" s="1821"/>
      <c r="S40" s="1725"/>
      <c r="T40" s="1342"/>
      <c r="U40" s="1337"/>
      <c r="V40" s="72">
        <f t="shared" ref="V40:V103" si="0">IF(AND(Q40="ja",R40=""),1,0)</f>
        <v>0</v>
      </c>
      <c r="W40" s="77"/>
      <c r="X40" s="74"/>
      <c r="Y40" s="72"/>
      <c r="Z40" s="72"/>
      <c r="AA40" s="68"/>
      <c r="AB40" s="72">
        <f t="shared" ref="AB40:AB103" si="1">IF(Q40="ja",1,0)</f>
        <v>0</v>
      </c>
      <c r="AC40" s="68"/>
      <c r="AD40" s="68"/>
      <c r="AE40" s="68"/>
      <c r="AF40" s="68"/>
    </row>
    <row r="41" spans="1:32" ht="14.25" customHeight="1" thickBot="1" x14ac:dyDescent="0.3">
      <c r="A41" s="1516"/>
      <c r="B41" s="1098"/>
      <c r="C41" s="1099"/>
      <c r="D41" s="1099"/>
      <c r="E41" s="1099"/>
      <c r="F41" s="1099"/>
      <c r="G41" s="1099"/>
      <c r="H41" s="1013"/>
      <c r="I41" s="1017"/>
      <c r="J41" s="1029"/>
      <c r="K41" s="1030"/>
      <c r="L41" s="1845" t="s">
        <v>555</v>
      </c>
      <c r="M41" s="1846"/>
      <c r="N41" s="1846"/>
      <c r="O41" s="1846"/>
      <c r="P41" s="1846"/>
      <c r="Q41" s="986" t="s">
        <v>99</v>
      </c>
      <c r="R41" s="1821"/>
      <c r="S41" s="1725"/>
      <c r="T41" s="1342"/>
      <c r="U41" s="1337"/>
      <c r="V41" s="72">
        <f t="shared" si="0"/>
        <v>1</v>
      </c>
      <c r="W41" s="77"/>
      <c r="X41" s="74"/>
      <c r="Y41" s="72"/>
      <c r="Z41" s="77"/>
      <c r="AA41" s="192"/>
      <c r="AB41" s="72">
        <f t="shared" si="1"/>
        <v>1</v>
      </c>
      <c r="AC41" s="68"/>
      <c r="AD41" s="68"/>
      <c r="AE41" s="68"/>
      <c r="AF41" s="68"/>
    </row>
    <row r="42" spans="1:32" ht="13.6" customHeight="1" thickBot="1" x14ac:dyDescent="0.3">
      <c r="A42" s="1516"/>
      <c r="B42" s="1098" t="s">
        <v>556</v>
      </c>
      <c r="C42" s="1099"/>
      <c r="D42" s="1099"/>
      <c r="E42" s="1099"/>
      <c r="F42" s="1099"/>
      <c r="G42" s="1099"/>
      <c r="H42" s="314" t="s">
        <v>99</v>
      </c>
      <c r="I42" s="1017"/>
      <c r="J42" s="1029"/>
      <c r="K42" s="1030"/>
      <c r="L42" s="1845"/>
      <c r="M42" s="1846"/>
      <c r="N42" s="1846"/>
      <c r="O42" s="1846"/>
      <c r="P42" s="1846"/>
      <c r="Q42" s="986"/>
      <c r="R42" s="1821"/>
      <c r="S42" s="1725"/>
      <c r="T42" s="1342"/>
      <c r="U42" s="1337"/>
      <c r="V42" s="72">
        <f t="shared" si="0"/>
        <v>0</v>
      </c>
      <c r="W42" s="77">
        <f>IF(H42="ja",X42,0)</f>
        <v>2.5000000000000001E-3</v>
      </c>
      <c r="X42" s="74">
        <v>2.5000000000000001E-3</v>
      </c>
      <c r="Y42" s="72"/>
      <c r="Z42" s="77"/>
      <c r="AA42" s="192"/>
      <c r="AB42" s="72">
        <f t="shared" si="1"/>
        <v>0</v>
      </c>
      <c r="AC42" s="68"/>
      <c r="AD42" s="68"/>
      <c r="AE42" s="68"/>
      <c r="AF42" s="68"/>
    </row>
    <row r="43" spans="1:32" ht="13.6" customHeight="1" thickBot="1" x14ac:dyDescent="0.3">
      <c r="A43" s="1516"/>
      <c r="B43" s="1098" t="s">
        <v>171</v>
      </c>
      <c r="C43" s="1099"/>
      <c r="D43" s="1099"/>
      <c r="E43" s="1099"/>
      <c r="F43" s="1099"/>
      <c r="G43" s="1099"/>
      <c r="H43" s="1013" t="s">
        <v>99</v>
      </c>
      <c r="I43" s="1017"/>
      <c r="J43" s="1029"/>
      <c r="K43" s="1030"/>
      <c r="L43" s="984"/>
      <c r="M43" s="985"/>
      <c r="N43" s="985"/>
      <c r="O43" s="985"/>
      <c r="P43" s="985"/>
      <c r="Q43" s="986" t="s">
        <v>100</v>
      </c>
      <c r="R43" s="1843"/>
      <c r="S43" s="973"/>
      <c r="T43" s="1342"/>
      <c r="U43" s="1337"/>
      <c r="V43" s="72">
        <f t="shared" si="0"/>
        <v>0</v>
      </c>
      <c r="W43" s="77">
        <f>IF(H43="ja",X43,0)</f>
        <v>1.5E-3</v>
      </c>
      <c r="X43" s="74">
        <v>1.5E-3</v>
      </c>
      <c r="Y43" s="72"/>
      <c r="Z43" s="77"/>
      <c r="AA43" s="192"/>
      <c r="AB43" s="72">
        <f t="shared" si="1"/>
        <v>0</v>
      </c>
      <c r="AC43" s="68"/>
      <c r="AD43" s="68"/>
      <c r="AE43" s="68"/>
      <c r="AF43" s="68"/>
    </row>
    <row r="44" spans="1:32" ht="14.55" thickBot="1" x14ac:dyDescent="0.3">
      <c r="A44" s="1516"/>
      <c r="B44" s="1098"/>
      <c r="C44" s="1099"/>
      <c r="D44" s="1099"/>
      <c r="E44" s="1099"/>
      <c r="F44" s="1099"/>
      <c r="G44" s="1099"/>
      <c r="H44" s="1013"/>
      <c r="I44" s="1018"/>
      <c r="J44" s="1031"/>
      <c r="K44" s="1032"/>
      <c r="L44" s="984"/>
      <c r="M44" s="985"/>
      <c r="N44" s="985"/>
      <c r="O44" s="985"/>
      <c r="P44" s="985"/>
      <c r="Q44" s="986"/>
      <c r="R44" s="1843"/>
      <c r="S44" s="973"/>
      <c r="T44" s="1342"/>
      <c r="U44" s="1337"/>
      <c r="V44" s="72">
        <f t="shared" si="0"/>
        <v>0</v>
      </c>
      <c r="W44" s="74"/>
      <c r="X44" s="74"/>
      <c r="Y44" s="72"/>
      <c r="Z44" s="72"/>
      <c r="AA44" s="68"/>
      <c r="AB44" s="72">
        <f t="shared" si="1"/>
        <v>0</v>
      </c>
      <c r="AC44" s="68"/>
      <c r="AD44" s="68"/>
      <c r="AE44" s="68"/>
      <c r="AF44" s="68"/>
    </row>
    <row r="45" spans="1:32" ht="14.25" customHeight="1" thickBot="1" x14ac:dyDescent="0.3">
      <c r="A45" s="1516"/>
      <c r="B45" s="1082" t="s">
        <v>172</v>
      </c>
      <c r="C45" s="1083"/>
      <c r="D45" s="1083"/>
      <c r="E45" s="1083"/>
      <c r="F45" s="1083"/>
      <c r="G45" s="1084"/>
      <c r="H45" s="145"/>
      <c r="I45" s="1744"/>
      <c r="J45" s="1745"/>
      <c r="K45" s="1746"/>
      <c r="L45" s="1180">
        <f>SUM(R39:S44)</f>
        <v>0</v>
      </c>
      <c r="M45" s="1181"/>
      <c r="N45" s="1181"/>
      <c r="O45" s="1181"/>
      <c r="P45" s="1181"/>
      <c r="Q45" s="393"/>
      <c r="R45" s="1180"/>
      <c r="S45" s="1272"/>
      <c r="T45" s="334"/>
      <c r="U45" s="335" t="s">
        <v>157</v>
      </c>
      <c r="V45" s="72">
        <f t="shared" si="0"/>
        <v>0</v>
      </c>
      <c r="W45" s="74">
        <f>SUM(W39:W44)</f>
        <v>0.03</v>
      </c>
      <c r="X45" s="75"/>
      <c r="Y45" s="75"/>
      <c r="Z45" s="75"/>
      <c r="AA45" s="191"/>
      <c r="AB45" s="72">
        <f t="shared" si="1"/>
        <v>0</v>
      </c>
      <c r="AC45" s="68"/>
      <c r="AD45" s="68"/>
      <c r="AE45" s="68"/>
      <c r="AF45" s="68"/>
    </row>
    <row r="46" spans="1:32" ht="14.25" customHeight="1" x14ac:dyDescent="0.25">
      <c r="A46" s="1516"/>
      <c r="B46" s="1394" t="s">
        <v>511</v>
      </c>
      <c r="C46" s="1395"/>
      <c r="D46" s="1395"/>
      <c r="E46" s="1395"/>
      <c r="F46" s="1395"/>
      <c r="G46" s="1396"/>
      <c r="H46" s="325" t="s">
        <v>99</v>
      </c>
      <c r="I46" s="1016">
        <f>W64</f>
        <v>0.10000000000000002</v>
      </c>
      <c r="J46" s="1044">
        <f>I35*I46</f>
        <v>0</v>
      </c>
      <c r="K46" s="1045"/>
      <c r="L46" s="1754" t="s">
        <v>557</v>
      </c>
      <c r="M46" s="1755"/>
      <c r="N46" s="1755"/>
      <c r="O46" s="1755"/>
      <c r="P46" s="1756"/>
      <c r="Q46" s="1137" t="s">
        <v>99</v>
      </c>
      <c r="R46" s="1808"/>
      <c r="S46" s="1729"/>
      <c r="T46" s="1257" t="str">
        <f>IFERROR(IF((VLOOKUP(U46,Überblick!$M$125:$N$133,2))="ja","ja","nein"),"")</f>
        <v/>
      </c>
      <c r="U46" s="1338"/>
      <c r="V46" s="72">
        <f t="shared" si="0"/>
        <v>1</v>
      </c>
      <c r="W46" s="77">
        <f>IF(H46="ja",X46,0)</f>
        <v>1E-3</v>
      </c>
      <c r="X46" s="74">
        <v>1E-3</v>
      </c>
      <c r="Y46" s="72"/>
      <c r="Z46" s="77"/>
      <c r="AA46" s="192"/>
      <c r="AB46" s="72">
        <f t="shared" si="1"/>
        <v>1</v>
      </c>
      <c r="AC46" s="68"/>
      <c r="AD46" s="68"/>
      <c r="AE46" s="68"/>
      <c r="AF46" s="68"/>
    </row>
    <row r="47" spans="1:32" ht="14.25" customHeight="1" x14ac:dyDescent="0.25">
      <c r="A47" s="1516"/>
      <c r="B47" s="1077" t="s">
        <v>558</v>
      </c>
      <c r="C47" s="1078"/>
      <c r="D47" s="1078"/>
      <c r="E47" s="1078"/>
      <c r="F47" s="1078"/>
      <c r="G47" s="1079"/>
      <c r="H47" s="981" t="s">
        <v>99</v>
      </c>
      <c r="I47" s="1017"/>
      <c r="J47" s="1046"/>
      <c r="K47" s="1047"/>
      <c r="L47" s="1757"/>
      <c r="M47" s="1758"/>
      <c r="N47" s="1758"/>
      <c r="O47" s="1758"/>
      <c r="P47" s="1759"/>
      <c r="Q47" s="1013"/>
      <c r="R47" s="1821"/>
      <c r="S47" s="1725"/>
      <c r="T47" s="1258"/>
      <c r="U47" s="1339"/>
      <c r="V47" s="72">
        <f t="shared" si="0"/>
        <v>0</v>
      </c>
      <c r="W47" s="77">
        <f>IF(H47="ja",X47,0)</f>
        <v>5.0000000000000001E-3</v>
      </c>
      <c r="X47" s="74">
        <v>5.0000000000000001E-3</v>
      </c>
      <c r="Y47" s="72"/>
      <c r="Z47" s="72"/>
      <c r="AA47" s="68"/>
      <c r="AB47" s="72">
        <f t="shared" si="1"/>
        <v>0</v>
      </c>
      <c r="AC47" s="68"/>
      <c r="AD47" s="68"/>
      <c r="AE47" s="68"/>
      <c r="AF47" s="68"/>
    </row>
    <row r="48" spans="1:32" ht="14.25" customHeight="1" x14ac:dyDescent="0.25">
      <c r="A48" s="1516"/>
      <c r="B48" s="1072"/>
      <c r="C48" s="913"/>
      <c r="D48" s="913"/>
      <c r="E48" s="913"/>
      <c r="F48" s="913"/>
      <c r="G48" s="1073"/>
      <c r="H48" s="982"/>
      <c r="I48" s="1017"/>
      <c r="J48" s="1046"/>
      <c r="K48" s="1047"/>
      <c r="L48" s="1757" t="s">
        <v>559</v>
      </c>
      <c r="M48" s="1758"/>
      <c r="N48" s="1758"/>
      <c r="O48" s="1758"/>
      <c r="P48" s="1759"/>
      <c r="Q48" s="1013" t="s">
        <v>99</v>
      </c>
      <c r="R48" s="1821"/>
      <c r="S48" s="1725"/>
      <c r="T48" s="1258"/>
      <c r="U48" s="1339"/>
      <c r="V48" s="72">
        <f t="shared" si="0"/>
        <v>1</v>
      </c>
      <c r="W48" s="72"/>
      <c r="X48" s="74"/>
      <c r="Y48" s="72"/>
      <c r="Z48" s="72"/>
      <c r="AA48" s="68"/>
      <c r="AB48" s="72">
        <f t="shared" si="1"/>
        <v>1</v>
      </c>
      <c r="AC48" s="68"/>
      <c r="AD48" s="68"/>
      <c r="AE48" s="68"/>
      <c r="AF48" s="68"/>
    </row>
    <row r="49" spans="1:32" ht="14.25" customHeight="1" x14ac:dyDescent="0.25">
      <c r="A49" s="1516"/>
      <c r="B49" s="1074"/>
      <c r="C49" s="1075"/>
      <c r="D49" s="1075"/>
      <c r="E49" s="1075"/>
      <c r="F49" s="1075"/>
      <c r="G49" s="1076"/>
      <c r="H49" s="983"/>
      <c r="I49" s="1017"/>
      <c r="J49" s="1046"/>
      <c r="K49" s="1047"/>
      <c r="L49" s="1757"/>
      <c r="M49" s="1758"/>
      <c r="N49" s="1758"/>
      <c r="O49" s="1758"/>
      <c r="P49" s="1759"/>
      <c r="Q49" s="1013"/>
      <c r="R49" s="1821"/>
      <c r="S49" s="1725"/>
      <c r="T49" s="1258"/>
      <c r="U49" s="1339"/>
      <c r="V49" s="72">
        <f t="shared" si="0"/>
        <v>0</v>
      </c>
      <c r="W49" s="72"/>
      <c r="X49" s="74"/>
      <c r="Y49" s="72"/>
      <c r="Z49" s="72"/>
      <c r="AA49" s="68"/>
      <c r="AB49" s="72">
        <f t="shared" si="1"/>
        <v>0</v>
      </c>
      <c r="AC49" s="68"/>
      <c r="AD49" s="68"/>
      <c r="AE49" s="68"/>
      <c r="AF49" s="68"/>
    </row>
    <row r="50" spans="1:32" ht="14.25" customHeight="1" x14ac:dyDescent="0.25">
      <c r="A50" s="1516"/>
      <c r="B50" s="1308" t="s">
        <v>560</v>
      </c>
      <c r="C50" s="1309"/>
      <c r="D50" s="1309"/>
      <c r="E50" s="1309"/>
      <c r="F50" s="1309"/>
      <c r="G50" s="1310"/>
      <c r="H50" s="1190" t="s">
        <v>99</v>
      </c>
      <c r="I50" s="1017"/>
      <c r="J50" s="1046"/>
      <c r="K50" s="1047"/>
      <c r="L50" s="1747" t="s">
        <v>992</v>
      </c>
      <c r="M50" s="1748"/>
      <c r="N50" s="1748"/>
      <c r="O50" s="1748"/>
      <c r="P50" s="1840"/>
      <c r="Q50" s="981" t="s">
        <v>99</v>
      </c>
      <c r="R50" s="1812"/>
      <c r="S50" s="1006"/>
      <c r="T50" s="1258"/>
      <c r="U50" s="1339"/>
      <c r="V50" s="72">
        <f t="shared" si="0"/>
        <v>1</v>
      </c>
      <c r="W50" s="77">
        <f>IF(H50="ja",X50,0)</f>
        <v>0.08</v>
      </c>
      <c r="X50" s="74">
        <v>0.08</v>
      </c>
      <c r="Y50" s="72"/>
      <c r="Z50" s="72"/>
      <c r="AA50" s="68"/>
      <c r="AB50" s="72">
        <f t="shared" si="1"/>
        <v>1</v>
      </c>
      <c r="AC50" s="68"/>
      <c r="AD50" s="68"/>
      <c r="AE50" s="68"/>
      <c r="AF50" s="68"/>
    </row>
    <row r="51" spans="1:32" ht="14.25" customHeight="1" x14ac:dyDescent="0.25">
      <c r="A51" s="1516"/>
      <c r="B51" s="1308"/>
      <c r="C51" s="1309"/>
      <c r="D51" s="1309"/>
      <c r="E51" s="1309"/>
      <c r="F51" s="1309"/>
      <c r="G51" s="1310"/>
      <c r="H51" s="1191"/>
      <c r="I51" s="1017"/>
      <c r="J51" s="1046"/>
      <c r="K51" s="1047"/>
      <c r="L51" s="1749"/>
      <c r="M51" s="1750"/>
      <c r="N51" s="1750"/>
      <c r="O51" s="1750"/>
      <c r="P51" s="1841"/>
      <c r="Q51" s="982"/>
      <c r="R51" s="1813"/>
      <c r="S51" s="1008"/>
      <c r="T51" s="1258"/>
      <c r="U51" s="1339"/>
      <c r="V51" s="72">
        <f t="shared" si="0"/>
        <v>0</v>
      </c>
      <c r="W51" s="72"/>
      <c r="X51" s="74"/>
      <c r="Y51" s="72"/>
      <c r="Z51" s="72"/>
      <c r="AA51" s="68"/>
      <c r="AB51" s="72">
        <f t="shared" si="1"/>
        <v>0</v>
      </c>
      <c r="AC51" s="68"/>
      <c r="AD51" s="68"/>
      <c r="AE51" s="68"/>
      <c r="AF51" s="68"/>
    </row>
    <row r="52" spans="1:32" ht="14.25" customHeight="1" x14ac:dyDescent="0.25">
      <c r="A52" s="1516"/>
      <c r="B52" s="1308"/>
      <c r="C52" s="1309"/>
      <c r="D52" s="1309"/>
      <c r="E52" s="1309"/>
      <c r="F52" s="1309"/>
      <c r="G52" s="1310"/>
      <c r="H52" s="1191"/>
      <c r="I52" s="1017"/>
      <c r="J52" s="1046"/>
      <c r="K52" s="1047"/>
      <c r="L52" s="1751"/>
      <c r="M52" s="1752"/>
      <c r="N52" s="1752"/>
      <c r="O52" s="1752"/>
      <c r="P52" s="1842"/>
      <c r="Q52" s="983"/>
      <c r="R52" s="1814"/>
      <c r="S52" s="1270"/>
      <c r="T52" s="1258"/>
      <c r="U52" s="1339"/>
      <c r="V52" s="72">
        <f t="shared" si="0"/>
        <v>0</v>
      </c>
      <c r="W52" s="72"/>
      <c r="X52" s="74"/>
      <c r="Y52" s="72"/>
      <c r="Z52" s="72"/>
      <c r="AA52" s="68"/>
      <c r="AB52" s="72">
        <f t="shared" si="1"/>
        <v>0</v>
      </c>
      <c r="AC52" s="68"/>
      <c r="AD52" s="68"/>
      <c r="AE52" s="68"/>
      <c r="AF52" s="68"/>
    </row>
    <row r="53" spans="1:32" ht="14.25" customHeight="1" x14ac:dyDescent="0.25">
      <c r="A53" s="1516"/>
      <c r="B53" s="1308"/>
      <c r="C53" s="1309"/>
      <c r="D53" s="1309"/>
      <c r="E53" s="1309"/>
      <c r="F53" s="1309"/>
      <c r="G53" s="1310"/>
      <c r="H53" s="1191"/>
      <c r="I53" s="1017"/>
      <c r="J53" s="1046"/>
      <c r="K53" s="1047"/>
      <c r="L53" s="1737"/>
      <c r="M53" s="1738"/>
      <c r="N53" s="1738"/>
      <c r="O53" s="1738"/>
      <c r="P53" s="1828"/>
      <c r="Q53" s="981" t="s">
        <v>100</v>
      </c>
      <c r="R53" s="1812"/>
      <c r="S53" s="1006"/>
      <c r="T53" s="1258"/>
      <c r="U53" s="1339"/>
      <c r="V53" s="72">
        <f t="shared" si="0"/>
        <v>0</v>
      </c>
      <c r="W53" s="72"/>
      <c r="X53" s="74"/>
      <c r="Y53" s="72"/>
      <c r="Z53" s="72"/>
      <c r="AA53" s="68"/>
      <c r="AB53" s="72">
        <f t="shared" si="1"/>
        <v>0</v>
      </c>
      <c r="AC53" s="68"/>
      <c r="AD53" s="68"/>
      <c r="AE53" s="68"/>
      <c r="AF53" s="68"/>
    </row>
    <row r="54" spans="1:32" ht="14.25" customHeight="1" x14ac:dyDescent="0.25">
      <c r="A54" s="1516"/>
      <c r="B54" s="1308"/>
      <c r="C54" s="1309"/>
      <c r="D54" s="1309"/>
      <c r="E54" s="1309"/>
      <c r="F54" s="1309"/>
      <c r="G54" s="1310"/>
      <c r="H54" s="1191"/>
      <c r="I54" s="1017"/>
      <c r="J54" s="1046"/>
      <c r="K54" s="1047"/>
      <c r="L54" s="1739"/>
      <c r="M54" s="1740"/>
      <c r="N54" s="1740"/>
      <c r="O54" s="1740"/>
      <c r="P54" s="1829"/>
      <c r="Q54" s="982"/>
      <c r="R54" s="1813"/>
      <c r="S54" s="1008"/>
      <c r="T54" s="1258"/>
      <c r="U54" s="1339"/>
      <c r="V54" s="72">
        <f t="shared" si="0"/>
        <v>0</v>
      </c>
      <c r="W54" s="72"/>
      <c r="X54" s="74"/>
      <c r="Y54" s="72"/>
      <c r="Z54" s="72"/>
      <c r="AA54" s="68"/>
      <c r="AB54" s="72">
        <f t="shared" si="1"/>
        <v>0</v>
      </c>
      <c r="AC54" s="68"/>
      <c r="AD54" s="68"/>
      <c r="AE54" s="68"/>
      <c r="AF54" s="68"/>
    </row>
    <row r="55" spans="1:32" ht="14.25" customHeight="1" x14ac:dyDescent="0.25">
      <c r="A55" s="1516"/>
      <c r="B55" s="1308"/>
      <c r="C55" s="1309"/>
      <c r="D55" s="1309"/>
      <c r="E55" s="1309"/>
      <c r="F55" s="1309"/>
      <c r="G55" s="1310"/>
      <c r="H55" s="1191"/>
      <c r="I55" s="1017"/>
      <c r="J55" s="1046"/>
      <c r="K55" s="1047"/>
      <c r="L55" s="1741"/>
      <c r="M55" s="1742"/>
      <c r="N55" s="1742"/>
      <c r="O55" s="1742"/>
      <c r="P55" s="1839"/>
      <c r="Q55" s="983"/>
      <c r="R55" s="1814"/>
      <c r="S55" s="1270"/>
      <c r="T55" s="1258"/>
      <c r="U55" s="1339"/>
      <c r="V55" s="72">
        <f t="shared" si="0"/>
        <v>0</v>
      </c>
      <c r="W55" s="72"/>
      <c r="X55" s="74"/>
      <c r="Y55" s="72"/>
      <c r="Z55" s="72"/>
      <c r="AA55" s="68"/>
      <c r="AB55" s="72">
        <f t="shared" si="1"/>
        <v>0</v>
      </c>
      <c r="AC55" s="68"/>
      <c r="AD55" s="68"/>
      <c r="AE55" s="68"/>
      <c r="AF55" s="68"/>
    </row>
    <row r="56" spans="1:32" ht="14.25" customHeight="1" x14ac:dyDescent="0.25">
      <c r="A56" s="1516"/>
      <c r="B56" s="1308"/>
      <c r="C56" s="1309"/>
      <c r="D56" s="1309"/>
      <c r="E56" s="1309"/>
      <c r="F56" s="1309"/>
      <c r="G56" s="1310"/>
      <c r="H56" s="1191"/>
      <c r="I56" s="1017"/>
      <c r="J56" s="1046"/>
      <c r="K56" s="1047"/>
      <c r="L56" s="1757"/>
      <c r="M56" s="1758"/>
      <c r="N56" s="1758"/>
      <c r="O56" s="1758"/>
      <c r="P56" s="1759"/>
      <c r="Q56" s="1013" t="s">
        <v>100</v>
      </c>
      <c r="R56" s="1843"/>
      <c r="S56" s="973"/>
      <c r="T56" s="1258"/>
      <c r="U56" s="1339"/>
      <c r="V56" s="72">
        <f t="shared" si="0"/>
        <v>0</v>
      </c>
      <c r="W56" s="72"/>
      <c r="X56" s="74"/>
      <c r="Y56" s="72"/>
      <c r="Z56" s="72"/>
      <c r="AA56" s="68"/>
      <c r="AB56" s="72">
        <f t="shared" si="1"/>
        <v>0</v>
      </c>
      <c r="AC56" s="68"/>
      <c r="AD56" s="68"/>
      <c r="AE56" s="68"/>
      <c r="AF56" s="68"/>
    </row>
    <row r="57" spans="1:32" ht="14.25" customHeight="1" x14ac:dyDescent="0.25">
      <c r="A57" s="1516"/>
      <c r="B57" s="1308"/>
      <c r="C57" s="1309"/>
      <c r="D57" s="1309"/>
      <c r="E57" s="1309"/>
      <c r="F57" s="1309"/>
      <c r="G57" s="1310"/>
      <c r="H57" s="1191"/>
      <c r="I57" s="1017"/>
      <c r="J57" s="1046"/>
      <c r="K57" s="1047"/>
      <c r="L57" s="1757"/>
      <c r="M57" s="1758"/>
      <c r="N57" s="1758"/>
      <c r="O57" s="1758"/>
      <c r="P57" s="1759"/>
      <c r="Q57" s="1013"/>
      <c r="R57" s="1843"/>
      <c r="S57" s="973"/>
      <c r="T57" s="1258"/>
      <c r="U57" s="1339"/>
      <c r="V57" s="72">
        <f t="shared" si="0"/>
        <v>0</v>
      </c>
      <c r="W57" s="72"/>
      <c r="X57" s="74"/>
      <c r="Y57" s="72"/>
      <c r="Z57" s="72"/>
      <c r="AA57" s="68"/>
      <c r="AB57" s="72">
        <f t="shared" si="1"/>
        <v>0</v>
      </c>
      <c r="AC57" s="68"/>
      <c r="AD57" s="68"/>
      <c r="AE57" s="68"/>
      <c r="AF57" s="68"/>
    </row>
    <row r="58" spans="1:32" ht="14.25" customHeight="1" x14ac:dyDescent="0.25">
      <c r="A58" s="1516"/>
      <c r="B58" s="1103" t="s">
        <v>561</v>
      </c>
      <c r="C58" s="1104"/>
      <c r="D58" s="1104"/>
      <c r="E58" s="1104"/>
      <c r="F58" s="1104"/>
      <c r="G58" s="1105"/>
      <c r="H58" s="1190" t="s">
        <v>99</v>
      </c>
      <c r="I58" s="1017"/>
      <c r="J58" s="1046"/>
      <c r="K58" s="1047"/>
      <c r="L58" s="1757"/>
      <c r="M58" s="1758"/>
      <c r="N58" s="1758"/>
      <c r="O58" s="1758"/>
      <c r="P58" s="1759"/>
      <c r="Q58" s="1013" t="s">
        <v>100</v>
      </c>
      <c r="R58" s="1821"/>
      <c r="S58" s="1725"/>
      <c r="T58" s="1258"/>
      <c r="U58" s="1339"/>
      <c r="V58" s="72">
        <f t="shared" si="0"/>
        <v>0</v>
      </c>
      <c r="W58" s="77">
        <f>IF(H58="ja",X58,0)</f>
        <v>5.0000000000000001E-3</v>
      </c>
      <c r="X58" s="74">
        <v>5.0000000000000001E-3</v>
      </c>
      <c r="Y58" s="72"/>
      <c r="Z58" s="72"/>
      <c r="AA58" s="68"/>
      <c r="AB58" s="72">
        <f t="shared" si="1"/>
        <v>0</v>
      </c>
      <c r="AC58" s="68"/>
      <c r="AD58" s="68"/>
      <c r="AE58" s="68"/>
      <c r="AF58" s="68"/>
    </row>
    <row r="59" spans="1:32" ht="14.25" customHeight="1" x14ac:dyDescent="0.25">
      <c r="A59" s="1516"/>
      <c r="B59" s="1103"/>
      <c r="C59" s="1104"/>
      <c r="D59" s="1104"/>
      <c r="E59" s="1104"/>
      <c r="F59" s="1104"/>
      <c r="G59" s="1105"/>
      <c r="H59" s="1193"/>
      <c r="I59" s="1017"/>
      <c r="J59" s="1046"/>
      <c r="K59" s="1047"/>
      <c r="L59" s="1757"/>
      <c r="M59" s="1758"/>
      <c r="N59" s="1758"/>
      <c r="O59" s="1758"/>
      <c r="P59" s="1759"/>
      <c r="Q59" s="1013"/>
      <c r="R59" s="1821"/>
      <c r="S59" s="1725"/>
      <c r="T59" s="1258"/>
      <c r="U59" s="1339"/>
      <c r="V59" s="72">
        <f t="shared" si="0"/>
        <v>0</v>
      </c>
      <c r="W59" s="72"/>
      <c r="X59" s="74"/>
      <c r="Y59" s="72"/>
      <c r="Z59" s="77"/>
      <c r="AA59" s="192"/>
      <c r="AB59" s="72">
        <f t="shared" si="1"/>
        <v>0</v>
      </c>
      <c r="AC59" s="68"/>
      <c r="AD59" s="68"/>
      <c r="AE59" s="68"/>
      <c r="AF59" s="68"/>
    </row>
    <row r="60" spans="1:32" ht="14.25" customHeight="1" x14ac:dyDescent="0.25">
      <c r="A60" s="1516"/>
      <c r="B60" s="1103" t="s">
        <v>562</v>
      </c>
      <c r="C60" s="1104"/>
      <c r="D60" s="1104"/>
      <c r="E60" s="1104"/>
      <c r="F60" s="1104"/>
      <c r="G60" s="1105"/>
      <c r="H60" s="1190" t="s">
        <v>99</v>
      </c>
      <c r="I60" s="1017"/>
      <c r="J60" s="1046"/>
      <c r="K60" s="1047"/>
      <c r="L60" s="1757"/>
      <c r="M60" s="1758"/>
      <c r="N60" s="1758"/>
      <c r="O60" s="1758"/>
      <c r="P60" s="1759"/>
      <c r="Q60" s="1013" t="s">
        <v>100</v>
      </c>
      <c r="R60" s="1821"/>
      <c r="S60" s="1725"/>
      <c r="T60" s="1258"/>
      <c r="U60" s="1339"/>
      <c r="V60" s="72">
        <f t="shared" si="0"/>
        <v>0</v>
      </c>
      <c r="W60" s="77">
        <f>IF(H60="ja",X60,0)</f>
        <v>6.4999999999999997E-3</v>
      </c>
      <c r="X60" s="74">
        <v>6.4999999999999997E-3</v>
      </c>
      <c r="Y60" s="72"/>
      <c r="Z60" s="72"/>
      <c r="AA60" s="68"/>
      <c r="AB60" s="72">
        <f t="shared" si="1"/>
        <v>0</v>
      </c>
      <c r="AC60" s="68"/>
      <c r="AD60" s="68"/>
      <c r="AE60" s="68"/>
      <c r="AF60" s="68"/>
    </row>
    <row r="61" spans="1:32" ht="14.25" customHeight="1" x14ac:dyDescent="0.25">
      <c r="A61" s="1516"/>
      <c r="B61" s="1103"/>
      <c r="C61" s="1104"/>
      <c r="D61" s="1104"/>
      <c r="E61" s="1104"/>
      <c r="F61" s="1104"/>
      <c r="G61" s="1105"/>
      <c r="H61" s="1191"/>
      <c r="I61" s="1017"/>
      <c r="J61" s="1046"/>
      <c r="K61" s="1047"/>
      <c r="L61" s="1757"/>
      <c r="M61" s="1758"/>
      <c r="N61" s="1758"/>
      <c r="O61" s="1758"/>
      <c r="P61" s="1759"/>
      <c r="Q61" s="1013"/>
      <c r="R61" s="1821"/>
      <c r="S61" s="1725"/>
      <c r="T61" s="1258"/>
      <c r="U61" s="1339"/>
      <c r="V61" s="72">
        <f t="shared" si="0"/>
        <v>0</v>
      </c>
      <c r="W61" s="72"/>
      <c r="X61" s="74"/>
      <c r="Y61" s="72"/>
      <c r="Z61" s="77"/>
      <c r="AA61" s="192"/>
      <c r="AB61" s="72">
        <f t="shared" si="1"/>
        <v>0</v>
      </c>
      <c r="AC61" s="68"/>
      <c r="AD61" s="68"/>
      <c r="AE61" s="68"/>
      <c r="AF61" s="68"/>
    </row>
    <row r="62" spans="1:32" ht="14.25" customHeight="1" x14ac:dyDescent="0.25">
      <c r="A62" s="1516"/>
      <c r="B62" s="1103" t="s">
        <v>171</v>
      </c>
      <c r="C62" s="1104"/>
      <c r="D62" s="1104"/>
      <c r="E62" s="1104"/>
      <c r="F62" s="1104"/>
      <c r="G62" s="1105"/>
      <c r="H62" s="1190" t="s">
        <v>99</v>
      </c>
      <c r="I62" s="1017"/>
      <c r="J62" s="1046"/>
      <c r="K62" s="1047"/>
      <c r="L62" s="1757"/>
      <c r="M62" s="1758"/>
      <c r="N62" s="1758"/>
      <c r="O62" s="1758"/>
      <c r="P62" s="1759"/>
      <c r="Q62" s="1013" t="s">
        <v>100</v>
      </c>
      <c r="R62" s="1843"/>
      <c r="S62" s="973"/>
      <c r="T62" s="1258"/>
      <c r="U62" s="1339"/>
      <c r="V62" s="72">
        <f t="shared" si="0"/>
        <v>0</v>
      </c>
      <c r="W62" s="77">
        <f>IF(H62="ja",X62,0)</f>
        <v>2.5000000000000001E-3</v>
      </c>
      <c r="X62" s="74">
        <v>2.5000000000000001E-3</v>
      </c>
      <c r="Y62" s="72"/>
      <c r="Z62" s="77"/>
      <c r="AA62" s="192"/>
      <c r="AB62" s="72">
        <f t="shared" si="1"/>
        <v>0</v>
      </c>
      <c r="AC62" s="68"/>
      <c r="AD62" s="68"/>
      <c r="AE62" s="68"/>
      <c r="AF62" s="68"/>
    </row>
    <row r="63" spans="1:32" ht="14.25" customHeight="1" thickBot="1" x14ac:dyDescent="0.3">
      <c r="A63" s="1516"/>
      <c r="B63" s="1103"/>
      <c r="C63" s="1104"/>
      <c r="D63" s="1104"/>
      <c r="E63" s="1104"/>
      <c r="F63" s="1104"/>
      <c r="G63" s="1105"/>
      <c r="H63" s="1191"/>
      <c r="I63" s="1018"/>
      <c r="J63" s="1048"/>
      <c r="K63" s="1049"/>
      <c r="L63" s="1765"/>
      <c r="M63" s="1766"/>
      <c r="N63" s="1766"/>
      <c r="O63" s="1766"/>
      <c r="P63" s="1825"/>
      <c r="Q63" s="1102"/>
      <c r="R63" s="1844"/>
      <c r="S63" s="977"/>
      <c r="T63" s="1258"/>
      <c r="U63" s="1339"/>
      <c r="V63" s="72">
        <f t="shared" si="0"/>
        <v>0</v>
      </c>
      <c r="W63" s="74"/>
      <c r="X63" s="74"/>
      <c r="Y63" s="72"/>
      <c r="Z63" s="77"/>
      <c r="AA63" s="192"/>
      <c r="AB63" s="72">
        <f t="shared" si="1"/>
        <v>0</v>
      </c>
      <c r="AC63" s="68"/>
      <c r="AD63" s="68"/>
      <c r="AE63" s="68"/>
      <c r="AF63" s="68"/>
    </row>
    <row r="64" spans="1:32" ht="14.25" customHeight="1" x14ac:dyDescent="0.25">
      <c r="A64" s="1516"/>
      <c r="B64" s="1035" t="s">
        <v>154</v>
      </c>
      <c r="C64" s="1036"/>
      <c r="D64" s="1036"/>
      <c r="E64" s="1036"/>
      <c r="F64" s="1036"/>
      <c r="G64" s="1036"/>
      <c r="H64" s="1161"/>
      <c r="I64" s="1035">
        <f>IF(J19="Kostenschätzung liegt noch nicht vor",I35,J19)</f>
        <v>0</v>
      </c>
      <c r="J64" s="1036"/>
      <c r="K64" s="1037"/>
      <c r="L64" s="1355">
        <f>SUM(R46:S63)</f>
        <v>0</v>
      </c>
      <c r="M64" s="1356"/>
      <c r="N64" s="1356"/>
      <c r="O64" s="1356"/>
      <c r="P64" s="1356"/>
      <c r="Q64" s="1853"/>
      <c r="R64" s="1355"/>
      <c r="S64" s="1798"/>
      <c r="T64" s="1260"/>
      <c r="U64" s="1257"/>
      <c r="V64" s="72">
        <f t="shared" si="0"/>
        <v>0</v>
      </c>
      <c r="W64" s="74">
        <f>SUM(W46:W63)</f>
        <v>0.10000000000000002</v>
      </c>
      <c r="X64" s="75"/>
      <c r="Y64" s="75"/>
      <c r="Z64" s="72"/>
      <c r="AA64" s="68"/>
      <c r="AB64" s="72">
        <f t="shared" si="1"/>
        <v>0</v>
      </c>
      <c r="AC64" s="68"/>
      <c r="AD64" s="68"/>
      <c r="AE64" s="68"/>
      <c r="AF64" s="68"/>
    </row>
    <row r="65" spans="1:42" ht="14.25" customHeight="1" x14ac:dyDescent="0.25">
      <c r="A65" s="1516"/>
      <c r="B65" s="1038"/>
      <c r="C65" s="1039"/>
      <c r="D65" s="1039"/>
      <c r="E65" s="1039"/>
      <c r="F65" s="1039"/>
      <c r="G65" s="1039"/>
      <c r="H65" s="1162"/>
      <c r="I65" s="1038"/>
      <c r="J65" s="1039"/>
      <c r="K65" s="1040"/>
      <c r="L65" s="1357"/>
      <c r="M65" s="1358"/>
      <c r="N65" s="1358"/>
      <c r="O65" s="1358"/>
      <c r="P65" s="1358"/>
      <c r="Q65" s="1854"/>
      <c r="R65" s="1357"/>
      <c r="S65" s="1799"/>
      <c r="T65" s="1261"/>
      <c r="U65" s="1258"/>
      <c r="V65" s="72">
        <f t="shared" si="0"/>
        <v>0</v>
      </c>
      <c r="W65" s="76"/>
      <c r="X65" s="74"/>
      <c r="Y65" s="72"/>
      <c r="Z65" s="72"/>
      <c r="AA65" s="68"/>
      <c r="AB65" s="72">
        <f t="shared" si="1"/>
        <v>0</v>
      </c>
      <c r="AC65" s="68"/>
      <c r="AD65" s="68"/>
      <c r="AE65" s="68"/>
      <c r="AF65" s="68"/>
    </row>
    <row r="66" spans="1:42" ht="14.25" customHeight="1" thickBot="1" x14ac:dyDescent="0.3">
      <c r="A66" s="1516"/>
      <c r="B66" s="1041"/>
      <c r="C66" s="1042"/>
      <c r="D66" s="1042"/>
      <c r="E66" s="1042"/>
      <c r="F66" s="1042"/>
      <c r="G66" s="1042"/>
      <c r="H66" s="1163"/>
      <c r="I66" s="1041"/>
      <c r="J66" s="1042"/>
      <c r="K66" s="1043"/>
      <c r="L66" s="1359"/>
      <c r="M66" s="1360"/>
      <c r="N66" s="1360"/>
      <c r="O66" s="1360"/>
      <c r="P66" s="1360"/>
      <c r="Q66" s="1855"/>
      <c r="R66" s="1359"/>
      <c r="S66" s="1800"/>
      <c r="T66" s="1262"/>
      <c r="U66" s="1259"/>
      <c r="V66" s="72">
        <f t="shared" si="0"/>
        <v>0</v>
      </c>
      <c r="W66" s="76"/>
      <c r="X66" s="74"/>
      <c r="Y66" s="72"/>
      <c r="Z66" s="72"/>
      <c r="AA66" s="68"/>
      <c r="AB66" s="72">
        <f t="shared" si="1"/>
        <v>0</v>
      </c>
      <c r="AC66" s="68"/>
      <c r="AD66" s="68"/>
      <c r="AE66" s="68"/>
      <c r="AF66" s="68"/>
    </row>
    <row r="67" spans="1:42" ht="14.25" customHeight="1" thickBot="1" x14ac:dyDescent="0.3">
      <c r="A67" s="1516"/>
      <c r="B67" s="1082" t="s">
        <v>186</v>
      </c>
      <c r="C67" s="1083"/>
      <c r="D67" s="1083"/>
      <c r="E67" s="1083"/>
      <c r="F67" s="1083"/>
      <c r="G67" s="1084"/>
      <c r="H67" s="144"/>
      <c r="I67" s="1361"/>
      <c r="J67" s="1362"/>
      <c r="K67" s="1576"/>
      <c r="L67" s="1361"/>
      <c r="M67" s="1362"/>
      <c r="N67" s="1362"/>
      <c r="O67" s="1362"/>
      <c r="P67" s="1362"/>
      <c r="Q67" s="394"/>
      <c r="R67" s="1361"/>
      <c r="S67" s="1576"/>
      <c r="U67" s="335" t="s">
        <v>157</v>
      </c>
      <c r="V67" s="72">
        <f t="shared" si="0"/>
        <v>0</v>
      </c>
      <c r="W67" s="74"/>
      <c r="X67" s="150"/>
      <c r="Y67" s="150"/>
      <c r="Z67" s="150"/>
      <c r="AA67" s="68"/>
      <c r="AB67" s="72">
        <f t="shared" si="1"/>
        <v>0</v>
      </c>
      <c r="AC67" s="68"/>
      <c r="AD67" s="68"/>
      <c r="AE67" s="68"/>
      <c r="AF67" s="68"/>
    </row>
    <row r="68" spans="1:42" ht="14.25" customHeight="1" x14ac:dyDescent="0.25">
      <c r="A68" s="1516"/>
      <c r="B68" s="1106" t="s">
        <v>563</v>
      </c>
      <c r="C68" s="1107"/>
      <c r="D68" s="1107"/>
      <c r="E68" s="1107"/>
      <c r="F68" s="1107"/>
      <c r="G68" s="1108"/>
      <c r="H68" s="1088" t="s">
        <v>99</v>
      </c>
      <c r="I68" s="1016">
        <f>W89</f>
        <v>0.15000000000000002</v>
      </c>
      <c r="J68" s="1044">
        <f>I68*I64</f>
        <v>0</v>
      </c>
      <c r="K68" s="1045"/>
      <c r="L68" s="1754" t="s">
        <v>557</v>
      </c>
      <c r="M68" s="1755"/>
      <c r="N68" s="1755"/>
      <c r="O68" s="1755"/>
      <c r="P68" s="1756"/>
      <c r="Q68" s="1137" t="s">
        <v>99</v>
      </c>
      <c r="R68" s="1808"/>
      <c r="S68" s="1729"/>
      <c r="T68" s="1257" t="str">
        <f>IFERROR(IF((VLOOKUP(U68,Überblick!$M$125:$N$133,2))="ja","ja","nein"),"")</f>
        <v/>
      </c>
      <c r="U68" s="1338"/>
      <c r="V68" s="72">
        <f t="shared" si="0"/>
        <v>1</v>
      </c>
      <c r="W68" s="77">
        <f>IF(H68="ja",X68,0)</f>
        <v>8.5000000000000006E-2</v>
      </c>
      <c r="X68" s="74">
        <v>8.5000000000000006E-2</v>
      </c>
      <c r="Y68" s="72"/>
      <c r="Z68" s="72"/>
      <c r="AA68" s="68"/>
      <c r="AB68" s="72">
        <f t="shared" si="1"/>
        <v>1</v>
      </c>
      <c r="AI68" s="192"/>
      <c r="AJ68" s="192"/>
      <c r="AK68" s="68"/>
      <c r="AL68" s="68"/>
      <c r="AM68" s="68"/>
      <c r="AN68" s="68"/>
      <c r="AO68" s="68"/>
      <c r="AP68" s="68"/>
    </row>
    <row r="69" spans="1:42" ht="14.25" customHeight="1" x14ac:dyDescent="0.25">
      <c r="A69" s="1516"/>
      <c r="B69" s="1109"/>
      <c r="C69" s="1110"/>
      <c r="D69" s="1110"/>
      <c r="E69" s="1110"/>
      <c r="F69" s="1110"/>
      <c r="G69" s="1111"/>
      <c r="H69" s="986"/>
      <c r="I69" s="1017"/>
      <c r="J69" s="1046"/>
      <c r="K69" s="1047"/>
      <c r="L69" s="1757"/>
      <c r="M69" s="1758"/>
      <c r="N69" s="1758"/>
      <c r="O69" s="1758"/>
      <c r="P69" s="1759"/>
      <c r="Q69" s="1013"/>
      <c r="R69" s="1821"/>
      <c r="S69" s="1725"/>
      <c r="T69" s="1258"/>
      <c r="U69" s="1339"/>
      <c r="V69" s="72">
        <f t="shared" si="0"/>
        <v>0</v>
      </c>
      <c r="W69" s="72"/>
      <c r="X69" s="74"/>
      <c r="Y69" s="72"/>
      <c r="Z69" s="72"/>
      <c r="AA69" s="68"/>
      <c r="AB69" s="72">
        <f t="shared" si="1"/>
        <v>0</v>
      </c>
      <c r="AI69" s="68"/>
      <c r="AJ69" s="68"/>
      <c r="AK69" s="68"/>
      <c r="AL69" s="68"/>
      <c r="AM69" s="68"/>
      <c r="AN69" s="68"/>
      <c r="AO69" s="68"/>
      <c r="AP69" s="68"/>
    </row>
    <row r="70" spans="1:42" ht="15" customHeight="1" x14ac:dyDescent="0.25">
      <c r="A70" s="1516"/>
      <c r="B70" s="1109"/>
      <c r="C70" s="1110"/>
      <c r="D70" s="1110"/>
      <c r="E70" s="1110"/>
      <c r="F70" s="1110"/>
      <c r="G70" s="1111"/>
      <c r="H70" s="986"/>
      <c r="I70" s="1017"/>
      <c r="J70" s="1046"/>
      <c r="K70" s="1047"/>
      <c r="L70" s="1757" t="s">
        <v>559</v>
      </c>
      <c r="M70" s="1758"/>
      <c r="N70" s="1758"/>
      <c r="O70" s="1758"/>
      <c r="P70" s="1759"/>
      <c r="Q70" s="1013" t="s">
        <v>99</v>
      </c>
      <c r="R70" s="1821"/>
      <c r="S70" s="1725"/>
      <c r="T70" s="1258"/>
      <c r="U70" s="1339"/>
      <c r="V70" s="72">
        <f t="shared" si="0"/>
        <v>1</v>
      </c>
      <c r="W70" s="72"/>
      <c r="X70" s="74"/>
      <c r="Y70" s="72"/>
      <c r="Z70" s="72"/>
      <c r="AA70" s="68"/>
      <c r="AB70" s="72">
        <f t="shared" si="1"/>
        <v>1</v>
      </c>
      <c r="AI70" s="68"/>
      <c r="AJ70" s="68"/>
      <c r="AK70" s="68"/>
      <c r="AL70" s="68"/>
      <c r="AM70" s="68"/>
      <c r="AN70" s="68"/>
      <c r="AO70" s="68"/>
      <c r="AP70" s="68"/>
    </row>
    <row r="71" spans="1:42" ht="14.25" customHeight="1" x14ac:dyDescent="0.25">
      <c r="A71" s="1516"/>
      <c r="B71" s="1109"/>
      <c r="C71" s="1110"/>
      <c r="D71" s="1110"/>
      <c r="E71" s="1110"/>
      <c r="F71" s="1110"/>
      <c r="G71" s="1111"/>
      <c r="H71" s="986"/>
      <c r="I71" s="1017"/>
      <c r="J71" s="1046"/>
      <c r="K71" s="1047"/>
      <c r="L71" s="1757"/>
      <c r="M71" s="1758"/>
      <c r="N71" s="1758"/>
      <c r="O71" s="1758"/>
      <c r="P71" s="1759"/>
      <c r="Q71" s="1013"/>
      <c r="R71" s="1821"/>
      <c r="S71" s="1725"/>
      <c r="T71" s="1258"/>
      <c r="U71" s="1339"/>
      <c r="V71" s="72">
        <f t="shared" si="0"/>
        <v>0</v>
      </c>
      <c r="W71" s="72"/>
      <c r="X71" s="74"/>
      <c r="Y71" s="72"/>
      <c r="Z71" s="72"/>
      <c r="AA71" s="68"/>
      <c r="AB71" s="72">
        <f t="shared" si="1"/>
        <v>0</v>
      </c>
      <c r="AI71" s="68"/>
      <c r="AJ71" s="68"/>
      <c r="AK71" s="68"/>
      <c r="AL71" s="68"/>
      <c r="AM71" s="68"/>
      <c r="AN71" s="68"/>
      <c r="AO71" s="68"/>
      <c r="AP71" s="68"/>
    </row>
    <row r="72" spans="1:42" ht="14.25" customHeight="1" x14ac:dyDescent="0.25">
      <c r="A72" s="1516"/>
      <c r="B72" s="1092" t="s">
        <v>564</v>
      </c>
      <c r="C72" s="1093"/>
      <c r="D72" s="1093"/>
      <c r="E72" s="1093"/>
      <c r="F72" s="1093"/>
      <c r="G72" s="1094"/>
      <c r="H72" s="316" t="s">
        <v>99</v>
      </c>
      <c r="I72" s="1017"/>
      <c r="J72" s="1046"/>
      <c r="K72" s="1047"/>
      <c r="L72" s="1737"/>
      <c r="M72" s="1738"/>
      <c r="N72" s="1738"/>
      <c r="O72" s="1738"/>
      <c r="P72" s="1828"/>
      <c r="Q72" s="981" t="s">
        <v>100</v>
      </c>
      <c r="R72" s="1812"/>
      <c r="S72" s="1006"/>
      <c r="T72" s="1258"/>
      <c r="U72" s="1339"/>
      <c r="V72" s="72">
        <f t="shared" si="0"/>
        <v>0</v>
      </c>
      <c r="W72" s="77">
        <f>IF(H72="ja",X72,0)</f>
        <v>1.4999999999999999E-2</v>
      </c>
      <c r="X72" s="74">
        <v>1.4999999999999999E-2</v>
      </c>
      <c r="Y72" s="72"/>
      <c r="Z72" s="72"/>
      <c r="AA72" s="72"/>
      <c r="AB72" s="72">
        <f t="shared" si="1"/>
        <v>0</v>
      </c>
      <c r="AC72" s="72"/>
      <c r="AD72" s="72"/>
      <c r="AE72" s="72"/>
      <c r="AI72" s="192"/>
      <c r="AJ72" s="192"/>
      <c r="AK72" s="68"/>
      <c r="AL72" s="68"/>
      <c r="AM72" s="68"/>
      <c r="AN72" s="68"/>
      <c r="AO72" s="68"/>
      <c r="AP72" s="68"/>
    </row>
    <row r="73" spans="1:42" ht="14.25" customHeight="1" x14ac:dyDescent="0.25">
      <c r="A73" s="1516"/>
      <c r="B73" s="1077" t="s">
        <v>565</v>
      </c>
      <c r="C73" s="1078"/>
      <c r="D73" s="1078"/>
      <c r="E73" s="1078"/>
      <c r="F73" s="1078"/>
      <c r="G73" s="1079"/>
      <c r="H73" s="981" t="s">
        <v>99</v>
      </c>
      <c r="I73" s="1017"/>
      <c r="J73" s="1046"/>
      <c r="K73" s="1047"/>
      <c r="L73" s="1739"/>
      <c r="M73" s="1740"/>
      <c r="N73" s="1740"/>
      <c r="O73" s="1740"/>
      <c r="P73" s="1829"/>
      <c r="Q73" s="982"/>
      <c r="R73" s="1813"/>
      <c r="S73" s="1008"/>
      <c r="T73" s="1258"/>
      <c r="U73" s="1339"/>
      <c r="V73" s="72">
        <f t="shared" si="0"/>
        <v>0</v>
      </c>
      <c r="W73" s="77">
        <f>IF(H73="ja",X73,0)</f>
        <v>2.2499999999999999E-2</v>
      </c>
      <c r="X73" s="74">
        <v>2.2499999999999999E-2</v>
      </c>
      <c r="Y73" s="72"/>
      <c r="Z73" s="72"/>
      <c r="AA73" s="72"/>
      <c r="AB73" s="72">
        <f t="shared" si="1"/>
        <v>0</v>
      </c>
      <c r="AC73" s="72"/>
      <c r="AD73" s="72"/>
      <c r="AE73" s="72"/>
      <c r="AI73" s="192"/>
      <c r="AJ73" s="192"/>
      <c r="AK73" s="68"/>
      <c r="AL73" s="68"/>
      <c r="AM73" s="68"/>
      <c r="AN73" s="68"/>
      <c r="AO73" s="68"/>
      <c r="AP73" s="68"/>
    </row>
    <row r="74" spans="1:42" ht="14.25" customHeight="1" x14ac:dyDescent="0.25">
      <c r="A74" s="1516"/>
      <c r="B74" s="1072"/>
      <c r="C74" s="913"/>
      <c r="D74" s="913"/>
      <c r="E74" s="913"/>
      <c r="F74" s="913"/>
      <c r="G74" s="1073"/>
      <c r="H74" s="982"/>
      <c r="I74" s="1017"/>
      <c r="J74" s="1046"/>
      <c r="K74" s="1047"/>
      <c r="L74" s="1741"/>
      <c r="M74" s="1742"/>
      <c r="N74" s="1742"/>
      <c r="O74" s="1742"/>
      <c r="P74" s="1839"/>
      <c r="Q74" s="983"/>
      <c r="R74" s="1814"/>
      <c r="S74" s="1270"/>
      <c r="T74" s="1258"/>
      <c r="U74" s="1339"/>
      <c r="V74" s="72">
        <f t="shared" si="0"/>
        <v>0</v>
      </c>
      <c r="W74" s="72"/>
      <c r="X74" s="74"/>
      <c r="Y74" s="72"/>
      <c r="Z74" s="72"/>
      <c r="AA74" s="72"/>
      <c r="AB74" s="72">
        <f t="shared" si="1"/>
        <v>0</v>
      </c>
      <c r="AC74" s="72"/>
      <c r="AD74" s="72"/>
      <c r="AE74" s="72"/>
      <c r="AI74" s="192"/>
      <c r="AJ74" s="192"/>
      <c r="AK74" s="68"/>
      <c r="AL74" s="68"/>
      <c r="AM74" s="68"/>
      <c r="AN74" s="68"/>
      <c r="AO74" s="68"/>
      <c r="AP74" s="68"/>
    </row>
    <row r="75" spans="1:42" ht="14.25" customHeight="1" x14ac:dyDescent="0.25">
      <c r="A75" s="1516"/>
      <c r="B75" s="1072"/>
      <c r="C75" s="913"/>
      <c r="D75" s="913"/>
      <c r="E75" s="913"/>
      <c r="F75" s="913"/>
      <c r="G75" s="1073"/>
      <c r="H75" s="982"/>
      <c r="I75" s="1017"/>
      <c r="J75" s="1046"/>
      <c r="K75" s="1047"/>
      <c r="L75" s="1739"/>
      <c r="M75" s="1740"/>
      <c r="N75" s="1740"/>
      <c r="O75" s="1740"/>
      <c r="P75" s="1829"/>
      <c r="Q75" s="1013" t="s">
        <v>100</v>
      </c>
      <c r="R75" s="1821"/>
      <c r="S75" s="1725"/>
      <c r="T75" s="1258"/>
      <c r="U75" s="1339"/>
      <c r="V75" s="72">
        <f t="shared" si="0"/>
        <v>0</v>
      </c>
      <c r="W75" s="72"/>
      <c r="X75" s="74"/>
      <c r="Y75" s="72"/>
      <c r="Z75" s="72"/>
      <c r="AA75" s="72"/>
      <c r="AB75" s="72">
        <f t="shared" si="1"/>
        <v>0</v>
      </c>
      <c r="AC75" s="72"/>
      <c r="AD75" s="72"/>
      <c r="AE75" s="72"/>
      <c r="AI75" s="192"/>
      <c r="AJ75" s="192"/>
      <c r="AK75" s="68"/>
      <c r="AL75" s="68"/>
      <c r="AM75" s="68"/>
      <c r="AN75" s="68"/>
      <c r="AO75" s="68"/>
      <c r="AP75" s="68"/>
    </row>
    <row r="76" spans="1:42" ht="14.25" customHeight="1" x14ac:dyDescent="0.25">
      <c r="A76" s="1516"/>
      <c r="B76" s="1072"/>
      <c r="C76" s="913"/>
      <c r="D76" s="913"/>
      <c r="E76" s="913"/>
      <c r="F76" s="913"/>
      <c r="G76" s="1073"/>
      <c r="H76" s="982"/>
      <c r="I76" s="1017"/>
      <c r="J76" s="1046"/>
      <c r="K76" s="1047"/>
      <c r="L76" s="1741"/>
      <c r="M76" s="1742"/>
      <c r="N76" s="1742"/>
      <c r="O76" s="1742"/>
      <c r="P76" s="1839"/>
      <c r="Q76" s="1013"/>
      <c r="R76" s="1821"/>
      <c r="S76" s="1725"/>
      <c r="T76" s="1258"/>
      <c r="U76" s="1339"/>
      <c r="V76" s="72">
        <f t="shared" si="0"/>
        <v>0</v>
      </c>
      <c r="W76" s="72"/>
      <c r="X76" s="74"/>
      <c r="Y76" s="72"/>
      <c r="Z76" s="72"/>
      <c r="AA76" s="72"/>
      <c r="AB76" s="72">
        <f t="shared" si="1"/>
        <v>0</v>
      </c>
      <c r="AC76" s="72"/>
      <c r="AD76" s="72"/>
      <c r="AE76" s="72"/>
      <c r="AI76" s="192"/>
      <c r="AJ76" s="192"/>
      <c r="AK76" s="68"/>
      <c r="AL76" s="68"/>
      <c r="AM76" s="68"/>
      <c r="AN76" s="68"/>
      <c r="AO76" s="68"/>
      <c r="AP76" s="68"/>
    </row>
    <row r="77" spans="1:42" ht="14.25" customHeight="1" x14ac:dyDescent="0.25">
      <c r="A77" s="1516"/>
      <c r="B77" s="1072"/>
      <c r="C77" s="913"/>
      <c r="D77" s="913"/>
      <c r="E77" s="913"/>
      <c r="F77" s="913"/>
      <c r="G77" s="1073"/>
      <c r="H77" s="982"/>
      <c r="I77" s="1017"/>
      <c r="J77" s="1046"/>
      <c r="K77" s="1047"/>
      <c r="L77" s="1747" t="s">
        <v>566</v>
      </c>
      <c r="M77" s="1748"/>
      <c r="N77" s="1748"/>
      <c r="O77" s="1748"/>
      <c r="P77" s="1840"/>
      <c r="Q77" s="981" t="s">
        <v>99</v>
      </c>
      <c r="R77" s="1812"/>
      <c r="S77" s="1006"/>
      <c r="T77" s="1258"/>
      <c r="U77" s="1339"/>
      <c r="V77" s="72">
        <f t="shared" si="0"/>
        <v>1</v>
      </c>
      <c r="W77" s="72"/>
      <c r="X77" s="74"/>
      <c r="Y77" s="72"/>
      <c r="Z77" s="72"/>
      <c r="AA77" s="72"/>
      <c r="AB77" s="72">
        <f t="shared" si="1"/>
        <v>1</v>
      </c>
      <c r="AC77" s="72"/>
      <c r="AD77" s="72"/>
      <c r="AE77" s="72"/>
      <c r="AI77" s="192"/>
      <c r="AJ77" s="192"/>
      <c r="AK77" s="68"/>
      <c r="AL77" s="68"/>
      <c r="AM77" s="68"/>
      <c r="AN77" s="68"/>
      <c r="AO77" s="68"/>
      <c r="AP77" s="68"/>
    </row>
    <row r="78" spans="1:42" ht="14.25" customHeight="1" x14ac:dyDescent="0.25">
      <c r="A78" s="1516"/>
      <c r="B78" s="1077" t="s">
        <v>567</v>
      </c>
      <c r="C78" s="1078"/>
      <c r="D78" s="1078"/>
      <c r="E78" s="1078"/>
      <c r="F78" s="1078"/>
      <c r="G78" s="1078"/>
      <c r="H78" s="981" t="s">
        <v>99</v>
      </c>
      <c r="I78" s="1017"/>
      <c r="J78" s="1046"/>
      <c r="K78" s="1047"/>
      <c r="L78" s="1749"/>
      <c r="M78" s="1750"/>
      <c r="N78" s="1750"/>
      <c r="O78" s="1750"/>
      <c r="P78" s="1841"/>
      <c r="Q78" s="982"/>
      <c r="R78" s="1813"/>
      <c r="S78" s="1008"/>
      <c r="T78" s="1258"/>
      <c r="U78" s="1339"/>
      <c r="V78" s="72">
        <f t="shared" si="0"/>
        <v>0</v>
      </c>
      <c r="W78" s="77">
        <f>IF(H78="ja",X78,0)</f>
        <v>0.01</v>
      </c>
      <c r="X78" s="74">
        <v>0.01</v>
      </c>
      <c r="Y78" s="72"/>
      <c r="Z78" s="72"/>
      <c r="AA78" s="72"/>
      <c r="AB78" s="72">
        <f t="shared" si="1"/>
        <v>0</v>
      </c>
      <c r="AC78" s="72"/>
      <c r="AD78" s="72"/>
      <c r="AE78" s="72"/>
      <c r="AI78" s="192"/>
      <c r="AJ78" s="192"/>
      <c r="AK78" s="68"/>
      <c r="AL78" s="68"/>
      <c r="AM78" s="68"/>
      <c r="AN78" s="68"/>
      <c r="AO78" s="68"/>
      <c r="AP78" s="68"/>
    </row>
    <row r="79" spans="1:42" ht="14.25" customHeight="1" x14ac:dyDescent="0.25">
      <c r="A79" s="1516"/>
      <c r="B79" s="1072"/>
      <c r="C79" s="913"/>
      <c r="D79" s="913"/>
      <c r="E79" s="913"/>
      <c r="F79" s="913"/>
      <c r="G79" s="913"/>
      <c r="H79" s="982"/>
      <c r="I79" s="1017"/>
      <c r="J79" s="1046"/>
      <c r="K79" s="1047"/>
      <c r="L79" s="1751"/>
      <c r="M79" s="1752"/>
      <c r="N79" s="1752"/>
      <c r="O79" s="1752"/>
      <c r="P79" s="1842"/>
      <c r="Q79" s="983"/>
      <c r="R79" s="1814"/>
      <c r="S79" s="1270"/>
      <c r="T79" s="1258"/>
      <c r="U79" s="1339"/>
      <c r="V79" s="72">
        <f t="shared" si="0"/>
        <v>0</v>
      </c>
      <c r="W79" s="72"/>
      <c r="X79" s="74"/>
      <c r="Y79" s="72"/>
      <c r="Z79" s="72"/>
      <c r="AA79" s="72"/>
      <c r="AB79" s="72">
        <f t="shared" si="1"/>
        <v>0</v>
      </c>
      <c r="AC79" s="72"/>
      <c r="AD79" s="72"/>
      <c r="AE79" s="72"/>
      <c r="AI79" s="192"/>
      <c r="AJ79" s="192"/>
      <c r="AK79" s="68"/>
      <c r="AL79" s="68"/>
      <c r="AM79" s="68"/>
      <c r="AN79" s="68"/>
      <c r="AO79" s="68"/>
      <c r="AP79" s="68"/>
    </row>
    <row r="80" spans="1:42" ht="14.25" customHeight="1" x14ac:dyDescent="0.25">
      <c r="A80" s="1516"/>
      <c r="B80" s="1074"/>
      <c r="C80" s="1075"/>
      <c r="D80" s="1075"/>
      <c r="E80" s="1075"/>
      <c r="F80" s="1075"/>
      <c r="G80" s="1075"/>
      <c r="H80" s="983"/>
      <c r="I80" s="1017"/>
      <c r="J80" s="1046"/>
      <c r="K80" s="1047"/>
      <c r="L80" s="1737"/>
      <c r="M80" s="1738"/>
      <c r="N80" s="1738"/>
      <c r="O80" s="1738"/>
      <c r="P80" s="1828"/>
      <c r="Q80" s="981" t="s">
        <v>100</v>
      </c>
      <c r="R80" s="1812"/>
      <c r="S80" s="1006"/>
      <c r="T80" s="1258"/>
      <c r="U80" s="1339"/>
      <c r="V80" s="72">
        <f t="shared" si="0"/>
        <v>0</v>
      </c>
      <c r="W80" s="72"/>
      <c r="X80" s="74"/>
      <c r="Y80" s="72"/>
      <c r="Z80" s="72"/>
      <c r="AA80" s="72"/>
      <c r="AB80" s="72">
        <f t="shared" si="1"/>
        <v>0</v>
      </c>
      <c r="AC80" s="72"/>
      <c r="AD80" s="72"/>
      <c r="AE80" s="72"/>
      <c r="AI80" s="192"/>
      <c r="AJ80" s="192"/>
      <c r="AK80" s="68"/>
      <c r="AL80" s="68"/>
      <c r="AM80" s="68"/>
      <c r="AN80" s="68"/>
      <c r="AO80" s="68"/>
      <c r="AP80" s="68"/>
    </row>
    <row r="81" spans="1:42" ht="14.25" customHeight="1" x14ac:dyDescent="0.25">
      <c r="A81" s="1516"/>
      <c r="B81" s="1092" t="s">
        <v>568</v>
      </c>
      <c r="C81" s="1093"/>
      <c r="D81" s="1093"/>
      <c r="E81" s="1093"/>
      <c r="F81" s="1093"/>
      <c r="G81" s="1094"/>
      <c r="H81" s="316" t="s">
        <v>99</v>
      </c>
      <c r="I81" s="1017"/>
      <c r="J81" s="1046"/>
      <c r="K81" s="1047"/>
      <c r="L81" s="1739"/>
      <c r="M81" s="1740"/>
      <c r="N81" s="1740"/>
      <c r="O81" s="1740"/>
      <c r="P81" s="1829"/>
      <c r="Q81" s="982"/>
      <c r="R81" s="1813"/>
      <c r="S81" s="1008"/>
      <c r="T81" s="1258"/>
      <c r="U81" s="1339"/>
      <c r="V81" s="72">
        <f t="shared" si="0"/>
        <v>0</v>
      </c>
      <c r="W81" s="77">
        <f>IF(H81="ja",X81,0)</f>
        <v>5.0000000000000001E-3</v>
      </c>
      <c r="X81" s="74">
        <v>5.0000000000000001E-3</v>
      </c>
      <c r="Y81" s="72"/>
      <c r="Z81" s="72"/>
      <c r="AA81" s="72"/>
      <c r="AB81" s="72">
        <f t="shared" si="1"/>
        <v>0</v>
      </c>
      <c r="AC81" s="72"/>
      <c r="AD81" s="72"/>
      <c r="AE81" s="72"/>
      <c r="AI81" s="192"/>
      <c r="AJ81" s="192"/>
      <c r="AK81" s="68"/>
      <c r="AL81" s="68"/>
      <c r="AM81" s="68"/>
      <c r="AN81" s="68"/>
      <c r="AO81" s="68"/>
      <c r="AP81" s="68"/>
    </row>
    <row r="82" spans="1:42" ht="14.25" customHeight="1" x14ac:dyDescent="0.25">
      <c r="A82" s="1516"/>
      <c r="B82" s="1089" t="s">
        <v>569</v>
      </c>
      <c r="C82" s="1090"/>
      <c r="D82" s="1090"/>
      <c r="E82" s="1090"/>
      <c r="F82" s="1090"/>
      <c r="G82" s="1091"/>
      <c r="H82" s="316" t="s">
        <v>99</v>
      </c>
      <c r="I82" s="1017"/>
      <c r="J82" s="1046"/>
      <c r="K82" s="1047"/>
      <c r="L82" s="1739"/>
      <c r="M82" s="1740"/>
      <c r="N82" s="1740"/>
      <c r="O82" s="1740"/>
      <c r="P82" s="1829"/>
      <c r="Q82" s="982"/>
      <c r="R82" s="1813"/>
      <c r="S82" s="1008"/>
      <c r="T82" s="1258"/>
      <c r="U82" s="1339"/>
      <c r="V82" s="72">
        <f t="shared" si="0"/>
        <v>0</v>
      </c>
      <c r="W82" s="77">
        <f>IF(H82="ja",X82,0)</f>
        <v>2.5000000000000001E-3</v>
      </c>
      <c r="X82" s="74">
        <v>2.5000000000000001E-3</v>
      </c>
      <c r="Y82" s="72"/>
      <c r="Z82" s="72"/>
      <c r="AA82" s="72"/>
      <c r="AB82" s="72">
        <f t="shared" si="1"/>
        <v>0</v>
      </c>
      <c r="AC82" s="72"/>
      <c r="AD82" s="72"/>
      <c r="AE82" s="72"/>
      <c r="AI82" s="192"/>
      <c r="AJ82" s="192"/>
      <c r="AK82" s="68"/>
      <c r="AL82" s="68"/>
      <c r="AM82" s="68"/>
      <c r="AN82" s="68"/>
      <c r="AO82" s="68"/>
      <c r="AP82" s="68"/>
    </row>
    <row r="83" spans="1:42" ht="14.25" customHeight="1" x14ac:dyDescent="0.25">
      <c r="A83" s="1516"/>
      <c r="B83" s="1089" t="s">
        <v>570</v>
      </c>
      <c r="C83" s="1090"/>
      <c r="D83" s="1090"/>
      <c r="E83" s="1090"/>
      <c r="F83" s="1090"/>
      <c r="G83" s="1091"/>
      <c r="H83" s="1013" t="s">
        <v>99</v>
      </c>
      <c r="I83" s="1017"/>
      <c r="J83" s="1046"/>
      <c r="K83" s="1047"/>
      <c r="L83" s="1739"/>
      <c r="M83" s="1740"/>
      <c r="N83" s="1740"/>
      <c r="O83" s="1740"/>
      <c r="P83" s="1829"/>
      <c r="Q83" s="982"/>
      <c r="R83" s="1813"/>
      <c r="S83" s="1008"/>
      <c r="T83" s="1258"/>
      <c r="U83" s="1339"/>
      <c r="V83" s="72">
        <f t="shared" si="0"/>
        <v>0</v>
      </c>
      <c r="W83" s="77">
        <f>IF(H83="ja",X83,0)</f>
        <v>5.0000000000000001E-3</v>
      </c>
      <c r="X83" s="74">
        <v>5.0000000000000001E-3</v>
      </c>
      <c r="Y83" s="72"/>
      <c r="Z83" s="72"/>
      <c r="AA83" s="72"/>
      <c r="AB83" s="72">
        <f t="shared" si="1"/>
        <v>0</v>
      </c>
      <c r="AC83" s="72"/>
      <c r="AD83" s="72"/>
      <c r="AE83" s="72"/>
      <c r="AI83" s="192"/>
      <c r="AJ83" s="192"/>
      <c r="AK83" s="68"/>
      <c r="AL83" s="68"/>
      <c r="AM83" s="68"/>
      <c r="AN83" s="68"/>
      <c r="AO83" s="68"/>
      <c r="AP83" s="68"/>
    </row>
    <row r="84" spans="1:42" ht="14.25" customHeight="1" x14ac:dyDescent="0.25">
      <c r="A84" s="1516"/>
      <c r="B84" s="1089"/>
      <c r="C84" s="1090"/>
      <c r="D84" s="1090"/>
      <c r="E84" s="1090"/>
      <c r="F84" s="1090"/>
      <c r="G84" s="1091"/>
      <c r="H84" s="1013"/>
      <c r="I84" s="1017"/>
      <c r="J84" s="1046"/>
      <c r="K84" s="1047"/>
      <c r="L84" s="1741"/>
      <c r="M84" s="1742"/>
      <c r="N84" s="1742"/>
      <c r="O84" s="1742"/>
      <c r="P84" s="1839"/>
      <c r="Q84" s="983"/>
      <c r="R84" s="1814"/>
      <c r="S84" s="1270"/>
      <c r="T84" s="1258"/>
      <c r="U84" s="1339"/>
      <c r="V84" s="72">
        <f t="shared" si="0"/>
        <v>0</v>
      </c>
      <c r="W84" s="72"/>
      <c r="X84" s="74"/>
      <c r="Y84" s="72"/>
      <c r="Z84" s="72"/>
      <c r="AA84" s="72"/>
      <c r="AB84" s="72">
        <f t="shared" si="1"/>
        <v>0</v>
      </c>
      <c r="AC84" s="72"/>
      <c r="AD84" s="72"/>
      <c r="AE84" s="72"/>
      <c r="AI84" s="68"/>
      <c r="AJ84" s="68"/>
      <c r="AK84" s="68"/>
      <c r="AL84" s="68"/>
      <c r="AM84" s="68"/>
      <c r="AN84" s="68"/>
      <c r="AO84" s="68"/>
      <c r="AP84" s="68"/>
    </row>
    <row r="85" spans="1:42" ht="14.25" customHeight="1" x14ac:dyDescent="0.25">
      <c r="A85" s="1516"/>
      <c r="B85" s="1308" t="s">
        <v>571</v>
      </c>
      <c r="C85" s="1309"/>
      <c r="D85" s="1309"/>
      <c r="E85" s="1309"/>
      <c r="F85" s="1309"/>
      <c r="G85" s="1310"/>
      <c r="H85" s="981" t="s">
        <v>99</v>
      </c>
      <c r="I85" s="1017"/>
      <c r="J85" s="1046"/>
      <c r="K85" s="1047"/>
      <c r="L85" s="1757" t="s">
        <v>192</v>
      </c>
      <c r="M85" s="1758"/>
      <c r="N85" s="1758"/>
      <c r="O85" s="1758"/>
      <c r="P85" s="1759"/>
      <c r="Q85" s="1013" t="s">
        <v>99</v>
      </c>
      <c r="R85" s="1821"/>
      <c r="S85" s="1725"/>
      <c r="T85" s="1258"/>
      <c r="U85" s="1339"/>
      <c r="V85" s="72">
        <f t="shared" si="0"/>
        <v>1</v>
      </c>
      <c r="W85" s="77">
        <f>IF(H85="ja",X85,0)</f>
        <v>2.5000000000000001E-3</v>
      </c>
      <c r="X85" s="74">
        <v>2.5000000000000001E-3</v>
      </c>
      <c r="Y85" s="72"/>
      <c r="Z85" s="72"/>
      <c r="AA85" s="72"/>
      <c r="AB85" s="72">
        <f t="shared" si="1"/>
        <v>1</v>
      </c>
      <c r="AC85" s="72"/>
      <c r="AD85" s="72"/>
      <c r="AE85" s="72"/>
      <c r="AI85" s="68"/>
      <c r="AJ85" s="68"/>
      <c r="AK85" s="68"/>
      <c r="AL85" s="68"/>
      <c r="AM85" s="68"/>
      <c r="AN85" s="68"/>
      <c r="AO85" s="68"/>
      <c r="AP85" s="68"/>
    </row>
    <row r="86" spans="1:42" ht="14.25" customHeight="1" x14ac:dyDescent="0.25">
      <c r="A86" s="1516"/>
      <c r="B86" s="1308"/>
      <c r="C86" s="1309"/>
      <c r="D86" s="1309"/>
      <c r="E86" s="1309"/>
      <c r="F86" s="1309"/>
      <c r="G86" s="1310"/>
      <c r="H86" s="983"/>
      <c r="I86" s="1017"/>
      <c r="J86" s="1046"/>
      <c r="K86" s="1047"/>
      <c r="L86" s="1757"/>
      <c r="M86" s="1758"/>
      <c r="N86" s="1758"/>
      <c r="O86" s="1758"/>
      <c r="P86" s="1759"/>
      <c r="Q86" s="1013"/>
      <c r="R86" s="1821"/>
      <c r="S86" s="1725"/>
      <c r="T86" s="1258"/>
      <c r="U86" s="1339"/>
      <c r="V86" s="72">
        <f t="shared" si="0"/>
        <v>0</v>
      </c>
      <c r="W86" s="72"/>
      <c r="X86" s="74"/>
      <c r="Y86" s="72"/>
      <c r="Z86" s="72"/>
      <c r="AA86" s="72"/>
      <c r="AB86" s="72">
        <f t="shared" si="1"/>
        <v>0</v>
      </c>
      <c r="AC86" s="72"/>
      <c r="AD86" s="72"/>
      <c r="AE86" s="72"/>
      <c r="AI86" s="68"/>
      <c r="AJ86" s="68"/>
      <c r="AK86" s="68"/>
      <c r="AL86" s="68"/>
      <c r="AM86" s="68"/>
      <c r="AN86" s="68"/>
      <c r="AO86" s="68"/>
      <c r="AP86" s="68"/>
    </row>
    <row r="87" spans="1:42" ht="14.25" customHeight="1" x14ac:dyDescent="0.25">
      <c r="A87" s="1516"/>
      <c r="B87" s="1077" t="s">
        <v>171</v>
      </c>
      <c r="C87" s="1078"/>
      <c r="D87" s="1078"/>
      <c r="E87" s="1078"/>
      <c r="F87" s="1078"/>
      <c r="G87" s="1079"/>
      <c r="H87" s="981" t="s">
        <v>99</v>
      </c>
      <c r="I87" s="1017"/>
      <c r="J87" s="1046"/>
      <c r="K87" s="1047"/>
      <c r="L87" s="1757"/>
      <c r="M87" s="1758"/>
      <c r="N87" s="1758"/>
      <c r="O87" s="1758"/>
      <c r="P87" s="1759"/>
      <c r="Q87" s="1013" t="s">
        <v>100</v>
      </c>
      <c r="R87" s="1821"/>
      <c r="S87" s="1725"/>
      <c r="T87" s="1258"/>
      <c r="U87" s="1339"/>
      <c r="V87" s="72">
        <f t="shared" si="0"/>
        <v>0</v>
      </c>
      <c r="W87" s="77">
        <f>IF(H87="ja",X87,0)</f>
        <v>2.5000000000000001E-3</v>
      </c>
      <c r="X87" s="74">
        <v>2.5000000000000001E-3</v>
      </c>
      <c r="Y87" s="72"/>
      <c r="Z87" s="72"/>
      <c r="AA87" s="72"/>
      <c r="AB87" s="72">
        <f t="shared" si="1"/>
        <v>0</v>
      </c>
      <c r="AC87" s="72"/>
      <c r="AD87" s="72"/>
      <c r="AE87" s="72"/>
      <c r="AI87" s="68"/>
      <c r="AJ87" s="68"/>
      <c r="AK87" s="68"/>
      <c r="AL87" s="68"/>
      <c r="AM87" s="68"/>
      <c r="AN87" s="68"/>
      <c r="AO87" s="68"/>
      <c r="AP87" s="68"/>
    </row>
    <row r="88" spans="1:42" ht="14.25" customHeight="1" thickBot="1" x14ac:dyDescent="0.3">
      <c r="A88" s="1516"/>
      <c r="B88" s="1836"/>
      <c r="C88" s="1837"/>
      <c r="D88" s="1837"/>
      <c r="E88" s="1837"/>
      <c r="F88" s="1837"/>
      <c r="G88" s="1838"/>
      <c r="H88" s="1304"/>
      <c r="I88" s="1018"/>
      <c r="J88" s="1048"/>
      <c r="K88" s="1049"/>
      <c r="L88" s="1765"/>
      <c r="M88" s="1766"/>
      <c r="N88" s="1766"/>
      <c r="O88" s="1766"/>
      <c r="P88" s="1825"/>
      <c r="Q88" s="1102"/>
      <c r="R88" s="1821"/>
      <c r="S88" s="1725"/>
      <c r="T88" s="1259"/>
      <c r="U88" s="1340"/>
      <c r="V88" s="72">
        <f t="shared" si="0"/>
        <v>0</v>
      </c>
      <c r="W88" s="77"/>
      <c r="X88" s="74"/>
      <c r="Y88" s="72"/>
      <c r="Z88" s="72"/>
      <c r="AA88" s="72"/>
      <c r="AB88" s="72">
        <f t="shared" si="1"/>
        <v>0</v>
      </c>
      <c r="AC88" s="72"/>
      <c r="AD88" s="72"/>
      <c r="AE88" s="72"/>
      <c r="AI88" s="68"/>
      <c r="AJ88" s="68"/>
      <c r="AK88" s="68"/>
      <c r="AL88" s="68"/>
      <c r="AM88" s="68"/>
      <c r="AN88" s="68"/>
      <c r="AO88" s="68"/>
      <c r="AP88" s="68"/>
    </row>
    <row r="89" spans="1:42" ht="14.25" customHeight="1" x14ac:dyDescent="0.25">
      <c r="A89" s="1516"/>
      <c r="B89" s="1035" t="s">
        <v>154</v>
      </c>
      <c r="C89" s="1036"/>
      <c r="D89" s="1036"/>
      <c r="E89" s="1036"/>
      <c r="F89" s="1036"/>
      <c r="G89" s="1036"/>
      <c r="H89" s="1161"/>
      <c r="I89" s="1035">
        <f>IF(N19="Kostenberechnung liegt noch nicht vor",I64,N19)</f>
        <v>0</v>
      </c>
      <c r="J89" s="1036"/>
      <c r="K89" s="1037"/>
      <c r="L89" s="1355">
        <f>SUM(R68:S88)</f>
        <v>0</v>
      </c>
      <c r="M89" s="1356"/>
      <c r="N89" s="1356"/>
      <c r="O89" s="1356"/>
      <c r="P89" s="1356"/>
      <c r="Q89" s="1853"/>
      <c r="R89" s="1355"/>
      <c r="S89" s="1798"/>
      <c r="T89" s="1260"/>
      <c r="U89" s="1257"/>
      <c r="V89" s="72">
        <f t="shared" si="0"/>
        <v>0</v>
      </c>
      <c r="W89" s="77">
        <f>SUM(W68:W87)</f>
        <v>0.15000000000000002</v>
      </c>
      <c r="X89" s="75"/>
      <c r="Y89" s="75"/>
      <c r="Z89" s="72"/>
      <c r="AA89" s="72"/>
      <c r="AB89" s="72">
        <f t="shared" si="1"/>
        <v>0</v>
      </c>
      <c r="AC89" s="72"/>
      <c r="AD89" s="72"/>
      <c r="AE89" s="72"/>
      <c r="AF89" s="68"/>
    </row>
    <row r="90" spans="1:42" ht="14.25" customHeight="1" x14ac:dyDescent="0.25">
      <c r="A90" s="1516"/>
      <c r="B90" s="1038"/>
      <c r="C90" s="1039"/>
      <c r="D90" s="1039"/>
      <c r="E90" s="1039"/>
      <c r="F90" s="1039"/>
      <c r="G90" s="1039"/>
      <c r="H90" s="1162"/>
      <c r="I90" s="1038"/>
      <c r="J90" s="1039"/>
      <c r="K90" s="1040"/>
      <c r="L90" s="1357"/>
      <c r="M90" s="1358"/>
      <c r="N90" s="1358"/>
      <c r="O90" s="1358"/>
      <c r="P90" s="1358"/>
      <c r="Q90" s="1854"/>
      <c r="R90" s="1357"/>
      <c r="S90" s="1799"/>
      <c r="T90" s="1261"/>
      <c r="U90" s="1258"/>
      <c r="V90" s="72">
        <f t="shared" si="0"/>
        <v>0</v>
      </c>
      <c r="W90" s="76"/>
      <c r="X90" s="74"/>
      <c r="Y90" s="72"/>
      <c r="Z90" s="72"/>
      <c r="AA90" s="72"/>
      <c r="AB90" s="72">
        <f t="shared" si="1"/>
        <v>0</v>
      </c>
      <c r="AC90" s="72"/>
      <c r="AD90" s="72"/>
      <c r="AE90" s="72"/>
      <c r="AF90" s="68"/>
      <c r="AN90" s="68"/>
    </row>
    <row r="91" spans="1:42" ht="14.25" customHeight="1" thickBot="1" x14ac:dyDescent="0.3">
      <c r="A91" s="1516"/>
      <c r="B91" s="1041"/>
      <c r="C91" s="1042"/>
      <c r="D91" s="1042"/>
      <c r="E91" s="1042"/>
      <c r="F91" s="1042"/>
      <c r="G91" s="1042"/>
      <c r="H91" s="1163"/>
      <c r="I91" s="1041"/>
      <c r="J91" s="1042"/>
      <c r="K91" s="1043"/>
      <c r="L91" s="1359"/>
      <c r="M91" s="1360"/>
      <c r="N91" s="1360"/>
      <c r="O91" s="1360"/>
      <c r="P91" s="1360"/>
      <c r="Q91" s="1855"/>
      <c r="R91" s="1359"/>
      <c r="S91" s="1800"/>
      <c r="T91" s="1262"/>
      <c r="U91" s="1259"/>
      <c r="V91" s="72">
        <f t="shared" si="0"/>
        <v>0</v>
      </c>
      <c r="W91" s="76"/>
      <c r="X91" s="74"/>
      <c r="Y91" s="72"/>
      <c r="Z91" s="72"/>
      <c r="AA91" s="72"/>
      <c r="AB91" s="72">
        <f t="shared" si="1"/>
        <v>0</v>
      </c>
      <c r="AC91" s="72"/>
      <c r="AD91" s="72"/>
      <c r="AE91" s="72"/>
      <c r="AF91" s="68"/>
      <c r="AN91" s="68"/>
    </row>
    <row r="92" spans="1:42" ht="14.25" customHeight="1" thickBot="1" x14ac:dyDescent="0.3">
      <c r="A92" s="1516"/>
      <c r="B92" s="1082" t="s">
        <v>198</v>
      </c>
      <c r="C92" s="1083"/>
      <c r="D92" s="1083"/>
      <c r="E92" s="1083"/>
      <c r="F92" s="1083"/>
      <c r="G92" s="1084"/>
      <c r="H92" s="144"/>
      <c r="I92" s="1361"/>
      <c r="J92" s="1362"/>
      <c r="K92" s="1576"/>
      <c r="L92" s="1361"/>
      <c r="M92" s="1362"/>
      <c r="N92" s="1362"/>
      <c r="O92" s="1362"/>
      <c r="P92" s="1362"/>
      <c r="Q92" s="394"/>
      <c r="R92" s="1361"/>
      <c r="S92" s="1576"/>
      <c r="T92" s="524"/>
      <c r="U92" s="335" t="s">
        <v>157</v>
      </c>
      <c r="V92" s="72">
        <f t="shared" si="0"/>
        <v>0</v>
      </c>
      <c r="W92" s="77"/>
      <c r="X92" s="74"/>
      <c r="Y92" s="150"/>
      <c r="Z92" s="150"/>
      <c r="AA92" s="72"/>
      <c r="AB92" s="72">
        <f t="shared" si="1"/>
        <v>0</v>
      </c>
      <c r="AC92" s="72"/>
      <c r="AD92" s="72"/>
      <c r="AE92" s="72"/>
      <c r="AF92" s="68"/>
      <c r="AN92" s="68"/>
    </row>
    <row r="93" spans="1:42" ht="14.25" customHeight="1" x14ac:dyDescent="0.25">
      <c r="A93" s="1516"/>
      <c r="B93" s="1305" t="s">
        <v>572</v>
      </c>
      <c r="C93" s="1306"/>
      <c r="D93" s="1306"/>
      <c r="E93" s="1306"/>
      <c r="F93" s="1306"/>
      <c r="G93" s="1307"/>
      <c r="H93" s="1137" t="s">
        <v>99</v>
      </c>
      <c r="I93" s="1016">
        <f>W110</f>
        <v>0.30000000000000004</v>
      </c>
      <c r="J93" s="1044">
        <f>I93*$I$89</f>
        <v>0</v>
      </c>
      <c r="K93" s="1045"/>
      <c r="L93" s="1570" t="s">
        <v>557</v>
      </c>
      <c r="M93" s="1571"/>
      <c r="N93" s="1571"/>
      <c r="O93" s="1571"/>
      <c r="P93" s="1807"/>
      <c r="Q93" s="314" t="s">
        <v>99</v>
      </c>
      <c r="R93" s="1808"/>
      <c r="S93" s="1729"/>
      <c r="T93" s="1257" t="str">
        <f>IFERROR(IF((VLOOKUP(U93,Überblick!$M$125:$N$133,2))="ja","ja","nein"),"")</f>
        <v/>
      </c>
      <c r="U93" s="1338"/>
      <c r="V93" s="72">
        <f t="shared" si="0"/>
        <v>1</v>
      </c>
      <c r="W93" s="74">
        <f>IF(H93="ja",X93,0)</f>
        <v>0.21</v>
      </c>
      <c r="X93" s="74">
        <v>0.21</v>
      </c>
      <c r="Y93" s="72"/>
      <c r="Z93" s="77"/>
      <c r="AA93" s="72"/>
      <c r="AB93" s="72">
        <f t="shared" si="1"/>
        <v>1</v>
      </c>
      <c r="AC93" s="72"/>
      <c r="AD93" s="72"/>
      <c r="AE93" s="72"/>
      <c r="AF93" s="68"/>
      <c r="AN93" s="193"/>
    </row>
    <row r="94" spans="1:42" ht="14.25" customHeight="1" x14ac:dyDescent="0.25">
      <c r="A94" s="1516"/>
      <c r="B94" s="1308"/>
      <c r="C94" s="1309"/>
      <c r="D94" s="1309"/>
      <c r="E94" s="1309"/>
      <c r="F94" s="1309"/>
      <c r="G94" s="1310"/>
      <c r="H94" s="1013"/>
      <c r="I94" s="1017"/>
      <c r="J94" s="1046"/>
      <c r="K94" s="1047"/>
      <c r="L94" s="1809" t="s">
        <v>559</v>
      </c>
      <c r="M94" s="1810"/>
      <c r="N94" s="1810"/>
      <c r="O94" s="1810"/>
      <c r="P94" s="1811"/>
      <c r="Q94" s="314" t="s">
        <v>99</v>
      </c>
      <c r="R94" s="1812"/>
      <c r="S94" s="1006"/>
      <c r="T94" s="1258"/>
      <c r="U94" s="1339"/>
      <c r="V94" s="72">
        <f t="shared" si="0"/>
        <v>1</v>
      </c>
      <c r="W94" s="76"/>
      <c r="X94" s="74"/>
      <c r="Y94" s="72"/>
      <c r="Z94" s="72"/>
      <c r="AA94" s="72"/>
      <c r="AB94" s="72">
        <f t="shared" si="1"/>
        <v>1</v>
      </c>
      <c r="AC94" s="72"/>
      <c r="AD94" s="72"/>
      <c r="AE94" s="72"/>
      <c r="AF94" s="68"/>
      <c r="AN94" s="192"/>
    </row>
    <row r="95" spans="1:42" ht="14.25" customHeight="1" x14ac:dyDescent="0.25">
      <c r="A95" s="1516"/>
      <c r="B95" s="1308"/>
      <c r="C95" s="1309"/>
      <c r="D95" s="1309"/>
      <c r="E95" s="1309"/>
      <c r="F95" s="1309"/>
      <c r="G95" s="1310"/>
      <c r="H95" s="1013"/>
      <c r="I95" s="1017"/>
      <c r="J95" s="1046"/>
      <c r="K95" s="1047"/>
      <c r="L95" s="1544" t="s">
        <v>573</v>
      </c>
      <c r="M95" s="1545"/>
      <c r="N95" s="1545"/>
      <c r="O95" s="1545"/>
      <c r="P95" s="1824"/>
      <c r="Q95" s="981" t="s">
        <v>99</v>
      </c>
      <c r="R95" s="1812"/>
      <c r="S95" s="1006"/>
      <c r="T95" s="1258"/>
      <c r="U95" s="1339"/>
      <c r="V95" s="72">
        <f t="shared" si="0"/>
        <v>1</v>
      </c>
      <c r="W95" s="76"/>
      <c r="X95" s="74"/>
      <c r="Y95" s="72"/>
      <c r="Z95" s="72"/>
      <c r="AA95" s="72"/>
      <c r="AB95" s="72">
        <f t="shared" si="1"/>
        <v>1</v>
      </c>
      <c r="AC95" s="72"/>
      <c r="AD95" s="72"/>
      <c r="AE95" s="72"/>
      <c r="AF95" s="68"/>
      <c r="AN95" s="68"/>
    </row>
    <row r="96" spans="1:42" ht="14.25" customHeight="1" x14ac:dyDescent="0.25">
      <c r="A96" s="1516"/>
      <c r="B96" s="1308" t="s">
        <v>572</v>
      </c>
      <c r="C96" s="1309"/>
      <c r="D96" s="1309"/>
      <c r="E96" s="1309"/>
      <c r="F96" s="1309"/>
      <c r="G96" s="1310"/>
      <c r="H96" s="981" t="s">
        <v>99</v>
      </c>
      <c r="I96" s="1017"/>
      <c r="J96" s="1046"/>
      <c r="K96" s="1047"/>
      <c r="L96" s="1544"/>
      <c r="M96" s="1545"/>
      <c r="N96" s="1545"/>
      <c r="O96" s="1545"/>
      <c r="P96" s="1824"/>
      <c r="Q96" s="982"/>
      <c r="R96" s="1813"/>
      <c r="S96" s="1008"/>
      <c r="T96" s="1258"/>
      <c r="U96" s="1339"/>
      <c r="V96" s="72">
        <f t="shared" si="0"/>
        <v>0</v>
      </c>
      <c r="W96" s="74">
        <f>IF(H96="ja",X96,0)</f>
        <v>0.01</v>
      </c>
      <c r="X96" s="74">
        <v>0.01</v>
      </c>
      <c r="Y96" s="72"/>
      <c r="Z96" s="77"/>
      <c r="AA96" s="72"/>
      <c r="AB96" s="72">
        <f t="shared" si="1"/>
        <v>0</v>
      </c>
      <c r="AC96" s="72"/>
      <c r="AD96" s="72"/>
      <c r="AE96" s="72"/>
      <c r="AF96" s="68"/>
      <c r="AN96" s="192"/>
    </row>
    <row r="97" spans="1:40" ht="14.25" customHeight="1" x14ac:dyDescent="0.25">
      <c r="A97" s="1516"/>
      <c r="B97" s="1308"/>
      <c r="C97" s="1309"/>
      <c r="D97" s="1309"/>
      <c r="E97" s="1309"/>
      <c r="F97" s="1309"/>
      <c r="G97" s="1310"/>
      <c r="H97" s="983"/>
      <c r="I97" s="1017"/>
      <c r="J97" s="1046"/>
      <c r="K97" s="1047"/>
      <c r="L97" s="1544"/>
      <c r="M97" s="1545"/>
      <c r="N97" s="1545"/>
      <c r="O97" s="1545"/>
      <c r="P97" s="1824"/>
      <c r="Q97" s="982"/>
      <c r="R97" s="1813"/>
      <c r="S97" s="1008"/>
      <c r="T97" s="1258"/>
      <c r="U97" s="1339"/>
      <c r="V97" s="72">
        <f t="shared" si="0"/>
        <v>0</v>
      </c>
      <c r="W97" s="74"/>
      <c r="X97" s="74"/>
      <c r="Y97" s="72"/>
      <c r="Z97" s="77"/>
      <c r="AA97" s="72"/>
      <c r="AB97" s="72">
        <f t="shared" si="1"/>
        <v>0</v>
      </c>
      <c r="AC97" s="72"/>
      <c r="AD97" s="72"/>
      <c r="AE97" s="72"/>
      <c r="AF97" s="68"/>
      <c r="AN97" s="192"/>
    </row>
    <row r="98" spans="1:40" ht="14.25" customHeight="1" x14ac:dyDescent="0.25">
      <c r="A98" s="1516"/>
      <c r="B98" s="1103" t="s">
        <v>574</v>
      </c>
      <c r="C98" s="1104"/>
      <c r="D98" s="1104"/>
      <c r="E98" s="1104"/>
      <c r="F98" s="1104"/>
      <c r="G98" s="1105"/>
      <c r="H98" s="1013" t="s">
        <v>99</v>
      </c>
      <c r="I98" s="1017"/>
      <c r="J98" s="1046"/>
      <c r="K98" s="1047"/>
      <c r="L98" s="1544"/>
      <c r="M98" s="1545"/>
      <c r="N98" s="1545"/>
      <c r="O98" s="1545"/>
      <c r="P98" s="1824"/>
      <c r="Q98" s="981" t="s">
        <v>100</v>
      </c>
      <c r="R98" s="1812"/>
      <c r="S98" s="1006"/>
      <c r="T98" s="1258"/>
      <c r="U98" s="1339"/>
      <c r="V98" s="72">
        <f t="shared" si="0"/>
        <v>0</v>
      </c>
      <c r="W98" s="74">
        <f>IF(H98="ja",X98,0)</f>
        <v>7.0000000000000007E-2</v>
      </c>
      <c r="X98" s="74">
        <v>7.0000000000000007E-2</v>
      </c>
      <c r="Y98" s="72"/>
      <c r="Z98" s="77"/>
      <c r="AA98" s="72"/>
      <c r="AB98" s="72">
        <f t="shared" si="1"/>
        <v>0</v>
      </c>
      <c r="AC98" s="72"/>
      <c r="AD98" s="72"/>
      <c r="AE98" s="72"/>
      <c r="AF98" s="68"/>
      <c r="AN98" s="192"/>
    </row>
    <row r="99" spans="1:40" ht="14.25" customHeight="1" x14ac:dyDescent="0.25">
      <c r="A99" s="1516"/>
      <c r="B99" s="1103"/>
      <c r="C99" s="1104"/>
      <c r="D99" s="1104"/>
      <c r="E99" s="1104"/>
      <c r="F99" s="1104"/>
      <c r="G99" s="1105"/>
      <c r="H99" s="1013"/>
      <c r="I99" s="1017"/>
      <c r="J99" s="1046"/>
      <c r="K99" s="1047"/>
      <c r="L99" s="1544"/>
      <c r="M99" s="1545"/>
      <c r="N99" s="1545"/>
      <c r="O99" s="1545"/>
      <c r="P99" s="1824"/>
      <c r="Q99" s="982"/>
      <c r="R99" s="1813"/>
      <c r="S99" s="1008"/>
      <c r="T99" s="1258"/>
      <c r="U99" s="1339"/>
      <c r="V99" s="72">
        <f t="shared" si="0"/>
        <v>0</v>
      </c>
      <c r="W99" s="74"/>
      <c r="X99" s="74"/>
      <c r="Y99" s="72"/>
      <c r="Z99" s="77"/>
      <c r="AA99" s="72"/>
      <c r="AB99" s="72">
        <f t="shared" si="1"/>
        <v>0</v>
      </c>
      <c r="AC99" s="72"/>
      <c r="AD99" s="72"/>
      <c r="AE99" s="72"/>
      <c r="AF99" s="68"/>
      <c r="AN99" s="192"/>
    </row>
    <row r="100" spans="1:40" ht="14.25" customHeight="1" x14ac:dyDescent="0.25">
      <c r="A100" s="1516"/>
      <c r="B100" s="1103"/>
      <c r="C100" s="1104"/>
      <c r="D100" s="1104"/>
      <c r="E100" s="1104"/>
      <c r="F100" s="1104"/>
      <c r="G100" s="1105"/>
      <c r="H100" s="1013"/>
      <c r="I100" s="1017"/>
      <c r="J100" s="1046"/>
      <c r="K100" s="1047"/>
      <c r="L100" s="1544"/>
      <c r="M100" s="1545"/>
      <c r="N100" s="1545"/>
      <c r="O100" s="1545"/>
      <c r="P100" s="1824"/>
      <c r="Q100" s="982"/>
      <c r="R100" s="1813"/>
      <c r="S100" s="1008"/>
      <c r="T100" s="1258"/>
      <c r="U100" s="1339"/>
      <c r="V100" s="72">
        <f t="shared" si="0"/>
        <v>0</v>
      </c>
      <c r="W100" s="74"/>
      <c r="X100" s="74"/>
      <c r="Y100" s="72"/>
      <c r="Z100" s="77"/>
      <c r="AA100" s="72"/>
      <c r="AB100" s="72">
        <f t="shared" si="1"/>
        <v>0</v>
      </c>
      <c r="AC100" s="72"/>
      <c r="AD100" s="72"/>
      <c r="AE100" s="72"/>
      <c r="AF100" s="68"/>
      <c r="AN100" s="192"/>
    </row>
    <row r="101" spans="1:40" ht="14.25" customHeight="1" x14ac:dyDescent="0.25">
      <c r="A101" s="1516"/>
      <c r="B101" s="1103"/>
      <c r="C101" s="1104"/>
      <c r="D101" s="1104"/>
      <c r="E101" s="1104"/>
      <c r="F101" s="1104"/>
      <c r="G101" s="1105"/>
      <c r="H101" s="1013"/>
      <c r="I101" s="1017"/>
      <c r="J101" s="1046"/>
      <c r="K101" s="1047"/>
      <c r="L101" s="1544"/>
      <c r="M101" s="1545"/>
      <c r="N101" s="1545"/>
      <c r="O101" s="1545"/>
      <c r="P101" s="1824"/>
      <c r="Q101" s="982"/>
      <c r="R101" s="1813"/>
      <c r="S101" s="1008"/>
      <c r="T101" s="1258"/>
      <c r="U101" s="1339"/>
      <c r="V101" s="72">
        <f t="shared" si="0"/>
        <v>0</v>
      </c>
      <c r="W101" s="74"/>
      <c r="X101" s="74"/>
      <c r="Y101" s="72"/>
      <c r="Z101" s="77"/>
      <c r="AA101" s="72"/>
      <c r="AB101" s="72">
        <f t="shared" si="1"/>
        <v>0</v>
      </c>
      <c r="AC101" s="72"/>
      <c r="AD101" s="72"/>
      <c r="AE101" s="72"/>
      <c r="AF101" s="68"/>
      <c r="AN101" s="192"/>
    </row>
    <row r="102" spans="1:40" ht="14.25" customHeight="1" x14ac:dyDescent="0.25">
      <c r="A102" s="1516"/>
      <c r="B102" s="1103"/>
      <c r="C102" s="1104"/>
      <c r="D102" s="1104"/>
      <c r="E102" s="1104"/>
      <c r="F102" s="1104"/>
      <c r="G102" s="1105"/>
      <c r="H102" s="1013"/>
      <c r="I102" s="1017"/>
      <c r="J102" s="1046"/>
      <c r="K102" s="1047"/>
      <c r="L102" s="1544"/>
      <c r="M102" s="1545"/>
      <c r="N102" s="1545"/>
      <c r="O102" s="1545"/>
      <c r="P102" s="1824"/>
      <c r="Q102" s="982"/>
      <c r="R102" s="1813"/>
      <c r="S102" s="1008"/>
      <c r="T102" s="1258"/>
      <c r="U102" s="1339"/>
      <c r="V102" s="72">
        <f t="shared" si="0"/>
        <v>0</v>
      </c>
      <c r="W102" s="74"/>
      <c r="X102" s="74"/>
      <c r="Y102" s="72"/>
      <c r="Z102" s="77"/>
      <c r="AA102" s="72"/>
      <c r="AB102" s="72">
        <f t="shared" si="1"/>
        <v>0</v>
      </c>
      <c r="AC102" s="72"/>
      <c r="AD102" s="72"/>
      <c r="AE102" s="72"/>
      <c r="AF102" s="68"/>
      <c r="AN102" s="192"/>
    </row>
    <row r="103" spans="1:40" ht="14.25" customHeight="1" x14ac:dyDescent="0.25">
      <c r="A103" s="1516"/>
      <c r="B103" s="1487"/>
      <c r="C103" s="1488"/>
      <c r="D103" s="1488"/>
      <c r="E103" s="1488"/>
      <c r="F103" s="1488"/>
      <c r="G103" s="1489"/>
      <c r="H103" s="1013"/>
      <c r="I103" s="1017"/>
      <c r="J103" s="1046"/>
      <c r="K103" s="1047"/>
      <c r="L103" s="1544"/>
      <c r="M103" s="1545"/>
      <c r="N103" s="1545"/>
      <c r="O103" s="1545"/>
      <c r="P103" s="1824"/>
      <c r="Q103" s="982"/>
      <c r="R103" s="1813"/>
      <c r="S103" s="1008"/>
      <c r="T103" s="1258"/>
      <c r="U103" s="1339"/>
      <c r="V103" s="72">
        <f t="shared" si="0"/>
        <v>0</v>
      </c>
      <c r="W103" s="76"/>
      <c r="X103" s="74"/>
      <c r="Y103" s="72"/>
      <c r="Z103" s="72"/>
      <c r="AA103" s="72"/>
      <c r="AB103" s="72">
        <f t="shared" si="1"/>
        <v>0</v>
      </c>
      <c r="AC103" s="72"/>
      <c r="AD103" s="72"/>
      <c r="AE103" s="72"/>
      <c r="AF103" s="68"/>
      <c r="AN103" s="192"/>
    </row>
    <row r="104" spans="1:40" ht="14.25" customHeight="1" x14ac:dyDescent="0.25">
      <c r="A104" s="1516"/>
      <c r="B104" s="1815" t="s">
        <v>575</v>
      </c>
      <c r="C104" s="1816"/>
      <c r="D104" s="1816"/>
      <c r="E104" s="1816"/>
      <c r="F104" s="1816"/>
      <c r="G104" s="1817"/>
      <c r="H104" s="1013" t="s">
        <v>99</v>
      </c>
      <c r="I104" s="1017"/>
      <c r="J104" s="1046"/>
      <c r="K104" s="1047"/>
      <c r="L104" s="1544"/>
      <c r="M104" s="1545"/>
      <c r="N104" s="1545"/>
      <c r="O104" s="1545"/>
      <c r="P104" s="1824"/>
      <c r="Q104" s="983"/>
      <c r="R104" s="1814"/>
      <c r="S104" s="1270"/>
      <c r="T104" s="1258"/>
      <c r="U104" s="1339"/>
      <c r="V104" s="72">
        <f t="shared" ref="V104:V138" si="2">IF(AND(Q104="ja",R104=""),1,0)</f>
        <v>0</v>
      </c>
      <c r="W104" s="74">
        <f>IF(H104="ja",X104,0)</f>
        <v>2.5000000000000001E-3</v>
      </c>
      <c r="X104" s="74">
        <v>2.5000000000000001E-3</v>
      </c>
      <c r="Y104" s="72"/>
      <c r="Z104" s="72"/>
      <c r="AA104" s="72"/>
      <c r="AB104" s="72">
        <f t="shared" ref="AB104:AB137" si="3">IF(Q104="ja",1,0)</f>
        <v>0</v>
      </c>
      <c r="AC104" s="72"/>
      <c r="AD104" s="72"/>
      <c r="AE104" s="72"/>
      <c r="AF104" s="68"/>
      <c r="AN104" s="192"/>
    </row>
    <row r="105" spans="1:40" ht="14.25" customHeight="1" x14ac:dyDescent="0.25">
      <c r="A105" s="1516"/>
      <c r="B105" s="1815"/>
      <c r="C105" s="1816"/>
      <c r="D105" s="1816"/>
      <c r="E105" s="1816"/>
      <c r="F105" s="1816"/>
      <c r="G105" s="1817"/>
      <c r="H105" s="1013"/>
      <c r="I105" s="1017"/>
      <c r="J105" s="1046"/>
      <c r="K105" s="1047"/>
      <c r="L105" s="1544"/>
      <c r="M105" s="1545"/>
      <c r="N105" s="1545"/>
      <c r="O105" s="1545"/>
      <c r="P105" s="1824"/>
      <c r="Q105" s="981" t="s">
        <v>100</v>
      </c>
      <c r="R105" s="1812"/>
      <c r="S105" s="1006"/>
      <c r="T105" s="1258"/>
      <c r="U105" s="1339"/>
      <c r="V105" s="72">
        <f t="shared" si="2"/>
        <v>0</v>
      </c>
      <c r="W105" s="76"/>
      <c r="X105" s="74"/>
      <c r="Y105" s="72"/>
      <c r="Z105" s="72"/>
      <c r="AA105" s="72"/>
      <c r="AB105" s="72">
        <f t="shared" si="3"/>
        <v>0</v>
      </c>
      <c r="AC105" s="72"/>
      <c r="AD105" s="72"/>
      <c r="AE105" s="72"/>
      <c r="AF105" s="68"/>
      <c r="AN105" s="192"/>
    </row>
    <row r="106" spans="1:40" ht="14.25" customHeight="1" x14ac:dyDescent="0.25">
      <c r="A106" s="1516"/>
      <c r="B106" s="1815" t="s">
        <v>576</v>
      </c>
      <c r="C106" s="1816"/>
      <c r="D106" s="1816"/>
      <c r="E106" s="1816"/>
      <c r="F106" s="1816"/>
      <c r="G106" s="1817"/>
      <c r="H106" s="1013" t="s">
        <v>99</v>
      </c>
      <c r="I106" s="1017"/>
      <c r="J106" s="1046"/>
      <c r="K106" s="1047"/>
      <c r="L106" s="1544"/>
      <c r="M106" s="1545"/>
      <c r="N106" s="1545"/>
      <c r="O106" s="1545"/>
      <c r="P106" s="1824"/>
      <c r="Q106" s="982"/>
      <c r="R106" s="1813"/>
      <c r="S106" s="1008"/>
      <c r="T106" s="1258"/>
      <c r="U106" s="1339"/>
      <c r="V106" s="72">
        <f t="shared" si="2"/>
        <v>0</v>
      </c>
      <c r="W106" s="74">
        <f>IF(H106="ja",X106,0)</f>
        <v>2.5000000000000001E-3</v>
      </c>
      <c r="X106" s="74">
        <v>2.5000000000000001E-3</v>
      </c>
      <c r="Y106" s="72"/>
      <c r="Z106" s="72"/>
      <c r="AA106" s="72"/>
      <c r="AB106" s="72">
        <f t="shared" si="3"/>
        <v>0</v>
      </c>
      <c r="AC106" s="72"/>
      <c r="AD106" s="72"/>
      <c r="AE106" s="72"/>
      <c r="AF106" s="68"/>
      <c r="AN106" s="192"/>
    </row>
    <row r="107" spans="1:40" ht="14.25" customHeight="1" x14ac:dyDescent="0.25">
      <c r="A107" s="1516"/>
      <c r="B107" s="1815"/>
      <c r="C107" s="1816"/>
      <c r="D107" s="1816"/>
      <c r="E107" s="1816"/>
      <c r="F107" s="1816"/>
      <c r="G107" s="1817"/>
      <c r="H107" s="1013"/>
      <c r="I107" s="1017"/>
      <c r="J107" s="1046"/>
      <c r="K107" s="1047"/>
      <c r="L107" s="1544"/>
      <c r="M107" s="1545"/>
      <c r="N107" s="1545"/>
      <c r="O107" s="1545"/>
      <c r="P107" s="1824"/>
      <c r="Q107" s="982"/>
      <c r="R107" s="1813"/>
      <c r="S107" s="1008"/>
      <c r="T107" s="1258"/>
      <c r="U107" s="1339"/>
      <c r="V107" s="72">
        <f t="shared" si="2"/>
        <v>0</v>
      </c>
      <c r="W107" s="76"/>
      <c r="X107" s="74"/>
      <c r="Y107" s="72"/>
      <c r="Z107" s="72"/>
      <c r="AA107" s="72"/>
      <c r="AB107" s="72">
        <f t="shared" si="3"/>
        <v>0</v>
      </c>
      <c r="AC107" s="72"/>
      <c r="AD107" s="72"/>
      <c r="AE107" s="72"/>
      <c r="AF107" s="68"/>
      <c r="AN107" s="192"/>
    </row>
    <row r="108" spans="1:40" ht="14.25" customHeight="1" x14ac:dyDescent="0.25">
      <c r="A108" s="1516"/>
      <c r="B108" s="1815" t="s">
        <v>577</v>
      </c>
      <c r="C108" s="1816"/>
      <c r="D108" s="1816"/>
      <c r="E108" s="1816"/>
      <c r="F108" s="1816"/>
      <c r="G108" s="1817"/>
      <c r="H108" s="1013" t="s">
        <v>99</v>
      </c>
      <c r="I108" s="1017"/>
      <c r="J108" s="1046"/>
      <c r="K108" s="1047"/>
      <c r="L108" s="1858" t="s">
        <v>578</v>
      </c>
      <c r="M108" s="1859"/>
      <c r="N108" s="1859"/>
      <c r="O108" s="1859"/>
      <c r="P108" s="1860"/>
      <c r="Q108" s="981" t="s">
        <v>99</v>
      </c>
      <c r="R108" s="1821"/>
      <c r="S108" s="1725"/>
      <c r="T108" s="1258"/>
      <c r="U108" s="1339"/>
      <c r="V108" s="72">
        <f t="shared" si="2"/>
        <v>1</v>
      </c>
      <c r="W108" s="74">
        <f>IF(H108="ja",X108,0)</f>
        <v>5.0000000000000001E-3</v>
      </c>
      <c r="X108" s="74">
        <v>5.0000000000000001E-3</v>
      </c>
      <c r="Y108" s="72"/>
      <c r="Z108" s="72"/>
      <c r="AA108" s="72"/>
      <c r="AB108" s="72">
        <f t="shared" si="3"/>
        <v>1</v>
      </c>
      <c r="AC108" s="72"/>
      <c r="AD108" s="72"/>
      <c r="AE108" s="72"/>
      <c r="AF108" s="68"/>
      <c r="AN108" s="192"/>
    </row>
    <row r="109" spans="1:40" ht="14.25" customHeight="1" thickBot="1" x14ac:dyDescent="0.3">
      <c r="A109" s="1516"/>
      <c r="B109" s="1818"/>
      <c r="C109" s="1819"/>
      <c r="D109" s="1819"/>
      <c r="E109" s="1819"/>
      <c r="F109" s="1819"/>
      <c r="G109" s="1820"/>
      <c r="H109" s="1102"/>
      <c r="I109" s="1018"/>
      <c r="J109" s="1048"/>
      <c r="K109" s="1049"/>
      <c r="L109" s="1861"/>
      <c r="M109" s="1862"/>
      <c r="N109" s="1862"/>
      <c r="O109" s="1862"/>
      <c r="P109" s="1863"/>
      <c r="Q109" s="983"/>
      <c r="R109" s="1821"/>
      <c r="S109" s="1725"/>
      <c r="T109" s="1258"/>
      <c r="U109" s="1340"/>
      <c r="V109" s="72">
        <f t="shared" si="2"/>
        <v>0</v>
      </c>
      <c r="W109" s="76"/>
      <c r="X109" s="74"/>
      <c r="Y109" s="72"/>
      <c r="Z109" s="72"/>
      <c r="AA109" s="72"/>
      <c r="AB109" s="72">
        <f t="shared" si="3"/>
        <v>0</v>
      </c>
      <c r="AC109" s="72"/>
      <c r="AD109" s="72"/>
      <c r="AE109" s="72"/>
      <c r="AF109" s="68"/>
      <c r="AN109" s="192"/>
    </row>
    <row r="110" spans="1:40" ht="14.25" customHeight="1" thickBot="1" x14ac:dyDescent="0.3">
      <c r="A110" s="1730"/>
      <c r="B110" s="1082" t="s">
        <v>204</v>
      </c>
      <c r="C110" s="1083"/>
      <c r="D110" s="1083"/>
      <c r="E110" s="1083"/>
      <c r="F110" s="1083"/>
      <c r="G110" s="1084"/>
      <c r="H110" s="144"/>
      <c r="I110" s="1238"/>
      <c r="J110" s="1239"/>
      <c r="K110" s="1240"/>
      <c r="L110" s="1331">
        <f>SUM(R93:S109)</f>
        <v>0</v>
      </c>
      <c r="M110" s="1332"/>
      <c r="N110" s="1332"/>
      <c r="O110" s="1332"/>
      <c r="P110" s="1332"/>
      <c r="Q110" s="395"/>
      <c r="R110" s="1331"/>
      <c r="S110" s="1856"/>
      <c r="T110" s="334"/>
      <c r="U110" s="335" t="s">
        <v>157</v>
      </c>
      <c r="V110" s="72">
        <f t="shared" si="2"/>
        <v>0</v>
      </c>
      <c r="W110" s="74">
        <f>SUM(W93:W108)</f>
        <v>0.30000000000000004</v>
      </c>
      <c r="X110" s="75"/>
      <c r="Y110" s="75"/>
      <c r="Z110" s="150"/>
      <c r="AA110" s="72"/>
      <c r="AB110" s="72">
        <f t="shared" si="3"/>
        <v>0</v>
      </c>
      <c r="AC110" s="72"/>
      <c r="AD110" s="72"/>
      <c r="AE110" s="72"/>
      <c r="AF110" s="68"/>
      <c r="AN110" s="68"/>
    </row>
    <row r="111" spans="1:40" ht="14.25" customHeight="1" x14ac:dyDescent="0.25">
      <c r="A111" s="1778" t="s">
        <v>206</v>
      </c>
      <c r="B111" s="1313" t="s">
        <v>530</v>
      </c>
      <c r="C111" s="1314"/>
      <c r="D111" s="1314"/>
      <c r="E111" s="1314"/>
      <c r="F111" s="1314"/>
      <c r="G111" s="1315"/>
      <c r="H111" s="1194" t="s">
        <v>100</v>
      </c>
      <c r="I111" s="1662">
        <f>W111</f>
        <v>0</v>
      </c>
      <c r="J111" s="1780">
        <f>I111*$I$89</f>
        <v>0</v>
      </c>
      <c r="K111" s="1781"/>
      <c r="L111" s="1570" t="s">
        <v>557</v>
      </c>
      <c r="M111" s="1571"/>
      <c r="N111" s="1571"/>
      <c r="O111" s="1571"/>
      <c r="P111" s="1807"/>
      <c r="Q111" s="314" t="s">
        <v>100</v>
      </c>
      <c r="R111" s="1808"/>
      <c r="S111" s="1729"/>
      <c r="T111" s="1376" t="str">
        <f>IFERROR(IF((VLOOKUP(U111,Überblick!$M$125:$N$133,2))="ja","ja","nein"),"")</f>
        <v/>
      </c>
      <c r="U111" s="1338"/>
      <c r="V111" s="72">
        <f t="shared" si="2"/>
        <v>0</v>
      </c>
      <c r="W111" s="74">
        <f>IF(H111="ja",X111,0)</f>
        <v>0</v>
      </c>
      <c r="X111" s="74">
        <v>7.0000000000000007E-2</v>
      </c>
      <c r="Y111" s="77"/>
      <c r="Z111" s="77"/>
      <c r="AA111" s="72"/>
      <c r="AB111" s="72">
        <f t="shared" si="3"/>
        <v>0</v>
      </c>
      <c r="AC111" s="72"/>
      <c r="AD111" s="72"/>
      <c r="AE111" s="72"/>
      <c r="AI111" s="68"/>
      <c r="AN111" s="193"/>
    </row>
    <row r="112" spans="1:40" ht="14.25" customHeight="1" x14ac:dyDescent="0.25">
      <c r="A112" s="1779"/>
      <c r="B112" s="1072"/>
      <c r="C112" s="913"/>
      <c r="D112" s="913"/>
      <c r="E112" s="913"/>
      <c r="F112" s="913"/>
      <c r="G112" s="1073"/>
      <c r="H112" s="982"/>
      <c r="I112" s="1663"/>
      <c r="J112" s="1782"/>
      <c r="K112" s="1783"/>
      <c r="L112" s="1809" t="s">
        <v>559</v>
      </c>
      <c r="M112" s="1810"/>
      <c r="N112" s="1810"/>
      <c r="O112" s="1810"/>
      <c r="P112" s="1811"/>
      <c r="Q112" s="314" t="s">
        <v>100</v>
      </c>
      <c r="R112" s="1812"/>
      <c r="S112" s="1006"/>
      <c r="T112" s="1377"/>
      <c r="U112" s="1339"/>
      <c r="V112" s="72">
        <f t="shared" si="2"/>
        <v>0</v>
      </c>
      <c r="W112" s="76"/>
      <c r="X112" s="74"/>
      <c r="Y112" s="72"/>
      <c r="Z112" s="72"/>
      <c r="AA112" s="72"/>
      <c r="AB112" s="72">
        <f t="shared" si="3"/>
        <v>0</v>
      </c>
      <c r="AC112" s="72"/>
      <c r="AD112" s="72"/>
      <c r="AE112" s="72"/>
      <c r="AI112" s="68"/>
    </row>
    <row r="113" spans="1:35" ht="14.25" customHeight="1" x14ac:dyDescent="0.25">
      <c r="A113" s="1779"/>
      <c r="B113" s="1072"/>
      <c r="C113" s="913"/>
      <c r="D113" s="913"/>
      <c r="E113" s="913"/>
      <c r="F113" s="913"/>
      <c r="G113" s="1073"/>
      <c r="H113" s="983"/>
      <c r="I113" s="1663"/>
      <c r="J113" s="1782"/>
      <c r="K113" s="1783"/>
      <c r="L113" s="1809" t="s">
        <v>579</v>
      </c>
      <c r="M113" s="1810"/>
      <c r="N113" s="1810"/>
      <c r="O113" s="1810"/>
      <c r="P113" s="1811"/>
      <c r="Q113" s="314" t="s">
        <v>100</v>
      </c>
      <c r="R113" s="1812"/>
      <c r="S113" s="1006"/>
      <c r="T113" s="1012"/>
      <c r="U113" s="1375"/>
      <c r="V113" s="72">
        <f t="shared" si="2"/>
        <v>0</v>
      </c>
      <c r="W113" s="76"/>
      <c r="X113" s="74"/>
      <c r="Y113" s="72"/>
      <c r="Z113" s="72"/>
      <c r="AA113" s="72"/>
      <c r="AB113" s="72">
        <f t="shared" si="3"/>
        <v>0</v>
      </c>
      <c r="AC113" s="72"/>
      <c r="AD113" s="72"/>
      <c r="AE113" s="72"/>
      <c r="AI113" s="68"/>
    </row>
    <row r="114" spans="1:35" ht="14.25" customHeight="1" x14ac:dyDescent="0.25">
      <c r="A114" s="1779" t="s">
        <v>208</v>
      </c>
      <c r="B114" s="1077" t="s">
        <v>580</v>
      </c>
      <c r="C114" s="1078"/>
      <c r="D114" s="1078"/>
      <c r="E114" s="1078"/>
      <c r="F114" s="1078"/>
      <c r="G114" s="1079"/>
      <c r="H114" s="1080" t="s">
        <v>100</v>
      </c>
      <c r="I114" s="1663">
        <f>W114</f>
        <v>0</v>
      </c>
      <c r="J114" s="1782">
        <f>I89*I114</f>
        <v>0</v>
      </c>
      <c r="K114" s="1783"/>
      <c r="L114" s="1757"/>
      <c r="M114" s="1758"/>
      <c r="N114" s="1758"/>
      <c r="O114" s="1758"/>
      <c r="P114" s="1759"/>
      <c r="Q114" s="1013" t="s">
        <v>100</v>
      </c>
      <c r="R114" s="1821"/>
      <c r="S114" s="1725"/>
      <c r="T114" s="1301" t="str">
        <f>IFERROR(IF((VLOOKUP(U114,Überblick!$M$125:$N$133,2))="ja","ja","nein"),"")</f>
        <v/>
      </c>
      <c r="U114" s="1372"/>
      <c r="V114" s="72">
        <f t="shared" si="2"/>
        <v>0</v>
      </c>
      <c r="W114" s="74">
        <f>IF(H114="ja",X114,0)</f>
        <v>0</v>
      </c>
      <c r="X114" s="74">
        <v>0.12</v>
      </c>
      <c r="Y114" s="77"/>
      <c r="Z114" s="77"/>
      <c r="AA114" s="72"/>
      <c r="AB114" s="72">
        <f t="shared" si="3"/>
        <v>0</v>
      </c>
      <c r="AC114" s="72"/>
      <c r="AD114" s="72"/>
      <c r="AE114" s="72"/>
      <c r="AI114" s="68"/>
    </row>
    <row r="115" spans="1:35" ht="14.25" customHeight="1" x14ac:dyDescent="0.25">
      <c r="A115" s="1779"/>
      <c r="B115" s="1072"/>
      <c r="C115" s="913"/>
      <c r="D115" s="913"/>
      <c r="E115" s="913"/>
      <c r="F115" s="913"/>
      <c r="G115" s="1073"/>
      <c r="H115" s="1080"/>
      <c r="I115" s="1663"/>
      <c r="J115" s="1782"/>
      <c r="K115" s="1783"/>
      <c r="L115" s="1757"/>
      <c r="M115" s="1758"/>
      <c r="N115" s="1758"/>
      <c r="O115" s="1758"/>
      <c r="P115" s="1759"/>
      <c r="Q115" s="1013"/>
      <c r="R115" s="1821"/>
      <c r="S115" s="1725"/>
      <c r="T115" s="1301"/>
      <c r="U115" s="1372"/>
      <c r="V115" s="72">
        <f t="shared" si="2"/>
        <v>0</v>
      </c>
      <c r="W115" s="76"/>
      <c r="X115" s="74"/>
      <c r="Y115" s="77"/>
      <c r="Z115" s="72"/>
      <c r="AA115" s="72"/>
      <c r="AB115" s="72">
        <f t="shared" si="3"/>
        <v>0</v>
      </c>
      <c r="AC115" s="72"/>
      <c r="AD115" s="72"/>
      <c r="AE115" s="72"/>
      <c r="AI115" s="68"/>
    </row>
    <row r="116" spans="1:35" ht="14.25" customHeight="1" x14ac:dyDescent="0.25">
      <c r="A116" s="1779" t="s">
        <v>210</v>
      </c>
      <c r="B116" s="1092" t="s">
        <v>581</v>
      </c>
      <c r="C116" s="1093"/>
      <c r="D116" s="1093"/>
      <c r="E116" s="1093"/>
      <c r="F116" s="1093"/>
      <c r="G116" s="1094"/>
      <c r="H116" s="981" t="s">
        <v>100</v>
      </c>
      <c r="I116" s="1663">
        <f>W116</f>
        <v>0</v>
      </c>
      <c r="J116" s="1782">
        <f>I116*I89</f>
        <v>0</v>
      </c>
      <c r="K116" s="1783"/>
      <c r="L116" s="1757"/>
      <c r="M116" s="1758"/>
      <c r="N116" s="1758"/>
      <c r="O116" s="1758"/>
      <c r="P116" s="1759"/>
      <c r="Q116" s="1013" t="s">
        <v>100</v>
      </c>
      <c r="R116" s="1821"/>
      <c r="S116" s="1725"/>
      <c r="T116" s="1301" t="str">
        <f>IFERROR(IF((VLOOKUP(U116,Überblick!$M$125:$N$133,2))="ja","ja","nein"),"")</f>
        <v/>
      </c>
      <c r="U116" s="1372"/>
      <c r="V116" s="72">
        <f t="shared" si="2"/>
        <v>0</v>
      </c>
      <c r="W116" s="74">
        <f>IF(H116="ja",X116,0)</f>
        <v>0</v>
      </c>
      <c r="X116" s="74">
        <v>0.18</v>
      </c>
      <c r="Y116" s="77"/>
      <c r="Z116" s="77"/>
      <c r="AA116" s="72"/>
      <c r="AB116" s="72">
        <f t="shared" si="3"/>
        <v>0</v>
      </c>
      <c r="AC116" s="72"/>
      <c r="AD116" s="72"/>
      <c r="AE116" s="72"/>
      <c r="AI116" s="68"/>
    </row>
    <row r="117" spans="1:35" ht="14.25" customHeight="1" x14ac:dyDescent="0.25">
      <c r="A117" s="1779"/>
      <c r="B117" s="1109"/>
      <c r="C117" s="1110"/>
      <c r="D117" s="1110"/>
      <c r="E117" s="1110"/>
      <c r="F117" s="1110"/>
      <c r="G117" s="1111"/>
      <c r="H117" s="982"/>
      <c r="I117" s="1663"/>
      <c r="J117" s="1782"/>
      <c r="K117" s="1783"/>
      <c r="L117" s="1757"/>
      <c r="M117" s="1758"/>
      <c r="N117" s="1758"/>
      <c r="O117" s="1758"/>
      <c r="P117" s="1759"/>
      <c r="Q117" s="1013"/>
      <c r="R117" s="1821"/>
      <c r="S117" s="1725"/>
      <c r="T117" s="1301"/>
      <c r="U117" s="1372"/>
      <c r="V117" s="72">
        <f t="shared" si="2"/>
        <v>0</v>
      </c>
      <c r="W117" s="74"/>
      <c r="X117" s="74"/>
      <c r="Y117" s="77"/>
      <c r="Z117" s="77"/>
      <c r="AA117" s="72"/>
      <c r="AB117" s="72">
        <f t="shared" si="3"/>
        <v>0</v>
      </c>
      <c r="AC117" s="72"/>
      <c r="AD117" s="72"/>
      <c r="AE117" s="72"/>
      <c r="AI117" s="68"/>
    </row>
    <row r="118" spans="1:35" ht="14.25" customHeight="1" x14ac:dyDescent="0.25">
      <c r="A118" s="1779"/>
      <c r="B118" s="1109"/>
      <c r="C118" s="1110"/>
      <c r="D118" s="1110"/>
      <c r="E118" s="1110"/>
      <c r="F118" s="1110"/>
      <c r="G118" s="1111"/>
      <c r="H118" s="982"/>
      <c r="I118" s="1663"/>
      <c r="J118" s="1782"/>
      <c r="K118" s="1783"/>
      <c r="L118" s="1757"/>
      <c r="M118" s="1758"/>
      <c r="N118" s="1758"/>
      <c r="O118" s="1758"/>
      <c r="P118" s="1759"/>
      <c r="Q118" s="1013" t="s">
        <v>100</v>
      </c>
      <c r="R118" s="1821"/>
      <c r="S118" s="1725"/>
      <c r="T118" s="1301"/>
      <c r="U118" s="1372"/>
      <c r="V118" s="72">
        <f t="shared" si="2"/>
        <v>0</v>
      </c>
      <c r="W118" s="74"/>
      <c r="X118" s="74"/>
      <c r="Y118" s="77"/>
      <c r="Z118" s="77"/>
      <c r="AA118" s="72"/>
      <c r="AB118" s="72">
        <f t="shared" si="3"/>
        <v>0</v>
      </c>
      <c r="AC118" s="72"/>
      <c r="AD118" s="72"/>
      <c r="AE118" s="72"/>
      <c r="AI118" s="68"/>
    </row>
    <row r="119" spans="1:35" ht="14.25" customHeight="1" x14ac:dyDescent="0.25">
      <c r="A119" s="1779"/>
      <c r="B119" s="1109"/>
      <c r="C119" s="1110"/>
      <c r="D119" s="1110"/>
      <c r="E119" s="1110"/>
      <c r="F119" s="1110"/>
      <c r="G119" s="1111"/>
      <c r="H119" s="983"/>
      <c r="I119" s="1663"/>
      <c r="J119" s="1782"/>
      <c r="K119" s="1783"/>
      <c r="L119" s="1757"/>
      <c r="M119" s="1758"/>
      <c r="N119" s="1758"/>
      <c r="O119" s="1758"/>
      <c r="P119" s="1759"/>
      <c r="Q119" s="1013"/>
      <c r="R119" s="1821"/>
      <c r="S119" s="1725"/>
      <c r="T119" s="1301"/>
      <c r="U119" s="1372"/>
      <c r="V119" s="72">
        <f t="shared" si="2"/>
        <v>0</v>
      </c>
      <c r="W119" s="76"/>
      <c r="X119" s="74"/>
      <c r="Y119" s="77"/>
      <c r="Z119" s="72"/>
      <c r="AA119" s="72"/>
      <c r="AB119" s="72">
        <f t="shared" si="3"/>
        <v>0</v>
      </c>
      <c r="AC119" s="72"/>
      <c r="AD119" s="72"/>
      <c r="AE119" s="72"/>
      <c r="AI119" s="68"/>
    </row>
    <row r="120" spans="1:35" ht="14.25" customHeight="1" x14ac:dyDescent="0.25">
      <c r="A120" s="1822" t="s">
        <v>212</v>
      </c>
      <c r="B120" s="1077" t="s">
        <v>581</v>
      </c>
      <c r="C120" s="1078"/>
      <c r="D120" s="1078"/>
      <c r="E120" s="1078"/>
      <c r="F120" s="1078"/>
      <c r="G120" s="1079"/>
      <c r="H120" s="982" t="s">
        <v>100</v>
      </c>
      <c r="I120" s="1524">
        <f>W120</f>
        <v>0</v>
      </c>
      <c r="J120" s="1834">
        <f>I120*I89</f>
        <v>0</v>
      </c>
      <c r="K120" s="1835"/>
      <c r="L120" s="1757"/>
      <c r="M120" s="1758"/>
      <c r="N120" s="1758"/>
      <c r="O120" s="1758"/>
      <c r="P120" s="1759"/>
      <c r="Q120" s="1013" t="s">
        <v>100</v>
      </c>
      <c r="R120" s="1821"/>
      <c r="S120" s="1725"/>
      <c r="T120" s="1011" t="str">
        <f>IFERROR(IF((VLOOKUP(U120,Überblick!$M$125:$N$133,2))="ja","ja","nein"),"")</f>
        <v/>
      </c>
      <c r="U120" s="1373"/>
      <c r="V120" s="72">
        <f t="shared" si="2"/>
        <v>0</v>
      </c>
      <c r="W120" s="74">
        <f>IF(H120="ja",X120,0)</f>
        <v>0</v>
      </c>
      <c r="X120" s="74">
        <v>2.5000000000000001E-2</v>
      </c>
      <c r="Y120" s="77"/>
      <c r="Z120" s="72"/>
      <c r="AA120" s="72"/>
      <c r="AB120" s="72">
        <f t="shared" si="3"/>
        <v>0</v>
      </c>
      <c r="AC120" s="72"/>
      <c r="AD120" s="72"/>
      <c r="AE120" s="72"/>
      <c r="AI120" s="68"/>
    </row>
    <row r="121" spans="1:35" ht="14.25" customHeight="1" x14ac:dyDescent="0.25">
      <c r="A121" s="1823"/>
      <c r="B121" s="1072"/>
      <c r="C121" s="913"/>
      <c r="D121" s="913"/>
      <c r="E121" s="913"/>
      <c r="F121" s="913"/>
      <c r="G121" s="1073"/>
      <c r="H121" s="982"/>
      <c r="I121" s="1017"/>
      <c r="J121" s="1046"/>
      <c r="K121" s="1047"/>
      <c r="L121" s="1757"/>
      <c r="M121" s="1758"/>
      <c r="N121" s="1758"/>
      <c r="O121" s="1758"/>
      <c r="P121" s="1759"/>
      <c r="Q121" s="1013"/>
      <c r="R121" s="1821"/>
      <c r="S121" s="1725"/>
      <c r="T121" s="1377"/>
      <c r="U121" s="1339"/>
      <c r="V121" s="72">
        <f t="shared" si="2"/>
        <v>0</v>
      </c>
      <c r="W121" s="76"/>
      <c r="X121" s="74"/>
      <c r="Y121" s="77"/>
      <c r="Z121" s="72"/>
      <c r="AA121" s="72"/>
      <c r="AB121" s="72">
        <f t="shared" si="3"/>
        <v>0</v>
      </c>
      <c r="AC121" s="72"/>
      <c r="AD121" s="72"/>
      <c r="AE121" s="72"/>
      <c r="AI121" s="68"/>
    </row>
    <row r="122" spans="1:35" ht="14.25" customHeight="1" x14ac:dyDescent="0.25">
      <c r="A122" s="1823"/>
      <c r="B122" s="1072"/>
      <c r="C122" s="913"/>
      <c r="D122" s="913"/>
      <c r="E122" s="913"/>
      <c r="F122" s="913"/>
      <c r="G122" s="1073"/>
      <c r="H122" s="982"/>
      <c r="I122" s="1017"/>
      <c r="J122" s="1046"/>
      <c r="K122" s="1047"/>
      <c r="L122" s="1757"/>
      <c r="M122" s="1758"/>
      <c r="N122" s="1758"/>
      <c r="O122" s="1758"/>
      <c r="P122" s="1759"/>
      <c r="Q122" s="1013" t="s">
        <v>100</v>
      </c>
      <c r="R122" s="1821"/>
      <c r="S122" s="1725"/>
      <c r="T122" s="1377"/>
      <c r="U122" s="1339"/>
      <c r="V122" s="72">
        <f t="shared" si="2"/>
        <v>0</v>
      </c>
      <c r="W122" s="76"/>
      <c r="X122" s="74"/>
      <c r="Y122" s="77"/>
      <c r="Z122" s="72"/>
      <c r="AA122" s="72"/>
      <c r="AB122" s="72">
        <f t="shared" si="3"/>
        <v>0</v>
      </c>
      <c r="AC122" s="72"/>
      <c r="AD122" s="72"/>
      <c r="AE122" s="72"/>
      <c r="AI122" s="68"/>
    </row>
    <row r="123" spans="1:35" ht="14.25" customHeight="1" x14ac:dyDescent="0.25">
      <c r="A123" s="1823"/>
      <c r="B123" s="1072"/>
      <c r="C123" s="913"/>
      <c r="D123" s="913"/>
      <c r="E123" s="913"/>
      <c r="F123" s="913"/>
      <c r="G123" s="1073"/>
      <c r="H123" s="982"/>
      <c r="I123" s="1017"/>
      <c r="J123" s="1046"/>
      <c r="K123" s="1047"/>
      <c r="L123" s="1757"/>
      <c r="M123" s="1758"/>
      <c r="N123" s="1758"/>
      <c r="O123" s="1758"/>
      <c r="P123" s="1759"/>
      <c r="Q123" s="1013"/>
      <c r="R123" s="1821"/>
      <c r="S123" s="1725"/>
      <c r="T123" s="1377"/>
      <c r="U123" s="1339"/>
      <c r="V123" s="72">
        <f t="shared" si="2"/>
        <v>0</v>
      </c>
      <c r="W123" s="76"/>
      <c r="X123" s="74"/>
      <c r="Y123" s="77"/>
      <c r="Z123" s="72"/>
      <c r="AA123" s="72"/>
      <c r="AB123" s="72">
        <f t="shared" si="3"/>
        <v>0</v>
      </c>
      <c r="AC123" s="72"/>
      <c r="AD123" s="72"/>
      <c r="AE123" s="72"/>
      <c r="AI123" s="68"/>
    </row>
    <row r="124" spans="1:35" ht="14.25" customHeight="1" x14ac:dyDescent="0.25">
      <c r="A124" s="1779" t="s">
        <v>213</v>
      </c>
      <c r="B124" s="1077" t="s">
        <v>582</v>
      </c>
      <c r="C124" s="1078"/>
      <c r="D124" s="1078"/>
      <c r="E124" s="1078"/>
      <c r="F124" s="1078"/>
      <c r="G124" s="1079"/>
      <c r="H124" s="1014" t="s">
        <v>100</v>
      </c>
      <c r="I124" s="1663">
        <f>W124</f>
        <v>0</v>
      </c>
      <c r="J124" s="1782">
        <f>I124*I89</f>
        <v>0</v>
      </c>
      <c r="K124" s="1783"/>
      <c r="L124" s="1757"/>
      <c r="M124" s="1758"/>
      <c r="N124" s="1758"/>
      <c r="O124" s="1758"/>
      <c r="P124" s="1759"/>
      <c r="Q124" s="1013" t="s">
        <v>100</v>
      </c>
      <c r="R124" s="1821"/>
      <c r="S124" s="1725"/>
      <c r="T124" s="1301" t="str">
        <f>IFERROR(IF((VLOOKUP(U124,Überblick!$M$125:$N$133,2))="ja","ja","nein"),"")</f>
        <v/>
      </c>
      <c r="U124" s="1372"/>
      <c r="V124" s="72">
        <f t="shared" si="2"/>
        <v>0</v>
      </c>
      <c r="W124" s="74">
        <f>IF(H124="ja",X124,0)</f>
        <v>0</v>
      </c>
      <c r="X124" s="74">
        <v>5.0000000000000001E-3</v>
      </c>
      <c r="Y124" s="77"/>
      <c r="Z124" s="77"/>
      <c r="AA124" s="72"/>
      <c r="AB124" s="72">
        <f t="shared" si="3"/>
        <v>0</v>
      </c>
      <c r="AC124" s="72"/>
      <c r="AD124" s="72"/>
      <c r="AE124" s="72"/>
      <c r="AI124" s="68"/>
    </row>
    <row r="125" spans="1:35" ht="14.25" customHeight="1" thickBot="1" x14ac:dyDescent="0.3">
      <c r="A125" s="1779"/>
      <c r="B125" s="1072"/>
      <c r="C125" s="913"/>
      <c r="D125" s="913"/>
      <c r="E125" s="913"/>
      <c r="F125" s="913"/>
      <c r="G125" s="1073"/>
      <c r="H125" s="1080"/>
      <c r="I125" s="1664"/>
      <c r="J125" s="1826"/>
      <c r="K125" s="1827"/>
      <c r="L125" s="1757"/>
      <c r="M125" s="1758"/>
      <c r="N125" s="1758"/>
      <c r="O125" s="1758"/>
      <c r="P125" s="1759"/>
      <c r="Q125" s="1013"/>
      <c r="R125" s="1821"/>
      <c r="S125" s="1725"/>
      <c r="T125" s="1301"/>
      <c r="U125" s="1372"/>
      <c r="V125" s="72">
        <f t="shared" si="2"/>
        <v>0</v>
      </c>
      <c r="W125" s="76"/>
      <c r="X125" s="74"/>
      <c r="Y125" s="72"/>
      <c r="Z125" s="72"/>
      <c r="AA125" s="72"/>
      <c r="AB125" s="72">
        <f t="shared" si="3"/>
        <v>0</v>
      </c>
      <c r="AC125" s="72"/>
      <c r="AD125" s="72"/>
      <c r="AE125" s="72"/>
      <c r="AI125" s="68"/>
    </row>
    <row r="126" spans="1:35" ht="14.25" customHeight="1" thickBot="1" x14ac:dyDescent="0.3">
      <c r="A126" s="1772" t="s">
        <v>86</v>
      </c>
      <c r="B126" s="1082" t="s">
        <v>218</v>
      </c>
      <c r="C126" s="1083"/>
      <c r="D126" s="1083"/>
      <c r="E126" s="1083"/>
      <c r="F126" s="1083"/>
      <c r="G126" s="1084"/>
      <c r="H126" s="144"/>
      <c r="I126" s="1361"/>
      <c r="J126" s="1362"/>
      <c r="K126" s="1576"/>
      <c r="L126" s="1180">
        <f>SUM(R111:S125)</f>
        <v>0</v>
      </c>
      <c r="M126" s="1181"/>
      <c r="N126" s="1181"/>
      <c r="O126" s="1181"/>
      <c r="P126" s="1181"/>
      <c r="Q126" s="393"/>
      <c r="R126" s="1180"/>
      <c r="S126" s="1272"/>
      <c r="T126" s="334"/>
      <c r="U126" s="335" t="s">
        <v>157</v>
      </c>
      <c r="V126" s="72">
        <f t="shared" si="2"/>
        <v>0</v>
      </c>
      <c r="W126" s="77">
        <f>SUM(W111:W125)</f>
        <v>0</v>
      </c>
      <c r="X126" s="75"/>
      <c r="Y126" s="150"/>
      <c r="Z126" s="150"/>
      <c r="AA126" s="72"/>
      <c r="AB126" s="72">
        <f t="shared" si="3"/>
        <v>0</v>
      </c>
      <c r="AC126" s="72"/>
      <c r="AD126" s="72"/>
      <c r="AE126" s="72"/>
      <c r="AF126" s="68"/>
    </row>
    <row r="127" spans="1:35" ht="14.25" customHeight="1" x14ac:dyDescent="0.25">
      <c r="A127" s="1516"/>
      <c r="B127" s="1305" t="s">
        <v>583</v>
      </c>
      <c r="C127" s="1306"/>
      <c r="D127" s="1306"/>
      <c r="E127" s="1306"/>
      <c r="F127" s="1306"/>
      <c r="G127" s="1307"/>
      <c r="H127" s="1194" t="s">
        <v>100</v>
      </c>
      <c r="I127" s="1016">
        <f>W139</f>
        <v>0</v>
      </c>
      <c r="J127" s="1044">
        <f>I127*$I$89</f>
        <v>0</v>
      </c>
      <c r="K127" s="1045"/>
      <c r="L127" s="1570" t="s">
        <v>557</v>
      </c>
      <c r="M127" s="1571"/>
      <c r="N127" s="1571"/>
      <c r="O127" s="1571"/>
      <c r="P127" s="1807"/>
      <c r="Q127" s="314" t="s">
        <v>100</v>
      </c>
      <c r="R127" s="1808"/>
      <c r="S127" s="1729"/>
      <c r="T127" s="1257" t="str">
        <f>IFERROR(IF((VLOOKUP(U127,Überblick!$M$125:$N$133,2))="ja","ja","nein"),"")</f>
        <v/>
      </c>
      <c r="U127" s="1338"/>
      <c r="V127" s="72">
        <f t="shared" si="2"/>
        <v>0</v>
      </c>
      <c r="W127" s="74">
        <f>IF(H127="ja",X127,0)</f>
        <v>0</v>
      </c>
      <c r="X127" s="74">
        <v>0.01</v>
      </c>
      <c r="Y127" s="72"/>
      <c r="Z127" s="72"/>
      <c r="AA127" s="72"/>
      <c r="AB127" s="72">
        <f t="shared" si="3"/>
        <v>0</v>
      </c>
      <c r="AC127" s="72"/>
      <c r="AD127" s="72"/>
      <c r="AE127" s="72"/>
    </row>
    <row r="128" spans="1:35" ht="14.25" customHeight="1" x14ac:dyDescent="0.25">
      <c r="A128" s="1516"/>
      <c r="B128" s="1308"/>
      <c r="C128" s="1309"/>
      <c r="D128" s="1309"/>
      <c r="E128" s="1309"/>
      <c r="F128" s="1309"/>
      <c r="G128" s="1310"/>
      <c r="H128" s="982"/>
      <c r="I128" s="1017"/>
      <c r="J128" s="1046"/>
      <c r="K128" s="1047"/>
      <c r="L128" s="1809" t="s">
        <v>559</v>
      </c>
      <c r="M128" s="1810"/>
      <c r="N128" s="1810"/>
      <c r="O128" s="1810"/>
      <c r="P128" s="1811"/>
      <c r="Q128" s="314" t="s">
        <v>100</v>
      </c>
      <c r="R128" s="1812"/>
      <c r="S128" s="1006"/>
      <c r="T128" s="1258"/>
      <c r="U128" s="1339"/>
      <c r="V128" s="72">
        <f t="shared" si="2"/>
        <v>0</v>
      </c>
      <c r="W128" s="74"/>
      <c r="X128" s="74"/>
      <c r="Y128" s="72"/>
      <c r="Z128" s="72"/>
      <c r="AA128" s="72"/>
      <c r="AB128" s="72">
        <f t="shared" si="3"/>
        <v>0</v>
      </c>
      <c r="AC128" s="72"/>
      <c r="AD128" s="72"/>
      <c r="AE128" s="72"/>
    </row>
    <row r="129" spans="1:32" ht="14.25" customHeight="1" x14ac:dyDescent="0.25">
      <c r="A129" s="1516"/>
      <c r="B129" s="1308"/>
      <c r="C129" s="1309"/>
      <c r="D129" s="1309"/>
      <c r="E129" s="1309"/>
      <c r="F129" s="1309"/>
      <c r="G129" s="1310"/>
      <c r="H129" s="982"/>
      <c r="I129" s="1017"/>
      <c r="J129" s="1046"/>
      <c r="K129" s="1047"/>
      <c r="L129" s="1737" t="s">
        <v>584</v>
      </c>
      <c r="M129" s="1738"/>
      <c r="N129" s="1738"/>
      <c r="O129" s="1738"/>
      <c r="P129" s="1828"/>
      <c r="Q129" s="981" t="s">
        <v>100</v>
      </c>
      <c r="R129" s="1812"/>
      <c r="S129" s="1006"/>
      <c r="T129" s="1258"/>
      <c r="U129" s="1339"/>
      <c r="V129" s="72">
        <f t="shared" si="2"/>
        <v>0</v>
      </c>
      <c r="W129" s="74"/>
      <c r="X129" s="74"/>
      <c r="Y129" s="72"/>
      <c r="Z129" s="72"/>
      <c r="AA129" s="72"/>
      <c r="AB129" s="72">
        <f t="shared" si="3"/>
        <v>0</v>
      </c>
      <c r="AC129" s="72"/>
      <c r="AD129" s="72"/>
      <c r="AE129" s="72"/>
    </row>
    <row r="130" spans="1:32" ht="14.25" customHeight="1" x14ac:dyDescent="0.25">
      <c r="A130" s="1516"/>
      <c r="B130" s="1308"/>
      <c r="C130" s="1309"/>
      <c r="D130" s="1309"/>
      <c r="E130" s="1309"/>
      <c r="F130" s="1309"/>
      <c r="G130" s="1310"/>
      <c r="H130" s="982"/>
      <c r="I130" s="1017"/>
      <c r="J130" s="1046"/>
      <c r="K130" s="1047"/>
      <c r="L130" s="1739"/>
      <c r="M130" s="1740"/>
      <c r="N130" s="1740"/>
      <c r="O130" s="1740"/>
      <c r="P130" s="1829"/>
      <c r="Q130" s="982"/>
      <c r="R130" s="1813"/>
      <c r="S130" s="1008"/>
      <c r="T130" s="1258"/>
      <c r="U130" s="1339"/>
      <c r="V130" s="72">
        <f t="shared" si="2"/>
        <v>0</v>
      </c>
      <c r="W130" s="74"/>
      <c r="X130" s="74"/>
      <c r="Y130" s="72"/>
      <c r="Z130" s="72"/>
      <c r="AA130" s="72"/>
      <c r="AB130" s="72">
        <f t="shared" si="3"/>
        <v>0</v>
      </c>
      <c r="AC130" s="72"/>
      <c r="AD130" s="72"/>
      <c r="AE130" s="72"/>
    </row>
    <row r="131" spans="1:32" ht="14.25" customHeight="1" x14ac:dyDescent="0.25">
      <c r="A131" s="1516"/>
      <c r="B131" s="1308" t="s">
        <v>585</v>
      </c>
      <c r="C131" s="1309"/>
      <c r="D131" s="1309"/>
      <c r="E131" s="1309"/>
      <c r="F131" s="1309"/>
      <c r="G131" s="1310"/>
      <c r="H131" s="986" t="s">
        <v>100</v>
      </c>
      <c r="I131" s="1017"/>
      <c r="J131" s="1046"/>
      <c r="K131" s="1047"/>
      <c r="L131" s="1739"/>
      <c r="M131" s="1740"/>
      <c r="N131" s="1740"/>
      <c r="O131" s="1740"/>
      <c r="P131" s="1829"/>
      <c r="Q131" s="982"/>
      <c r="R131" s="1813"/>
      <c r="S131" s="1008"/>
      <c r="T131" s="1258"/>
      <c r="U131" s="1339"/>
      <c r="V131" s="72">
        <f t="shared" si="2"/>
        <v>0</v>
      </c>
      <c r="W131" s="74">
        <f>IF(H131="ja",X131,0)</f>
        <v>0</v>
      </c>
      <c r="X131" s="74">
        <v>5.0000000000000001E-3</v>
      </c>
      <c r="Y131" s="72"/>
      <c r="Z131" s="72"/>
      <c r="AA131" s="72"/>
      <c r="AB131" s="72">
        <f t="shared" si="3"/>
        <v>0</v>
      </c>
      <c r="AC131" s="72"/>
      <c r="AD131" s="72"/>
      <c r="AE131" s="72"/>
    </row>
    <row r="132" spans="1:32" ht="14.25" customHeight="1" x14ac:dyDescent="0.25">
      <c r="A132" s="1516"/>
      <c r="B132" s="1308"/>
      <c r="C132" s="1309"/>
      <c r="D132" s="1309"/>
      <c r="E132" s="1309"/>
      <c r="F132" s="1309"/>
      <c r="G132" s="1310"/>
      <c r="H132" s="986"/>
      <c r="I132" s="1017"/>
      <c r="J132" s="1046"/>
      <c r="K132" s="1047"/>
      <c r="L132" s="1739"/>
      <c r="M132" s="1740"/>
      <c r="N132" s="1740"/>
      <c r="O132" s="1740"/>
      <c r="P132" s="1829"/>
      <c r="Q132" s="982"/>
      <c r="R132" s="1813"/>
      <c r="S132" s="1008"/>
      <c r="T132" s="1258"/>
      <c r="U132" s="1339"/>
      <c r="V132" s="72"/>
      <c r="W132" s="74"/>
      <c r="X132" s="74"/>
      <c r="Y132" s="72"/>
      <c r="Z132" s="72"/>
      <c r="AA132" s="72"/>
      <c r="AB132" s="72">
        <f t="shared" si="3"/>
        <v>0</v>
      </c>
      <c r="AC132" s="72"/>
      <c r="AD132" s="72"/>
      <c r="AE132" s="72"/>
    </row>
    <row r="133" spans="1:32" ht="14.25" customHeight="1" x14ac:dyDescent="0.25">
      <c r="A133" s="1516"/>
      <c r="B133" s="1308"/>
      <c r="C133" s="1309"/>
      <c r="D133" s="1309"/>
      <c r="E133" s="1309"/>
      <c r="F133" s="1309"/>
      <c r="G133" s="1310"/>
      <c r="H133" s="986"/>
      <c r="I133" s="1017"/>
      <c r="J133" s="1046"/>
      <c r="K133" s="1047"/>
      <c r="L133" s="1739"/>
      <c r="M133" s="1740"/>
      <c r="N133" s="1740"/>
      <c r="O133" s="1740"/>
      <c r="P133" s="1829"/>
      <c r="Q133" s="982"/>
      <c r="R133" s="1813"/>
      <c r="S133" s="1008"/>
      <c r="T133" s="1258"/>
      <c r="U133" s="1339"/>
      <c r="V133" s="72">
        <f t="shared" si="2"/>
        <v>0</v>
      </c>
      <c r="W133" s="74"/>
      <c r="X133" s="74"/>
      <c r="Y133" s="72"/>
      <c r="Z133" s="72"/>
      <c r="AA133" s="72"/>
      <c r="AB133" s="72">
        <f t="shared" si="3"/>
        <v>0</v>
      </c>
      <c r="AC133" s="72"/>
      <c r="AD133" s="72"/>
      <c r="AE133" s="72"/>
    </row>
    <row r="134" spans="1:32" ht="14.25" customHeight="1" x14ac:dyDescent="0.25">
      <c r="A134" s="1516"/>
      <c r="B134" s="1308"/>
      <c r="C134" s="1309"/>
      <c r="D134" s="1309"/>
      <c r="E134" s="1309"/>
      <c r="F134" s="1309"/>
      <c r="G134" s="1310"/>
      <c r="H134" s="986"/>
      <c r="I134" s="1017"/>
      <c r="J134" s="1046"/>
      <c r="K134" s="1047"/>
      <c r="L134" s="1739"/>
      <c r="M134" s="1740"/>
      <c r="N134" s="1740"/>
      <c r="O134" s="1740"/>
      <c r="P134" s="1829"/>
      <c r="Q134" s="982"/>
      <c r="R134" s="1813"/>
      <c r="S134" s="1008"/>
      <c r="T134" s="1258"/>
      <c r="U134" s="1339"/>
      <c r="V134" s="72">
        <f t="shared" si="2"/>
        <v>0</v>
      </c>
      <c r="W134" s="76"/>
      <c r="X134" s="74"/>
      <c r="Y134" s="72"/>
      <c r="Z134" s="72"/>
      <c r="AA134" s="72"/>
      <c r="AB134" s="72">
        <f t="shared" si="3"/>
        <v>0</v>
      </c>
      <c r="AC134" s="72"/>
      <c r="AD134" s="72"/>
      <c r="AE134" s="72"/>
    </row>
    <row r="135" spans="1:32" ht="14.25" customHeight="1" x14ac:dyDescent="0.25">
      <c r="A135" s="1516"/>
      <c r="B135" s="1072" t="s">
        <v>586</v>
      </c>
      <c r="C135" s="913"/>
      <c r="D135" s="913"/>
      <c r="E135" s="913"/>
      <c r="F135" s="913"/>
      <c r="G135" s="1073"/>
      <c r="H135" s="986" t="s">
        <v>100</v>
      </c>
      <c r="I135" s="1017"/>
      <c r="J135" s="1046"/>
      <c r="K135" s="1047"/>
      <c r="L135" s="1739"/>
      <c r="M135" s="1740"/>
      <c r="N135" s="1740"/>
      <c r="O135" s="1740"/>
      <c r="P135" s="1829"/>
      <c r="Q135" s="982"/>
      <c r="R135" s="1813"/>
      <c r="S135" s="1008"/>
      <c r="T135" s="1258"/>
      <c r="U135" s="1339"/>
      <c r="V135" s="72">
        <f t="shared" si="2"/>
        <v>0</v>
      </c>
      <c r="W135" s="74">
        <f>IF(H135="ja",X135,0)</f>
        <v>0</v>
      </c>
      <c r="X135" s="74">
        <v>5.0000000000000001E-3</v>
      </c>
      <c r="Y135" s="72"/>
      <c r="Z135" s="72"/>
      <c r="AA135" s="72"/>
      <c r="AB135" s="72">
        <f t="shared" si="3"/>
        <v>0</v>
      </c>
      <c r="AC135" s="72"/>
      <c r="AD135" s="72"/>
      <c r="AE135" s="72"/>
    </row>
    <row r="136" spans="1:32" ht="14.25" customHeight="1" x14ac:dyDescent="0.25">
      <c r="A136" s="1516"/>
      <c r="B136" s="1072"/>
      <c r="C136" s="913"/>
      <c r="D136" s="913"/>
      <c r="E136" s="913"/>
      <c r="F136" s="913"/>
      <c r="G136" s="1073"/>
      <c r="H136" s="986"/>
      <c r="I136" s="1017"/>
      <c r="J136" s="1046"/>
      <c r="K136" s="1047"/>
      <c r="L136" s="1739"/>
      <c r="M136" s="1740"/>
      <c r="N136" s="1740"/>
      <c r="O136" s="1740"/>
      <c r="P136" s="1829"/>
      <c r="Q136" s="982"/>
      <c r="R136" s="1813"/>
      <c r="S136" s="1008"/>
      <c r="T136" s="1258"/>
      <c r="U136" s="1339"/>
      <c r="V136" s="72"/>
      <c r="W136" s="74"/>
      <c r="X136" s="74"/>
      <c r="Y136" s="72"/>
      <c r="Z136" s="72"/>
      <c r="AA136" s="72"/>
      <c r="AB136" s="72">
        <f t="shared" si="3"/>
        <v>0</v>
      </c>
      <c r="AC136" s="72"/>
      <c r="AD136" s="72"/>
      <c r="AE136" s="72"/>
    </row>
    <row r="137" spans="1:32" ht="14.25" customHeight="1" x14ac:dyDescent="0.25">
      <c r="A137" s="1516"/>
      <c r="B137" s="1072"/>
      <c r="C137" s="913"/>
      <c r="D137" s="913"/>
      <c r="E137" s="913"/>
      <c r="F137" s="913"/>
      <c r="G137" s="1073"/>
      <c r="H137" s="986"/>
      <c r="I137" s="1017"/>
      <c r="J137" s="1046"/>
      <c r="K137" s="1047"/>
      <c r="L137" s="1739"/>
      <c r="M137" s="1740"/>
      <c r="N137" s="1740"/>
      <c r="O137" s="1740"/>
      <c r="P137" s="1829"/>
      <c r="Q137" s="982"/>
      <c r="R137" s="1813"/>
      <c r="S137" s="1008"/>
      <c r="T137" s="1258"/>
      <c r="U137" s="1339"/>
      <c r="V137" s="72">
        <f t="shared" si="2"/>
        <v>0</v>
      </c>
      <c r="W137" s="74"/>
      <c r="X137" s="74"/>
      <c r="Y137" s="72"/>
      <c r="Z137" s="72"/>
      <c r="AA137" s="72"/>
      <c r="AB137" s="72">
        <f t="shared" si="3"/>
        <v>0</v>
      </c>
      <c r="AC137" s="72"/>
      <c r="AD137" s="72"/>
      <c r="AE137" s="72"/>
    </row>
    <row r="138" spans="1:32" ht="14.25" customHeight="1" thickBot="1" x14ac:dyDescent="0.3">
      <c r="A138" s="1516"/>
      <c r="B138" s="1074"/>
      <c r="C138" s="1075"/>
      <c r="D138" s="1075"/>
      <c r="E138" s="1075"/>
      <c r="F138" s="1075"/>
      <c r="G138" s="1076"/>
      <c r="H138" s="986"/>
      <c r="I138" s="1018"/>
      <c r="J138" s="1048"/>
      <c r="K138" s="1049"/>
      <c r="L138" s="1770"/>
      <c r="M138" s="1771"/>
      <c r="N138" s="1771"/>
      <c r="O138" s="1771"/>
      <c r="P138" s="1830"/>
      <c r="Q138" s="1304"/>
      <c r="R138" s="1831"/>
      <c r="S138" s="1010"/>
      <c r="T138" s="1258"/>
      <c r="U138" s="1339"/>
      <c r="V138" s="72">
        <f t="shared" si="2"/>
        <v>0</v>
      </c>
      <c r="W138" s="76"/>
      <c r="X138" s="74"/>
      <c r="Y138" s="72"/>
      <c r="Z138" s="72"/>
      <c r="AA138" s="72"/>
      <c r="AC138" s="72"/>
      <c r="AD138" s="72"/>
      <c r="AE138" s="72"/>
    </row>
    <row r="139" spans="1:32" ht="14.25" customHeight="1" thickBot="1" x14ac:dyDescent="0.3">
      <c r="A139" s="1516"/>
      <c r="B139" s="1502" t="s">
        <v>277</v>
      </c>
      <c r="C139" s="1503"/>
      <c r="D139" s="1503"/>
      <c r="E139" s="1503"/>
      <c r="F139" s="1503"/>
      <c r="G139" s="1503"/>
      <c r="H139" s="1503"/>
      <c r="I139" s="1500">
        <f>I39+I46+I68+I93+I111++I114+I116+I120+I124+I127</f>
        <v>0.58000000000000007</v>
      </c>
      <c r="J139" s="1506">
        <f>J127+J124+J120+J116+J114+J111+J93+J68+J46+J39</f>
        <v>0</v>
      </c>
      <c r="K139" s="1161"/>
      <c r="L139" s="1323">
        <f>SUM(R127:S138)</f>
        <v>0</v>
      </c>
      <c r="M139" s="1323"/>
      <c r="N139" s="1323"/>
      <c r="O139" s="1323"/>
      <c r="P139" s="1355"/>
      <c r="Q139" s="1832"/>
      <c r="R139" s="1036">
        <f>SUM(R127:S138)+SUM(R111:S125)+SUM(R93:S109)+SUM(R68:S88)+SUM(R46:S63)+SUM(R39:S44)</f>
        <v>0</v>
      </c>
      <c r="S139" s="1037"/>
      <c r="T139" s="1371"/>
      <c r="U139" s="1773"/>
      <c r="V139" s="72"/>
      <c r="W139" s="74">
        <f>SUM(W127:W138)</f>
        <v>0</v>
      </c>
      <c r="X139" s="78"/>
      <c r="Y139" s="78"/>
      <c r="Z139" s="78"/>
      <c r="AA139" s="72"/>
      <c r="AC139" s="72"/>
      <c r="AD139" s="72"/>
      <c r="AE139" s="72"/>
      <c r="AF139" s="68"/>
    </row>
    <row r="140" spans="1:32" ht="15" customHeight="1" thickBot="1" x14ac:dyDescent="0.3">
      <c r="A140" s="1516"/>
      <c r="B140" s="1504"/>
      <c r="C140" s="1505"/>
      <c r="D140" s="1505"/>
      <c r="E140" s="1505"/>
      <c r="F140" s="1505"/>
      <c r="G140" s="1505"/>
      <c r="H140" s="1505"/>
      <c r="I140" s="1501"/>
      <c r="J140" s="1507"/>
      <c r="K140" s="1163"/>
      <c r="L140" s="1325"/>
      <c r="M140" s="1325"/>
      <c r="N140" s="1325"/>
      <c r="O140" s="1325"/>
      <c r="P140" s="1359"/>
      <c r="Q140" s="1833"/>
      <c r="R140" s="1042"/>
      <c r="S140" s="1043"/>
      <c r="T140" s="1371"/>
      <c r="U140" s="1774"/>
      <c r="V140" s="206">
        <f>SUM(V35:V138)+R23</f>
        <v>13</v>
      </c>
      <c r="W140" s="207"/>
      <c r="X140" s="207"/>
      <c r="Y140" s="72"/>
      <c r="Z140" s="72"/>
      <c r="AA140" s="72"/>
      <c r="AB140" s="72">
        <f>SUM(AB34:AB137)</f>
        <v>13</v>
      </c>
      <c r="AC140" s="72"/>
      <c r="AD140" s="72"/>
      <c r="AE140" s="72"/>
      <c r="AF140" s="68"/>
    </row>
    <row r="141" spans="1:32" ht="15" customHeight="1" x14ac:dyDescent="0.25">
      <c r="B141" s="136"/>
      <c r="C141" s="136"/>
      <c r="D141" s="136"/>
      <c r="E141" s="136"/>
      <c r="F141" s="136"/>
      <c r="G141" s="136"/>
      <c r="H141" s="136"/>
      <c r="I141" s="137"/>
      <c r="J141" s="138"/>
      <c r="K141" s="138"/>
      <c r="L141" s="139"/>
      <c r="M141" s="137"/>
      <c r="N141" s="137"/>
      <c r="O141" s="137"/>
      <c r="P141" s="138"/>
      <c r="Q141" s="138"/>
      <c r="R141" s="140"/>
      <c r="S141" s="79"/>
      <c r="T141" s="80"/>
      <c r="U141" s="195"/>
      <c r="V141" s="72"/>
      <c r="W141" s="72"/>
      <c r="X141" s="72"/>
      <c r="Y141" s="72"/>
      <c r="Z141" s="72"/>
      <c r="AA141" s="72"/>
      <c r="AC141" s="72"/>
      <c r="AD141" s="72"/>
      <c r="AE141" s="72"/>
      <c r="AF141" s="68"/>
    </row>
    <row r="142" spans="1:32" ht="15" customHeight="1" x14ac:dyDescent="0.25">
      <c r="B142" s="1317" t="s">
        <v>278</v>
      </c>
      <c r="C142" s="1318"/>
      <c r="D142" s="1318"/>
      <c r="E142" s="1318"/>
      <c r="F142" s="1318"/>
      <c r="G142" s="1318"/>
      <c r="H142" s="1318"/>
      <c r="I142" s="1318"/>
      <c r="J142" s="1318"/>
      <c r="K142" s="1318"/>
      <c r="L142" s="1318"/>
      <c r="M142" s="1318"/>
      <c r="N142" s="1318"/>
      <c r="O142" s="1318"/>
      <c r="P142" s="1318"/>
      <c r="Q142" s="1318"/>
      <c r="R142" s="1318"/>
      <c r="S142" s="79"/>
      <c r="T142" s="80"/>
      <c r="U142" s="195"/>
      <c r="V142" s="72"/>
      <c r="W142" s="72"/>
      <c r="X142" s="72"/>
      <c r="Y142" s="72"/>
      <c r="Z142" s="72"/>
      <c r="AA142" s="72"/>
      <c r="AC142" s="72"/>
      <c r="AD142" s="72"/>
      <c r="AE142" s="72"/>
      <c r="AF142" s="68"/>
    </row>
    <row r="143" spans="1:32" ht="15" customHeight="1" x14ac:dyDescent="0.25">
      <c r="B143" s="1318"/>
      <c r="C143" s="1318"/>
      <c r="D143" s="1318"/>
      <c r="E143" s="1318"/>
      <c r="F143" s="1318"/>
      <c r="G143" s="1318"/>
      <c r="H143" s="1318"/>
      <c r="I143" s="1318"/>
      <c r="J143" s="1318"/>
      <c r="K143" s="1318"/>
      <c r="L143" s="1318"/>
      <c r="M143" s="1318"/>
      <c r="N143" s="1318"/>
      <c r="O143" s="1318"/>
      <c r="P143" s="1318"/>
      <c r="Q143" s="1318"/>
      <c r="R143" s="1318"/>
      <c r="S143" s="79"/>
      <c r="T143" s="80"/>
      <c r="U143" s="80"/>
      <c r="V143" s="72"/>
      <c r="W143" s="72"/>
      <c r="X143" s="72"/>
      <c r="Y143" s="72"/>
      <c r="Z143" s="72"/>
      <c r="AA143" s="72"/>
      <c r="AC143" s="72"/>
      <c r="AD143" s="72"/>
      <c r="AE143" s="72"/>
    </row>
    <row r="144" spans="1:32" ht="15" customHeight="1" x14ac:dyDescent="0.25">
      <c r="B144" s="327"/>
      <c r="C144" s="327"/>
      <c r="D144" s="327"/>
      <c r="E144" s="327"/>
      <c r="F144" s="327"/>
      <c r="G144" s="327"/>
      <c r="H144" s="327"/>
      <c r="I144" s="327"/>
      <c r="J144" s="327"/>
      <c r="K144" s="327"/>
      <c r="L144" s="327"/>
      <c r="M144" s="327"/>
      <c r="N144" s="327"/>
      <c r="O144" s="327"/>
      <c r="P144" s="327"/>
      <c r="Q144" s="327"/>
      <c r="R144" s="327"/>
      <c r="S144" s="79"/>
      <c r="T144" s="80"/>
      <c r="U144" s="80"/>
      <c r="V144" s="72"/>
      <c r="W144" s="72"/>
      <c r="X144" s="72"/>
      <c r="Y144" s="72"/>
      <c r="Z144" s="72"/>
      <c r="AA144" s="72"/>
      <c r="AC144" s="72"/>
      <c r="AD144" s="72"/>
      <c r="AE144" s="72"/>
    </row>
    <row r="145" spans="1:31" x14ac:dyDescent="0.25">
      <c r="V145" s="72"/>
      <c r="W145" s="72"/>
      <c r="X145" s="72"/>
      <c r="Y145" s="72"/>
      <c r="Z145" s="72"/>
      <c r="AA145" s="72"/>
      <c r="AC145" s="72"/>
      <c r="AD145" s="72"/>
      <c r="AE145" s="72"/>
    </row>
    <row r="146" spans="1:31" x14ac:dyDescent="0.25">
      <c r="A146" s="491" t="s">
        <v>279</v>
      </c>
      <c r="B146" s="40" t="str">
        <f>IF(B1=V2,"Honorarvereinbarung für die zunächst beauftragten und für die optionalen Leistungen ","Honorarangebot für die zunächst beauftragten und für die optionalen Leistungen")</f>
        <v>Honorarangebot für die zunächst beauftragten und für die optionalen Leistungen</v>
      </c>
      <c r="Q146" s="40"/>
      <c r="V146" s="72"/>
      <c r="W146" s="72"/>
      <c r="X146" s="72"/>
      <c r="Y146" s="72"/>
      <c r="Z146" s="72"/>
      <c r="AA146" s="151"/>
      <c r="AC146" s="72"/>
      <c r="AD146" s="72"/>
      <c r="AE146" s="72"/>
    </row>
    <row r="147" spans="1:31" ht="14.55" thickBot="1" x14ac:dyDescent="0.3">
      <c r="V147" s="72"/>
      <c r="W147" s="72"/>
      <c r="X147" s="72"/>
      <c r="Y147" s="72"/>
      <c r="Z147" s="72"/>
      <c r="AA147" s="72"/>
      <c r="AC147" s="72"/>
      <c r="AD147" s="72"/>
      <c r="AE147" s="72"/>
    </row>
    <row r="148" spans="1:31" x14ac:dyDescent="0.25">
      <c r="B148" s="941" t="s">
        <v>55</v>
      </c>
      <c r="C148" s="942"/>
      <c r="D148" s="942"/>
      <c r="E148" s="942"/>
      <c r="F148" s="943"/>
      <c r="G148" s="99"/>
      <c r="H148" s="944">
        <f>J139</f>
        <v>0</v>
      </c>
      <c r="I148" s="944"/>
      <c r="J148" s="945"/>
      <c r="V148" s="72"/>
      <c r="W148" s="72"/>
      <c r="X148" s="72"/>
      <c r="Y148" s="72"/>
      <c r="Z148" s="72"/>
      <c r="AA148" s="72"/>
      <c r="AC148" s="72"/>
      <c r="AD148" s="72"/>
      <c r="AE148" s="72"/>
    </row>
    <row r="149" spans="1:31" x14ac:dyDescent="0.25">
      <c r="B149" s="301"/>
      <c r="C149" s="41"/>
      <c r="D149" s="41"/>
      <c r="E149" s="41"/>
      <c r="F149" s="302"/>
      <c r="G149" s="101"/>
      <c r="H149" s="303"/>
      <c r="I149" s="303"/>
      <c r="J149" s="304"/>
      <c r="V149" s="72"/>
      <c r="W149" s="72"/>
      <c r="X149" s="72"/>
      <c r="Y149" s="72"/>
      <c r="Z149" s="72"/>
      <c r="AA149" s="72"/>
      <c r="AC149" s="72"/>
      <c r="AD149" s="72"/>
      <c r="AE149" s="72"/>
    </row>
    <row r="150" spans="1:31" ht="15.95" customHeight="1" thickBot="1" x14ac:dyDescent="0.3">
      <c r="B150" s="1298" t="s">
        <v>280</v>
      </c>
      <c r="C150" s="1299"/>
      <c r="D150" s="1299"/>
      <c r="E150" s="1299"/>
      <c r="F150" s="1300"/>
      <c r="G150" s="102">
        <f>F23</f>
        <v>0</v>
      </c>
      <c r="H150" s="956">
        <f>H148*G150</f>
        <v>0</v>
      </c>
      <c r="I150" s="956"/>
      <c r="J150" s="957"/>
      <c r="K150" s="96">
        <f>H148+H150</f>
        <v>0</v>
      </c>
      <c r="V150" s="72"/>
      <c r="W150" s="72"/>
      <c r="X150" s="72"/>
      <c r="Y150" s="72"/>
      <c r="Z150" s="72"/>
      <c r="AA150" s="72"/>
      <c r="AC150" s="72"/>
      <c r="AD150" s="72"/>
      <c r="AE150" s="72"/>
    </row>
    <row r="151" spans="1:31" x14ac:dyDescent="0.25">
      <c r="B151" s="90"/>
      <c r="C151" s="91"/>
      <c r="D151" s="91"/>
      <c r="E151" s="91"/>
      <c r="F151" s="92"/>
      <c r="G151" s="88"/>
      <c r="J151" s="89"/>
      <c r="V151" s="72"/>
      <c r="W151" s="72"/>
      <c r="X151" s="72"/>
      <c r="Y151" s="72"/>
      <c r="Z151" s="72"/>
      <c r="AA151" s="72"/>
      <c r="AC151" s="72"/>
      <c r="AD151" s="72"/>
      <c r="AE151" s="72"/>
    </row>
    <row r="152" spans="1:31" x14ac:dyDescent="0.25">
      <c r="B152" s="926" t="s">
        <v>57</v>
      </c>
      <c r="C152" s="927"/>
      <c r="D152" s="927"/>
      <c r="E152" s="927"/>
      <c r="F152" s="928"/>
      <c r="G152" s="101"/>
      <c r="H152" s="954">
        <f>R139</f>
        <v>0</v>
      </c>
      <c r="I152" s="954"/>
      <c r="J152" s="955"/>
      <c r="V152" s="72"/>
      <c r="W152" s="72"/>
      <c r="X152" s="72"/>
      <c r="Y152" s="72"/>
      <c r="Z152" s="72"/>
      <c r="AA152" s="72"/>
      <c r="AC152" s="72"/>
      <c r="AD152" s="72"/>
      <c r="AE152" s="72"/>
    </row>
    <row r="153" spans="1:31" ht="14.55" thickBot="1" x14ac:dyDescent="0.3">
      <c r="B153" s="296"/>
      <c r="C153" s="297"/>
      <c r="D153" s="297"/>
      <c r="E153" s="297"/>
      <c r="F153" s="298"/>
      <c r="G153" s="1333"/>
      <c r="H153" s="1334"/>
      <c r="I153" s="1334"/>
      <c r="J153" s="1335"/>
      <c r="V153" s="72"/>
      <c r="W153" s="72"/>
      <c r="X153" s="72"/>
      <c r="Y153" s="72"/>
      <c r="Z153" s="72"/>
      <c r="AA153" s="72"/>
      <c r="AC153" s="72"/>
      <c r="AD153" s="72"/>
      <c r="AE153" s="72"/>
    </row>
    <row r="154" spans="1:31" ht="15.95" customHeight="1" thickBot="1" x14ac:dyDescent="0.3">
      <c r="B154" s="929" t="s">
        <v>59</v>
      </c>
      <c r="C154" s="930"/>
      <c r="D154" s="930"/>
      <c r="E154" s="930"/>
      <c r="F154" s="931"/>
      <c r="G154" s="107"/>
      <c r="H154" s="935">
        <f>SUM(H148:J152)</f>
        <v>0</v>
      </c>
      <c r="I154" s="935"/>
      <c r="J154" s="936"/>
      <c r="V154" s="72"/>
      <c r="W154" s="72"/>
      <c r="X154" s="72"/>
      <c r="Y154" s="72"/>
      <c r="Z154" s="72"/>
      <c r="AA154" s="72"/>
      <c r="AC154" s="72"/>
      <c r="AD154" s="72"/>
      <c r="AE154" s="72"/>
    </row>
    <row r="155" spans="1:31" x14ac:dyDescent="0.25">
      <c r="B155" s="320"/>
      <c r="C155" s="321"/>
      <c r="D155" s="321"/>
      <c r="E155" s="321"/>
      <c r="F155" s="322"/>
      <c r="G155" s="45"/>
      <c r="H155" s="93"/>
      <c r="I155" s="93"/>
      <c r="J155" s="94"/>
      <c r="V155" s="72"/>
      <c r="W155" s="72"/>
      <c r="X155" s="72"/>
      <c r="Y155" s="72"/>
      <c r="Z155" s="72"/>
      <c r="AA155" s="72"/>
      <c r="AC155" s="72"/>
      <c r="AD155" s="72"/>
      <c r="AE155" s="72"/>
    </row>
    <row r="156" spans="1:31" ht="15" customHeight="1" x14ac:dyDescent="0.25">
      <c r="B156" s="917" t="s">
        <v>60</v>
      </c>
      <c r="C156" s="918"/>
      <c r="D156" s="918"/>
      <c r="E156" s="918"/>
      <c r="F156" s="919"/>
      <c r="G156" s="100">
        <f>Überblick!$G$98</f>
        <v>0.19</v>
      </c>
      <c r="H156" s="954">
        <f>H154*G156</f>
        <v>0</v>
      </c>
      <c r="I156" s="954"/>
      <c r="J156" s="955"/>
      <c r="V156" s="72"/>
      <c r="W156" s="72"/>
      <c r="X156" s="72"/>
      <c r="Y156" s="72"/>
      <c r="Z156" s="72"/>
      <c r="AA156" s="72"/>
      <c r="AC156" s="72"/>
      <c r="AD156" s="72"/>
      <c r="AE156" s="72"/>
    </row>
    <row r="157" spans="1:31" ht="14.55" thickBot="1" x14ac:dyDescent="0.3">
      <c r="B157" s="305"/>
      <c r="C157" s="306"/>
      <c r="D157" s="306"/>
      <c r="E157" s="306"/>
      <c r="F157" s="307"/>
      <c r="G157" s="102"/>
      <c r="H157" s="299"/>
      <c r="I157" s="299"/>
      <c r="J157" s="300"/>
      <c r="V157" s="72"/>
      <c r="W157" s="72"/>
      <c r="X157" s="72"/>
      <c r="Y157" s="72"/>
      <c r="Z157" s="72"/>
      <c r="AA157" s="72"/>
      <c r="AC157" s="72"/>
      <c r="AD157" s="72"/>
      <c r="AE157" s="72"/>
    </row>
    <row r="158" spans="1:31" ht="15" customHeight="1" x14ac:dyDescent="0.25">
      <c r="B158" s="920" t="s">
        <v>281</v>
      </c>
      <c r="C158" s="921"/>
      <c r="D158" s="921"/>
      <c r="E158" s="921"/>
      <c r="F158" s="922"/>
      <c r="G158" s="97"/>
      <c r="H158" s="937">
        <f>H154+H156</f>
        <v>0</v>
      </c>
      <c r="I158" s="937"/>
      <c r="J158" s="938"/>
      <c r="V158" s="72"/>
      <c r="W158" s="72"/>
      <c r="X158" s="72"/>
      <c r="Y158" s="72"/>
      <c r="Z158" s="72"/>
      <c r="AA158" s="72"/>
      <c r="AC158" s="72"/>
      <c r="AD158" s="72"/>
      <c r="AE158" s="72"/>
    </row>
    <row r="159" spans="1:31" ht="14.55" thickBot="1" x14ac:dyDescent="0.3">
      <c r="B159" s="923"/>
      <c r="C159" s="924"/>
      <c r="D159" s="924"/>
      <c r="E159" s="924"/>
      <c r="F159" s="925"/>
      <c r="G159" s="98"/>
      <c r="H159" s="939"/>
      <c r="I159" s="939"/>
      <c r="J159" s="940"/>
      <c r="V159" s="72"/>
      <c r="W159" s="72"/>
      <c r="X159" s="72"/>
      <c r="Y159" s="72"/>
      <c r="Z159" s="72"/>
      <c r="AA159" s="72"/>
      <c r="AC159" s="72"/>
      <c r="AD159" s="72"/>
      <c r="AE159" s="72"/>
    </row>
    <row r="161" spans="1:26" x14ac:dyDescent="0.25">
      <c r="A161" s="491" t="s">
        <v>282</v>
      </c>
      <c r="B161" s="60" t="str">
        <f>IF(B1=V2,"Honorarvereinbarung für die zunächst beauftragenden Leistungen","Honorangebot für die zunächst beauftragenden Leistungen ")</f>
        <v xml:space="preserve">Honorangebot für die zunächst beauftragenden Leistungen </v>
      </c>
      <c r="C161" s="60"/>
      <c r="D161" s="60"/>
      <c r="E161" s="60"/>
      <c r="F161" s="65"/>
      <c r="G161" s="65"/>
      <c r="H161" s="65"/>
      <c r="I161" s="66"/>
      <c r="J161" s="66"/>
      <c r="K161" s="66"/>
      <c r="L161" s="66"/>
      <c r="M161" s="66"/>
      <c r="N161" s="66"/>
      <c r="O161" s="66"/>
      <c r="P161" s="67"/>
      <c r="Q161" s="60"/>
      <c r="R161" s="67"/>
      <c r="S161" s="67"/>
      <c r="T161" s="67"/>
      <c r="U161" s="67"/>
      <c r="Z161" s="60"/>
    </row>
    <row r="162" spans="1:26" ht="14.55" thickBot="1" x14ac:dyDescent="0.3">
      <c r="B162" s="60"/>
      <c r="C162" s="60"/>
      <c r="D162" s="60"/>
      <c r="E162" s="60"/>
      <c r="F162" s="65"/>
      <c r="G162" s="65"/>
      <c r="H162" s="65"/>
      <c r="I162" s="66"/>
      <c r="J162" s="66"/>
      <c r="K162" s="66"/>
      <c r="L162" s="66"/>
      <c r="M162" s="66"/>
      <c r="N162" s="66"/>
      <c r="O162" s="66"/>
      <c r="P162" s="67"/>
      <c r="Q162" s="67"/>
      <c r="R162" s="67"/>
      <c r="S162" s="67"/>
      <c r="T162" s="67"/>
      <c r="U162" s="67"/>
    </row>
    <row r="163" spans="1:26" x14ac:dyDescent="0.25">
      <c r="B163" s="941" t="s">
        <v>55</v>
      </c>
      <c r="C163" s="942"/>
      <c r="D163" s="942"/>
      <c r="E163" s="942"/>
      <c r="F163" s="943"/>
      <c r="G163" s="99"/>
      <c r="H163" s="944">
        <f>'Berechnung - Tragswerksplanung'!H122</f>
        <v>0</v>
      </c>
      <c r="I163" s="944"/>
      <c r="J163" s="945"/>
      <c r="K163" s="66"/>
      <c r="L163" s="66"/>
      <c r="M163" s="66"/>
      <c r="N163" s="66"/>
      <c r="O163" s="66"/>
      <c r="P163" s="67"/>
      <c r="Q163" s="67"/>
      <c r="R163" s="67"/>
      <c r="S163" s="67"/>
      <c r="T163" s="67"/>
      <c r="U163" s="67"/>
    </row>
    <row r="164" spans="1:26" x14ac:dyDescent="0.25">
      <c r="B164" s="301"/>
      <c r="C164" s="41"/>
      <c r="D164" s="41"/>
      <c r="E164" s="41"/>
      <c r="F164" s="302"/>
      <c r="G164" s="101"/>
      <c r="H164" s="303"/>
      <c r="I164" s="303"/>
      <c r="J164" s="304"/>
      <c r="K164" s="66"/>
      <c r="L164" s="66"/>
      <c r="M164" s="66"/>
      <c r="N164" s="66"/>
      <c r="O164" s="66"/>
      <c r="P164" s="67"/>
      <c r="Q164" s="67"/>
      <c r="R164" s="67"/>
      <c r="S164" s="67"/>
      <c r="T164" s="67"/>
      <c r="U164" s="67"/>
    </row>
    <row r="165" spans="1:26" ht="15" customHeight="1" thickBot="1" x14ac:dyDescent="0.3">
      <c r="B165" s="1298" t="s">
        <v>280</v>
      </c>
      <c r="C165" s="1299"/>
      <c r="D165" s="1299"/>
      <c r="E165" s="1299"/>
      <c r="F165" s="1300"/>
      <c r="G165" s="102">
        <f>F23</f>
        <v>0</v>
      </c>
      <c r="H165" s="956">
        <f>H163*G165</f>
        <v>0</v>
      </c>
      <c r="I165" s="956"/>
      <c r="J165" s="957"/>
      <c r="K165" s="66"/>
      <c r="L165" s="66"/>
      <c r="M165" s="66"/>
      <c r="N165" s="66"/>
      <c r="O165" s="66"/>
      <c r="P165" s="67"/>
      <c r="Q165" s="67"/>
      <c r="R165" s="67"/>
      <c r="S165" s="67"/>
      <c r="T165" s="67"/>
      <c r="U165" s="67"/>
    </row>
    <row r="166" spans="1:26" x14ac:dyDescent="0.25">
      <c r="B166" s="90"/>
      <c r="C166" s="91"/>
      <c r="D166" s="91"/>
      <c r="E166" s="91"/>
      <c r="F166" s="92"/>
      <c r="G166" s="45"/>
      <c r="H166" s="46"/>
      <c r="I166" s="46"/>
      <c r="J166" s="105"/>
      <c r="K166" s="66"/>
      <c r="L166" s="66"/>
      <c r="M166" s="66"/>
      <c r="N166" s="66"/>
      <c r="O166" s="66"/>
      <c r="P166" s="67"/>
      <c r="Q166" s="67"/>
      <c r="R166" s="67"/>
      <c r="S166" s="67"/>
      <c r="T166" s="67"/>
      <c r="U166" s="67"/>
    </row>
    <row r="167" spans="1:26" x14ac:dyDescent="0.25">
      <c r="B167" s="926" t="s">
        <v>57</v>
      </c>
      <c r="C167" s="927"/>
      <c r="D167" s="927"/>
      <c r="E167" s="927"/>
      <c r="F167" s="928"/>
      <c r="G167" s="101"/>
      <c r="H167" s="954">
        <f>'Berechnung - Tragswerksplanung'!J122</f>
        <v>0</v>
      </c>
      <c r="I167" s="954"/>
      <c r="J167" s="955"/>
      <c r="K167" s="66"/>
      <c r="L167" s="66"/>
      <c r="M167" s="66"/>
      <c r="N167" s="66"/>
      <c r="O167" s="66"/>
      <c r="P167" s="67"/>
      <c r="Q167" s="67"/>
      <c r="R167" s="67"/>
      <c r="S167" s="67"/>
      <c r="T167" s="67"/>
      <c r="U167" s="67"/>
    </row>
    <row r="168" spans="1:26" ht="14.55" thickBot="1" x14ac:dyDescent="0.3">
      <c r="B168" s="90"/>
      <c r="C168" s="91"/>
      <c r="D168" s="91"/>
      <c r="E168" s="91"/>
      <c r="F168" s="92"/>
      <c r="G168" s="1333"/>
      <c r="H168" s="1334"/>
      <c r="I168" s="1334"/>
      <c r="J168" s="1335"/>
      <c r="K168" s="66"/>
      <c r="L168" s="66"/>
      <c r="M168" s="66"/>
      <c r="N168" s="66"/>
      <c r="O168" s="66"/>
      <c r="P168" s="67"/>
      <c r="Q168" s="67"/>
      <c r="R168" s="67"/>
      <c r="S168" s="67"/>
      <c r="T168" s="67"/>
      <c r="U168" s="67"/>
    </row>
    <row r="169" spans="1:26" ht="15.95" customHeight="1" thickBot="1" x14ac:dyDescent="0.3">
      <c r="B169" s="929" t="s">
        <v>59</v>
      </c>
      <c r="C169" s="930"/>
      <c r="D169" s="930"/>
      <c r="E169" s="930"/>
      <c r="F169" s="931"/>
      <c r="G169" s="107"/>
      <c r="H169" s="935">
        <f>SUM(H163:J167)</f>
        <v>0</v>
      </c>
      <c r="I169" s="935"/>
      <c r="J169" s="936"/>
      <c r="K169" s="66"/>
      <c r="L169" s="66"/>
      <c r="M169" s="66"/>
      <c r="N169" s="66"/>
      <c r="O169" s="66"/>
      <c r="P169" s="67"/>
      <c r="Q169" s="67"/>
      <c r="R169" s="67"/>
      <c r="S169" s="67"/>
      <c r="T169" s="67"/>
      <c r="U169" s="67"/>
    </row>
    <row r="170" spans="1:26" x14ac:dyDescent="0.25">
      <c r="B170" s="320"/>
      <c r="C170" s="321"/>
      <c r="D170" s="321"/>
      <c r="E170" s="321"/>
      <c r="F170" s="322"/>
      <c r="G170" s="45"/>
      <c r="H170" s="93"/>
      <c r="I170" s="93"/>
      <c r="J170" s="94"/>
      <c r="K170" s="66"/>
      <c r="L170" s="66"/>
      <c r="M170" s="66"/>
      <c r="N170" s="66"/>
      <c r="O170" s="66"/>
      <c r="P170" s="67"/>
      <c r="Q170" s="67"/>
      <c r="R170" s="67"/>
      <c r="S170" s="67"/>
      <c r="T170" s="67"/>
      <c r="U170" s="67"/>
    </row>
    <row r="171" spans="1:26" ht="15" customHeight="1" x14ac:dyDescent="0.25">
      <c r="B171" s="917" t="s">
        <v>94</v>
      </c>
      <c r="C171" s="918"/>
      <c r="D171" s="918"/>
      <c r="E171" s="918"/>
      <c r="F171" s="919"/>
      <c r="G171" s="100">
        <f>Überblick!$G$98</f>
        <v>0.19</v>
      </c>
      <c r="H171" s="954">
        <f>H169*G171</f>
        <v>0</v>
      </c>
      <c r="I171" s="954"/>
      <c r="J171" s="955"/>
      <c r="K171" s="66"/>
      <c r="L171" s="66"/>
      <c r="M171" s="66"/>
      <c r="N171" s="66"/>
      <c r="O171" s="66"/>
      <c r="P171" s="67"/>
      <c r="Q171" s="67"/>
      <c r="R171" s="67"/>
      <c r="S171" s="67"/>
      <c r="T171" s="67"/>
      <c r="U171" s="67"/>
    </row>
    <row r="172" spans="1:26" ht="14.55" thickBot="1" x14ac:dyDescent="0.3">
      <c r="B172" s="305"/>
      <c r="C172" s="306"/>
      <c r="D172" s="306"/>
      <c r="E172" s="306"/>
      <c r="F172" s="307"/>
      <c r="G172" s="102"/>
      <c r="H172" s="299"/>
      <c r="I172" s="299"/>
      <c r="J172" s="300"/>
      <c r="K172" s="66"/>
      <c r="L172" s="66"/>
      <c r="M172" s="66"/>
      <c r="N172" s="66"/>
      <c r="O172" s="66"/>
      <c r="P172" s="67"/>
      <c r="Q172" s="67"/>
      <c r="R172" s="67"/>
      <c r="S172" s="67"/>
      <c r="T172" s="67"/>
      <c r="U172" s="67"/>
    </row>
    <row r="173" spans="1:26" ht="15" customHeight="1" x14ac:dyDescent="0.25">
      <c r="B173" s="920" t="s">
        <v>98</v>
      </c>
      <c r="C173" s="921"/>
      <c r="D173" s="921"/>
      <c r="E173" s="921"/>
      <c r="F173" s="922"/>
      <c r="G173" s="172"/>
      <c r="H173" s="937">
        <f>H169+H171</f>
        <v>0</v>
      </c>
      <c r="I173" s="937"/>
      <c r="J173" s="938"/>
      <c r="K173" s="66"/>
      <c r="L173" s="66"/>
      <c r="M173" s="66"/>
      <c r="N173" s="66"/>
      <c r="O173" s="66"/>
      <c r="P173" s="67"/>
      <c r="Q173" s="67"/>
      <c r="R173" s="67"/>
      <c r="S173" s="67"/>
      <c r="T173" s="67"/>
      <c r="U173" s="67"/>
    </row>
    <row r="174" spans="1:26" ht="14.55" thickBot="1" x14ac:dyDescent="0.3">
      <c r="B174" s="923"/>
      <c r="C174" s="924"/>
      <c r="D174" s="924"/>
      <c r="E174" s="924"/>
      <c r="F174" s="925"/>
      <c r="G174" s="98"/>
      <c r="H174" s="939"/>
      <c r="I174" s="939"/>
      <c r="J174" s="940"/>
      <c r="K174" s="66"/>
      <c r="L174" s="66"/>
      <c r="M174" s="66"/>
      <c r="N174" s="66"/>
      <c r="O174" s="66"/>
      <c r="P174" s="67"/>
      <c r="Q174" s="67"/>
      <c r="R174" s="67"/>
      <c r="S174" s="67"/>
      <c r="T174" s="67"/>
      <c r="U174" s="67"/>
    </row>
    <row r="175" spans="1:26" x14ac:dyDescent="0.25">
      <c r="B175" s="60"/>
      <c r="C175" s="60"/>
      <c r="D175" s="60"/>
      <c r="E175" s="60"/>
      <c r="F175" s="65"/>
      <c r="G175" s="65"/>
      <c r="H175" s="65"/>
      <c r="I175" s="66"/>
      <c r="J175" s="66"/>
      <c r="K175" s="66"/>
      <c r="L175" s="66"/>
      <c r="M175" s="66"/>
      <c r="N175" s="66"/>
      <c r="O175" s="66"/>
      <c r="P175" s="67"/>
      <c r="Q175" s="67"/>
      <c r="R175" s="67"/>
      <c r="S175" s="67"/>
      <c r="T175" s="67"/>
      <c r="U175" s="67"/>
    </row>
    <row r="176" spans="1:26" x14ac:dyDescent="0.25">
      <c r="A176" s="491" t="s">
        <v>284</v>
      </c>
      <c r="B176" s="40" t="str">
        <f>IF(B1=V2,"Gemäß der Honorarvereinbarung werden die Stufen wie folgt vergütet (netto): ","Gemäß des Honorarangebotes werden die Stufen wie folgt vergütet (netto): ")</f>
        <v xml:space="preserve">Gemäß des Honorarangebotes werden die Stufen wie folgt vergütet (netto): </v>
      </c>
      <c r="C176" s="40"/>
      <c r="D176" s="40"/>
      <c r="E176" s="40"/>
      <c r="F176" s="40"/>
      <c r="G176" s="40"/>
      <c r="H176" s="40"/>
      <c r="I176" s="40"/>
      <c r="J176" s="40"/>
      <c r="K176" s="40"/>
      <c r="L176" s="60"/>
      <c r="M176" s="66"/>
      <c r="N176" s="66"/>
      <c r="O176" s="40"/>
      <c r="P176" s="67"/>
      <c r="Q176" s="67"/>
      <c r="R176" s="67"/>
      <c r="S176" s="67"/>
      <c r="T176" s="67"/>
      <c r="U176" s="67"/>
    </row>
    <row r="177" spans="1:21" ht="14.55" thickBot="1" x14ac:dyDescent="0.3">
      <c r="B177" s="60"/>
      <c r="C177" s="60"/>
      <c r="D177" s="60"/>
      <c r="E177" s="60"/>
      <c r="F177" s="65"/>
      <c r="G177" s="65"/>
      <c r="H177" s="65"/>
      <c r="I177" s="66"/>
      <c r="J177" s="66"/>
      <c r="K177" s="66"/>
      <c r="L177" s="66"/>
      <c r="M177" s="66"/>
      <c r="N177" s="66"/>
      <c r="O177" s="40"/>
      <c r="P177" s="67"/>
      <c r="Q177" s="67"/>
      <c r="R177" s="67"/>
      <c r="S177" s="67"/>
      <c r="T177" s="67"/>
      <c r="U177" s="67"/>
    </row>
    <row r="178" spans="1:21" ht="15.2" thickTop="1" thickBot="1" x14ac:dyDescent="0.3">
      <c r="B178" s="357" t="s">
        <v>105</v>
      </c>
      <c r="C178" s="358" t="s">
        <v>285</v>
      </c>
      <c r="D178" s="359" t="s">
        <v>286</v>
      </c>
      <c r="E178" s="360" t="s">
        <v>287</v>
      </c>
      <c r="F178" s="360" t="s">
        <v>288</v>
      </c>
      <c r="G178" s="361" t="s">
        <v>289</v>
      </c>
      <c r="H178" s="361" t="s">
        <v>290</v>
      </c>
      <c r="I178" s="362" t="s">
        <v>291</v>
      </c>
      <c r="J178" s="362" t="s">
        <v>292</v>
      </c>
      <c r="K178" s="362" t="s">
        <v>293</v>
      </c>
      <c r="L178" s="364" t="s">
        <v>295</v>
      </c>
      <c r="N178" s="204"/>
      <c r="O178" s="204"/>
      <c r="P178" s="205"/>
      <c r="Q178" s="67"/>
      <c r="R178" s="67"/>
      <c r="S178" s="67"/>
      <c r="T178" s="67"/>
      <c r="U178" s="67"/>
    </row>
    <row r="179" spans="1:21" x14ac:dyDescent="0.25">
      <c r="A179" s="492"/>
      <c r="B179" s="153" t="str">
        <f>IF(Überblick!$H$53&gt;=1,"1:",0)</f>
        <v>1:</v>
      </c>
      <c r="C179" s="481">
        <f>'Berechnung - Tragswerksplanung'!C127</f>
        <v>0</v>
      </c>
      <c r="D179" s="481">
        <f>'Berechnung - Tragswerksplanung'!D127</f>
        <v>0</v>
      </c>
      <c r="E179" s="481">
        <f>'Berechnung - Tragswerksplanung'!E127</f>
        <v>0</v>
      </c>
      <c r="F179" s="481">
        <f>'Berechnung - Tragswerksplanung'!F127</f>
        <v>0</v>
      </c>
      <c r="G179" s="481">
        <f>'Berechnung - Tragswerksplanung'!G127</f>
        <v>0</v>
      </c>
      <c r="H179" s="481">
        <f>'Berechnung - Tragswerksplanung'!H127</f>
        <v>0</v>
      </c>
      <c r="I179" s="481">
        <f>'Berechnung - Tragswerksplanung'!I127</f>
        <v>0</v>
      </c>
      <c r="J179" s="481">
        <f>'Berechnung - Tragswerksplanung'!J127</f>
        <v>0</v>
      </c>
      <c r="K179" s="481">
        <f>'Berechnung - Tragswerksplanung'!K127</f>
        <v>0</v>
      </c>
      <c r="L179" s="481">
        <f>'Berechnung - Tragswerksplanung'!M127</f>
        <v>0</v>
      </c>
      <c r="N179" s="177"/>
      <c r="O179" s="177"/>
      <c r="P179" s="177"/>
      <c r="Q179" s="96">
        <f>SUM(C179:P179)</f>
        <v>0</v>
      </c>
      <c r="S179" s="63"/>
      <c r="T179" s="63"/>
      <c r="U179" s="63"/>
    </row>
    <row r="180" spans="1:21" ht="15.95" customHeight="1" x14ac:dyDescent="0.25">
      <c r="A180" s="492"/>
      <c r="B180" s="153" t="str">
        <f>IF(Überblick!$H$53&gt;=2,"2:",0)</f>
        <v>2:</v>
      </c>
      <c r="C180" s="481">
        <f>'Berechnung - Tragswerksplanung'!C128</f>
        <v>0</v>
      </c>
      <c r="D180" s="481">
        <f>'Berechnung - Tragswerksplanung'!D128</f>
        <v>0</v>
      </c>
      <c r="E180" s="481">
        <f>'Berechnung - Tragswerksplanung'!E128</f>
        <v>0</v>
      </c>
      <c r="F180" s="481">
        <f>'Berechnung - Tragswerksplanung'!F128</f>
        <v>0</v>
      </c>
      <c r="G180" s="481">
        <f>'Berechnung - Tragswerksplanung'!G128</f>
        <v>0</v>
      </c>
      <c r="H180" s="481">
        <f>'Berechnung - Tragswerksplanung'!H128</f>
        <v>0</v>
      </c>
      <c r="I180" s="481">
        <f>'Berechnung - Tragswerksplanung'!I128</f>
        <v>0</v>
      </c>
      <c r="J180" s="481">
        <f>'Berechnung - Tragswerksplanung'!J128</f>
        <v>0</v>
      </c>
      <c r="K180" s="481">
        <f>'Berechnung - Tragswerksplanung'!K128</f>
        <v>0</v>
      </c>
      <c r="L180" s="481">
        <f>'Berechnung - Tragswerksplanung'!M128</f>
        <v>0</v>
      </c>
      <c r="N180" s="177"/>
      <c r="O180" s="177"/>
      <c r="P180" s="177"/>
      <c r="Q180" s="96">
        <f t="shared" ref="Q180:Q186" si="4">SUM(C180:P180)</f>
        <v>0</v>
      </c>
    </row>
    <row r="181" spans="1:21" x14ac:dyDescent="0.25">
      <c r="A181" s="59"/>
      <c r="B181" s="153" t="str">
        <f>IF(Überblick!$H$53&gt;=3,"3:",0)</f>
        <v>3:</v>
      </c>
      <c r="C181" s="481">
        <f>'Berechnung - Tragswerksplanung'!C129</f>
        <v>0</v>
      </c>
      <c r="D181" s="481">
        <f>'Berechnung - Tragswerksplanung'!D129</f>
        <v>0</v>
      </c>
      <c r="E181" s="481">
        <f>'Berechnung - Tragswerksplanung'!E129</f>
        <v>0</v>
      </c>
      <c r="F181" s="481">
        <f>'Berechnung - Tragswerksplanung'!F129</f>
        <v>0</v>
      </c>
      <c r="G181" s="481">
        <f>'Berechnung - Tragswerksplanung'!G129</f>
        <v>0</v>
      </c>
      <c r="H181" s="481">
        <f>'Berechnung - Tragswerksplanung'!H129</f>
        <v>0</v>
      </c>
      <c r="I181" s="481">
        <f>'Berechnung - Tragswerksplanung'!I129</f>
        <v>0</v>
      </c>
      <c r="J181" s="481">
        <f>'Berechnung - Tragswerksplanung'!J129</f>
        <v>0</v>
      </c>
      <c r="K181" s="481">
        <f>'Berechnung - Tragswerksplanung'!K129</f>
        <v>0</v>
      </c>
      <c r="L181" s="481">
        <f>'Berechnung - Tragswerksplanung'!M129</f>
        <v>0</v>
      </c>
      <c r="N181" s="177"/>
      <c r="O181" s="177"/>
      <c r="P181" s="177"/>
      <c r="Q181" s="96">
        <f t="shared" si="4"/>
        <v>0</v>
      </c>
    </row>
    <row r="182" spans="1:21" x14ac:dyDescent="0.25">
      <c r="B182" s="153" t="str">
        <f>IF(Überblick!$H$53&gt;=4,"4:",0)</f>
        <v>4:</v>
      </c>
      <c r="C182" s="481">
        <f>'Berechnung - Tragswerksplanung'!C130</f>
        <v>0</v>
      </c>
      <c r="D182" s="481">
        <f>'Berechnung - Tragswerksplanung'!D130</f>
        <v>0</v>
      </c>
      <c r="E182" s="481">
        <f>'Berechnung - Tragswerksplanung'!E130</f>
        <v>0</v>
      </c>
      <c r="F182" s="481">
        <f>'Berechnung - Tragswerksplanung'!F130</f>
        <v>0</v>
      </c>
      <c r="G182" s="481">
        <f>'Berechnung - Tragswerksplanung'!G130</f>
        <v>0</v>
      </c>
      <c r="H182" s="481">
        <f>'Berechnung - Tragswerksplanung'!H130</f>
        <v>0</v>
      </c>
      <c r="I182" s="481">
        <f>'Berechnung - Tragswerksplanung'!I130</f>
        <v>0</v>
      </c>
      <c r="J182" s="481">
        <f>'Berechnung - Tragswerksplanung'!J130</f>
        <v>0</v>
      </c>
      <c r="K182" s="481">
        <f>'Berechnung - Tragswerksplanung'!K130</f>
        <v>0</v>
      </c>
      <c r="L182" s="481">
        <f>'Berechnung - Tragswerksplanung'!M130</f>
        <v>0</v>
      </c>
      <c r="N182" s="177"/>
      <c r="O182" s="177"/>
      <c r="P182" s="177"/>
      <c r="Q182" s="96">
        <f t="shared" si="4"/>
        <v>0</v>
      </c>
    </row>
    <row r="183" spans="1:21" x14ac:dyDescent="0.25">
      <c r="B183" s="153" t="str">
        <f>IF(Überblick!$H$53&gt;=5,"5:",0)</f>
        <v>5:</v>
      </c>
      <c r="C183" s="481">
        <f>'Berechnung - Tragswerksplanung'!C131</f>
        <v>0</v>
      </c>
      <c r="D183" s="481">
        <f>'Berechnung - Tragswerksplanung'!D131</f>
        <v>0</v>
      </c>
      <c r="E183" s="481">
        <f>'Berechnung - Tragswerksplanung'!E131</f>
        <v>0</v>
      </c>
      <c r="F183" s="481">
        <f>'Berechnung - Tragswerksplanung'!F131</f>
        <v>0</v>
      </c>
      <c r="G183" s="481">
        <f>'Berechnung - Tragswerksplanung'!G131</f>
        <v>0</v>
      </c>
      <c r="H183" s="481">
        <f>'Berechnung - Tragswerksplanung'!H131</f>
        <v>0</v>
      </c>
      <c r="I183" s="481">
        <f>'Berechnung - Tragswerksplanung'!I131</f>
        <v>0</v>
      </c>
      <c r="J183" s="481">
        <f>'Berechnung - Tragswerksplanung'!J131</f>
        <v>0</v>
      </c>
      <c r="K183" s="481">
        <f>'Berechnung - Tragswerksplanung'!K131</f>
        <v>0</v>
      </c>
      <c r="L183" s="481">
        <f>'Berechnung - Tragswerksplanung'!M131</f>
        <v>0</v>
      </c>
      <c r="N183" s="177"/>
      <c r="O183" s="177"/>
      <c r="P183" s="177"/>
      <c r="Q183" s="96">
        <f t="shared" si="4"/>
        <v>0</v>
      </c>
    </row>
    <row r="184" spans="1:21" ht="15.95" customHeight="1" x14ac:dyDescent="0.25">
      <c r="B184" s="153" t="str">
        <f>IF(Überblick!$H$53&gt;=6,"6:",0)</f>
        <v>6:</v>
      </c>
      <c r="C184" s="481">
        <f>'Berechnung - Tragswerksplanung'!C132</f>
        <v>0</v>
      </c>
      <c r="D184" s="481">
        <f>'Berechnung - Tragswerksplanung'!D132</f>
        <v>0</v>
      </c>
      <c r="E184" s="481">
        <f>'Berechnung - Tragswerksplanung'!E132</f>
        <v>0</v>
      </c>
      <c r="F184" s="481">
        <f>'Berechnung - Tragswerksplanung'!F132</f>
        <v>0</v>
      </c>
      <c r="G184" s="481">
        <f>'Berechnung - Tragswerksplanung'!G132</f>
        <v>0</v>
      </c>
      <c r="H184" s="481">
        <f>'Berechnung - Tragswerksplanung'!H132</f>
        <v>0</v>
      </c>
      <c r="I184" s="481">
        <f>'Berechnung - Tragswerksplanung'!I132</f>
        <v>0</v>
      </c>
      <c r="J184" s="481">
        <f>'Berechnung - Tragswerksplanung'!J132</f>
        <v>0</v>
      </c>
      <c r="K184" s="481">
        <f>'Berechnung - Tragswerksplanung'!K132</f>
        <v>0</v>
      </c>
      <c r="L184" s="481">
        <f>'Berechnung - Tragswerksplanung'!M132</f>
        <v>0</v>
      </c>
      <c r="N184" s="177"/>
      <c r="O184" s="177"/>
      <c r="P184" s="177"/>
      <c r="Q184" s="96">
        <f t="shared" si="4"/>
        <v>0</v>
      </c>
    </row>
    <row r="185" spans="1:21" x14ac:dyDescent="0.25">
      <c r="B185" s="153">
        <f>IF(Überblick!$H$53&gt;=7,"7:",0)</f>
        <v>0</v>
      </c>
      <c r="C185" s="481">
        <f>'Berechnung - Tragswerksplanung'!C133</f>
        <v>0</v>
      </c>
      <c r="D185" s="481">
        <f>'Berechnung - Tragswerksplanung'!D133</f>
        <v>0</v>
      </c>
      <c r="E185" s="481">
        <f>'Berechnung - Tragswerksplanung'!E133</f>
        <v>0</v>
      </c>
      <c r="F185" s="481">
        <f>'Berechnung - Tragswerksplanung'!F133</f>
        <v>0</v>
      </c>
      <c r="G185" s="481">
        <f>'Berechnung - Tragswerksplanung'!G133</f>
        <v>0</v>
      </c>
      <c r="H185" s="481">
        <f>'Berechnung - Tragswerksplanung'!H133</f>
        <v>0</v>
      </c>
      <c r="I185" s="481">
        <f>'Berechnung - Tragswerksplanung'!I133</f>
        <v>0</v>
      </c>
      <c r="J185" s="481">
        <f>'Berechnung - Tragswerksplanung'!J133</f>
        <v>0</v>
      </c>
      <c r="K185" s="481">
        <f>'Berechnung - Tragswerksplanung'!K133</f>
        <v>0</v>
      </c>
      <c r="L185" s="481">
        <f>'Berechnung - Tragswerksplanung'!M133</f>
        <v>0</v>
      </c>
      <c r="N185" s="177"/>
      <c r="O185" s="177"/>
      <c r="P185" s="177"/>
      <c r="Q185" s="96">
        <f t="shared" si="4"/>
        <v>0</v>
      </c>
    </row>
    <row r="186" spans="1:21" ht="15" customHeight="1" x14ac:dyDescent="0.25">
      <c r="B186" s="153">
        <f>IF(Überblick!$H$53&gt;=8,"8:",0)</f>
        <v>0</v>
      </c>
      <c r="C186" s="481">
        <f>'Berechnung - Tragswerksplanung'!C134</f>
        <v>0</v>
      </c>
      <c r="D186" s="481">
        <f>'Berechnung - Tragswerksplanung'!D134</f>
        <v>0</v>
      </c>
      <c r="E186" s="481">
        <f>'Berechnung - Tragswerksplanung'!E134</f>
        <v>0</v>
      </c>
      <c r="F186" s="481">
        <f>'Berechnung - Tragswerksplanung'!F134</f>
        <v>0</v>
      </c>
      <c r="G186" s="481">
        <f>'Berechnung - Tragswerksplanung'!G134</f>
        <v>0</v>
      </c>
      <c r="H186" s="481">
        <f>'Berechnung - Tragswerksplanung'!H134</f>
        <v>0</v>
      </c>
      <c r="I186" s="481">
        <f>'Berechnung - Tragswerksplanung'!I134</f>
        <v>0</v>
      </c>
      <c r="J186" s="481">
        <f>'Berechnung - Tragswerksplanung'!J134</f>
        <v>0</v>
      </c>
      <c r="K186" s="481">
        <f>'Berechnung - Tragswerksplanung'!K134</f>
        <v>0</v>
      </c>
      <c r="L186" s="481">
        <f>'Berechnung - Tragswerksplanung'!M134</f>
        <v>0</v>
      </c>
      <c r="N186" s="177"/>
      <c r="O186" s="177"/>
      <c r="P186" s="177"/>
      <c r="Q186" s="96">
        <f t="shared" si="4"/>
        <v>0</v>
      </c>
    </row>
    <row r="187" spans="1:21" x14ac:dyDescent="0.25">
      <c r="B187" s="153">
        <f>IF(Überblick!$H$53&gt;=9,"9:",0)</f>
        <v>0</v>
      </c>
      <c r="C187" s="481">
        <f>'Berechnung - Tragswerksplanung'!C135</f>
        <v>0</v>
      </c>
      <c r="D187" s="481">
        <f>'Berechnung - Tragswerksplanung'!D135</f>
        <v>0</v>
      </c>
      <c r="E187" s="481">
        <f>'Berechnung - Tragswerksplanung'!E135</f>
        <v>0</v>
      </c>
      <c r="F187" s="481">
        <f>'Berechnung - Tragswerksplanung'!F135</f>
        <v>0</v>
      </c>
      <c r="G187" s="481">
        <f>'Berechnung - Tragswerksplanung'!G135</f>
        <v>0</v>
      </c>
      <c r="H187" s="481">
        <f>'Berechnung - Tragswerksplanung'!H135</f>
        <v>0</v>
      </c>
      <c r="I187" s="481">
        <f>'Berechnung - Tragswerksplanung'!I135</f>
        <v>0</v>
      </c>
      <c r="J187" s="481">
        <f>'Berechnung - Tragswerksplanung'!J135</f>
        <v>0</v>
      </c>
      <c r="K187" s="481">
        <f>'Berechnung - Tragswerksplanung'!K135</f>
        <v>0</v>
      </c>
      <c r="L187" s="481">
        <f>'Berechnung - Tragswerksplanung'!M135</f>
        <v>0</v>
      </c>
      <c r="Q187" s="96"/>
    </row>
    <row r="188" spans="1:21" ht="14.25" customHeight="1" x14ac:dyDescent="0.25">
      <c r="B188" s="140"/>
      <c r="C188" s="140"/>
      <c r="D188" s="140"/>
      <c r="E188" s="140"/>
      <c r="F188" s="140"/>
      <c r="G188" s="140"/>
      <c r="H188" s="140"/>
      <c r="I188" s="140"/>
      <c r="J188" s="140"/>
      <c r="K188" s="140"/>
      <c r="L188" s="140"/>
      <c r="Q188" s="96"/>
    </row>
    <row r="189" spans="1:21" x14ac:dyDescent="0.25">
      <c r="B189" s="140"/>
      <c r="C189" s="140"/>
      <c r="D189" s="140"/>
      <c r="E189" s="140"/>
      <c r="F189" s="140"/>
      <c r="G189" s="140"/>
      <c r="H189" s="140"/>
      <c r="I189" s="140"/>
      <c r="J189" s="140"/>
      <c r="K189" s="140"/>
      <c r="L189" s="140"/>
      <c r="Q189" s="96"/>
    </row>
    <row r="190" spans="1:21" x14ac:dyDescent="0.25">
      <c r="B190" s="140"/>
      <c r="C190" s="140"/>
      <c r="D190" s="140"/>
      <c r="E190" s="140"/>
      <c r="F190" s="140"/>
      <c r="G190" s="140"/>
      <c r="H190" s="140"/>
      <c r="I190" s="140"/>
      <c r="J190" s="140"/>
      <c r="K190" s="140"/>
      <c r="L190" s="140"/>
      <c r="Q190" s="96"/>
    </row>
    <row r="191" spans="1:21" x14ac:dyDescent="0.25">
      <c r="B191" s="140"/>
      <c r="C191" s="140"/>
      <c r="D191" s="140"/>
      <c r="E191" s="140"/>
      <c r="F191" s="140"/>
      <c r="G191" s="140"/>
      <c r="H191" s="140"/>
      <c r="I191" s="140"/>
      <c r="J191" s="140"/>
      <c r="K191" s="140"/>
      <c r="L191" s="140"/>
      <c r="Q191" s="96"/>
    </row>
    <row r="192" spans="1:21" x14ac:dyDescent="0.25">
      <c r="B192" s="140"/>
      <c r="C192" s="140"/>
      <c r="D192" s="140"/>
      <c r="E192" s="140"/>
      <c r="F192" s="140"/>
      <c r="G192" s="140"/>
      <c r="H192" s="140"/>
      <c r="I192" s="140"/>
      <c r="J192" s="140"/>
      <c r="K192" s="140"/>
      <c r="L192" s="140"/>
    </row>
    <row r="193" spans="2:12" x14ac:dyDescent="0.25">
      <c r="B193" s="140"/>
      <c r="C193" s="140"/>
      <c r="D193" s="140"/>
      <c r="E193" s="140"/>
      <c r="F193" s="140"/>
      <c r="G193" s="140"/>
      <c r="H193" s="140"/>
      <c r="I193" s="140"/>
      <c r="J193" s="140"/>
      <c r="K193" s="140"/>
      <c r="L193" s="140"/>
    </row>
    <row r="194" spans="2:12" x14ac:dyDescent="0.25">
      <c r="B194" s="140"/>
      <c r="C194" s="140"/>
      <c r="D194" s="140"/>
      <c r="E194" s="140"/>
      <c r="F194" s="140"/>
      <c r="G194" s="140"/>
      <c r="H194" s="140"/>
      <c r="I194" s="140"/>
      <c r="J194" s="140"/>
      <c r="K194" s="140"/>
      <c r="L194" s="140"/>
    </row>
  </sheetData>
  <sheetProtection algorithmName="SHA-512" hashValue="Aa/Zaap+LbmuqyDwbi1Wx01WhJ8p/GLB03p0GWYbZkzN/JskW6/qhxeFrsz/MDgM4r34Q/iOtcbmEerhIdM50g==" saltValue="D+FSfJEeKsiyjtx37HkxFg==" spinCount="100000" sheet="1" objects="1" scenarios="1"/>
  <mergeCells count="338">
    <mergeCell ref="L110:P110"/>
    <mergeCell ref="R110:S110"/>
    <mergeCell ref="F5:I5"/>
    <mergeCell ref="J5:M5"/>
    <mergeCell ref="N5:Q5"/>
    <mergeCell ref="F6:G6"/>
    <mergeCell ref="H6:I6"/>
    <mergeCell ref="J6:K6"/>
    <mergeCell ref="L6:M6"/>
    <mergeCell ref="N6:O6"/>
    <mergeCell ref="P6:Q6"/>
    <mergeCell ref="L35:P37"/>
    <mergeCell ref="Q35:Q37"/>
    <mergeCell ref="R35:S37"/>
    <mergeCell ref="B38:G38"/>
    <mergeCell ref="L94:P94"/>
    <mergeCell ref="L108:P109"/>
    <mergeCell ref="Q108:Q109"/>
    <mergeCell ref="R68:S69"/>
    <mergeCell ref="R45:S45"/>
    <mergeCell ref="L64:P66"/>
    <mergeCell ref="L45:P45"/>
    <mergeCell ref="Q64:Q66"/>
    <mergeCell ref="R64:S66"/>
    <mergeCell ref="S2:U2"/>
    <mergeCell ref="S3:U3"/>
    <mergeCell ref="S4:U4"/>
    <mergeCell ref="T1:U1"/>
    <mergeCell ref="F9:I11"/>
    <mergeCell ref="J9:M11"/>
    <mergeCell ref="N9:Q11"/>
    <mergeCell ref="T35:T37"/>
    <mergeCell ref="U35:U37"/>
    <mergeCell ref="Q89:Q91"/>
    <mergeCell ref="R89:S91"/>
    <mergeCell ref="L67:P67"/>
    <mergeCell ref="R67:S67"/>
    <mergeCell ref="B8:E8"/>
    <mergeCell ref="F8:G8"/>
    <mergeCell ref="H8:I8"/>
    <mergeCell ref="J8:K8"/>
    <mergeCell ref="L8:M8"/>
    <mergeCell ref="N8:O8"/>
    <mergeCell ref="P8:Q8"/>
    <mergeCell ref="I38:K38"/>
    <mergeCell ref="B32:G34"/>
    <mergeCell ref="H32:H34"/>
    <mergeCell ref="I32:I34"/>
    <mergeCell ref="J32:K34"/>
    <mergeCell ref="I35:K37"/>
    <mergeCell ref="B35:G37"/>
    <mergeCell ref="H35:H37"/>
    <mergeCell ref="B39:G41"/>
    <mergeCell ref="H39:H41"/>
    <mergeCell ref="I39:I44"/>
    <mergeCell ref="J39:K44"/>
    <mergeCell ref="B42:G42"/>
    <mergeCell ref="B7:E7"/>
    <mergeCell ref="F7:G7"/>
    <mergeCell ref="H7:I7"/>
    <mergeCell ref="J7:K7"/>
    <mergeCell ref="L7:M7"/>
    <mergeCell ref="N7:O7"/>
    <mergeCell ref="P7:Q7"/>
    <mergeCell ref="B23:E23"/>
    <mergeCell ref="F23:Q23"/>
    <mergeCell ref="B15:E15"/>
    <mergeCell ref="F15:Q15"/>
    <mergeCell ref="B16:E16"/>
    <mergeCell ref="F16:Q16"/>
    <mergeCell ref="F17:I18"/>
    <mergeCell ref="J17:M18"/>
    <mergeCell ref="N17:Q18"/>
    <mergeCell ref="F19:I19"/>
    <mergeCell ref="J19:M19"/>
    <mergeCell ref="N19:Q19"/>
    <mergeCell ref="T39:T44"/>
    <mergeCell ref="L38:P38"/>
    <mergeCell ref="U39:U44"/>
    <mergeCell ref="L41:P42"/>
    <mergeCell ref="Q41:Q42"/>
    <mergeCell ref="R41:S42"/>
    <mergeCell ref="L43:P44"/>
    <mergeCell ref="Q43:Q44"/>
    <mergeCell ref="R43:S44"/>
    <mergeCell ref="L39:P40"/>
    <mergeCell ref="Q39:Q40"/>
    <mergeCell ref="R39:S40"/>
    <mergeCell ref="B43:G44"/>
    <mergeCell ref="H43:H44"/>
    <mergeCell ref="B45:G45"/>
    <mergeCell ref="I45:K45"/>
    <mergeCell ref="B46:G46"/>
    <mergeCell ref="I46:I63"/>
    <mergeCell ref="J46:K63"/>
    <mergeCell ref="R46:S47"/>
    <mergeCell ref="R48:S49"/>
    <mergeCell ref="H58:H59"/>
    <mergeCell ref="B60:G61"/>
    <mergeCell ref="H60:H61"/>
    <mergeCell ref="L62:P63"/>
    <mergeCell ref="Q62:Q63"/>
    <mergeCell ref="Q56:Q57"/>
    <mergeCell ref="R56:S57"/>
    <mergeCell ref="L58:P59"/>
    <mergeCell ref="Q58:Q59"/>
    <mergeCell ref="R58:S59"/>
    <mergeCell ref="B50:G57"/>
    <mergeCell ref="H50:H57"/>
    <mergeCell ref="L56:P57"/>
    <mergeCell ref="Q53:Q55"/>
    <mergeCell ref="R50:S52"/>
    <mergeCell ref="B62:G63"/>
    <mergeCell ref="H62:H63"/>
    <mergeCell ref="I64:K66"/>
    <mergeCell ref="T46:T63"/>
    <mergeCell ref="U46:U63"/>
    <mergeCell ref="B47:G49"/>
    <mergeCell ref="H47:H49"/>
    <mergeCell ref="L46:P47"/>
    <mergeCell ref="Q46:Q47"/>
    <mergeCell ref="L48:P49"/>
    <mergeCell ref="Q48:Q49"/>
    <mergeCell ref="L50:P52"/>
    <mergeCell ref="Q50:Q52"/>
    <mergeCell ref="L53:P55"/>
    <mergeCell ref="R53:S55"/>
    <mergeCell ref="L60:P61"/>
    <mergeCell ref="Q60:Q61"/>
    <mergeCell ref="B58:G59"/>
    <mergeCell ref="R60:S61"/>
    <mergeCell ref="R62:S63"/>
    <mergeCell ref="B64:G66"/>
    <mergeCell ref="H64:H66"/>
    <mergeCell ref="B96:G97"/>
    <mergeCell ref="H96:H97"/>
    <mergeCell ref="H104:H105"/>
    <mergeCell ref="H106:H107"/>
    <mergeCell ref="H108:H109"/>
    <mergeCell ref="I93:I109"/>
    <mergeCell ref="J93:K109"/>
    <mergeCell ref="T93:T109"/>
    <mergeCell ref="B67:G67"/>
    <mergeCell ref="I67:K67"/>
    <mergeCell ref="B68:G71"/>
    <mergeCell ref="H68:H71"/>
    <mergeCell ref="L68:P69"/>
    <mergeCell ref="Q68:Q69"/>
    <mergeCell ref="B82:G82"/>
    <mergeCell ref="B83:G84"/>
    <mergeCell ref="H83:H84"/>
    <mergeCell ref="B78:G80"/>
    <mergeCell ref="H78:H80"/>
    <mergeCell ref="B81:G81"/>
    <mergeCell ref="J68:K88"/>
    <mergeCell ref="I68:I88"/>
    <mergeCell ref="B85:G86"/>
    <mergeCell ref="I89:K91"/>
    <mergeCell ref="B73:G77"/>
    <mergeCell ref="H73:H77"/>
    <mergeCell ref="B92:G92"/>
    <mergeCell ref="I92:K92"/>
    <mergeCell ref="L70:P71"/>
    <mergeCell ref="Q70:Q71"/>
    <mergeCell ref="R70:S71"/>
    <mergeCell ref="H85:H86"/>
    <mergeCell ref="B87:G88"/>
    <mergeCell ref="H87:H88"/>
    <mergeCell ref="L92:P92"/>
    <mergeCell ref="R92:S92"/>
    <mergeCell ref="R77:S79"/>
    <mergeCell ref="L80:P84"/>
    <mergeCell ref="Q80:Q84"/>
    <mergeCell ref="L72:P74"/>
    <mergeCell ref="Q72:Q74"/>
    <mergeCell ref="R72:S74"/>
    <mergeCell ref="L75:P76"/>
    <mergeCell ref="Q75:Q76"/>
    <mergeCell ref="L77:P79"/>
    <mergeCell ref="Q77:Q79"/>
    <mergeCell ref="R75:S76"/>
    <mergeCell ref="L89:P91"/>
    <mergeCell ref="T111:T113"/>
    <mergeCell ref="U111:U113"/>
    <mergeCell ref="A114:A115"/>
    <mergeCell ref="B114:G115"/>
    <mergeCell ref="H114:H115"/>
    <mergeCell ref="I114:I115"/>
    <mergeCell ref="J114:K115"/>
    <mergeCell ref="L114:P115"/>
    <mergeCell ref="A111:A113"/>
    <mergeCell ref="B111:G113"/>
    <mergeCell ref="H111:H113"/>
    <mergeCell ref="I111:I113"/>
    <mergeCell ref="J111:K113"/>
    <mergeCell ref="L111:P111"/>
    <mergeCell ref="Q114:Q115"/>
    <mergeCell ref="R114:S115"/>
    <mergeCell ref="R111:S111"/>
    <mergeCell ref="T120:T123"/>
    <mergeCell ref="U120:U123"/>
    <mergeCell ref="T114:T115"/>
    <mergeCell ref="U114:U115"/>
    <mergeCell ref="A116:A119"/>
    <mergeCell ref="B116:G119"/>
    <mergeCell ref="H116:H119"/>
    <mergeCell ref="I116:I119"/>
    <mergeCell ref="J116:K119"/>
    <mergeCell ref="T139:T140"/>
    <mergeCell ref="U139:U140"/>
    <mergeCell ref="B139:H140"/>
    <mergeCell ref="I139:I140"/>
    <mergeCell ref="J139:K140"/>
    <mergeCell ref="L139:P140"/>
    <mergeCell ref="Q139:Q140"/>
    <mergeCell ref="T116:T119"/>
    <mergeCell ref="U116:U119"/>
    <mergeCell ref="B120:G123"/>
    <mergeCell ref="H120:H123"/>
    <mergeCell ref="I120:I123"/>
    <mergeCell ref="J120:K123"/>
    <mergeCell ref="L118:P119"/>
    <mergeCell ref="Q118:Q119"/>
    <mergeCell ref="L116:P117"/>
    <mergeCell ref="Q116:Q117"/>
    <mergeCell ref="R116:S117"/>
    <mergeCell ref="R118:S119"/>
    <mergeCell ref="R120:S121"/>
    <mergeCell ref="R122:S123"/>
    <mergeCell ref="B124:G125"/>
    <mergeCell ref="H124:H125"/>
    <mergeCell ref="I124:I125"/>
    <mergeCell ref="T124:T125"/>
    <mergeCell ref="U124:U125"/>
    <mergeCell ref="B126:G126"/>
    <mergeCell ref="I126:K126"/>
    <mergeCell ref="B135:G138"/>
    <mergeCell ref="H135:H138"/>
    <mergeCell ref="T127:T138"/>
    <mergeCell ref="U127:U138"/>
    <mergeCell ref="B131:G134"/>
    <mergeCell ref="H131:H134"/>
    <mergeCell ref="B127:G130"/>
    <mergeCell ref="H127:H130"/>
    <mergeCell ref="I127:I138"/>
    <mergeCell ref="J127:K138"/>
    <mergeCell ref="J124:K125"/>
    <mergeCell ref="L124:P125"/>
    <mergeCell ref="Q124:Q125"/>
    <mergeCell ref="L129:P138"/>
    <mergeCell ref="Q129:Q138"/>
    <mergeCell ref="R129:S138"/>
    <mergeCell ref="L126:P126"/>
    <mergeCell ref="R126:S126"/>
    <mergeCell ref="B171:F171"/>
    <mergeCell ref="H171:J171"/>
    <mergeCell ref="R85:S86"/>
    <mergeCell ref="R87:S88"/>
    <mergeCell ref="B89:G91"/>
    <mergeCell ref="H89:H91"/>
    <mergeCell ref="R94:S94"/>
    <mergeCell ref="L95:P97"/>
    <mergeCell ref="L98:P104"/>
    <mergeCell ref="L105:P107"/>
    <mergeCell ref="Q98:Q104"/>
    <mergeCell ref="Q105:Q107"/>
    <mergeCell ref="R113:S113"/>
    <mergeCell ref="B110:G110"/>
    <mergeCell ref="I110:K110"/>
    <mergeCell ref="B104:G105"/>
    <mergeCell ref="H156:J156"/>
    <mergeCell ref="L85:P86"/>
    <mergeCell ref="Q85:Q86"/>
    <mergeCell ref="L87:P88"/>
    <mergeCell ref="Q87:Q88"/>
    <mergeCell ref="H93:H95"/>
    <mergeCell ref="L93:P93"/>
    <mergeCell ref="B142:R143"/>
    <mergeCell ref="B173:F174"/>
    <mergeCell ref="H173:J174"/>
    <mergeCell ref="B169:F169"/>
    <mergeCell ref="H169:J169"/>
    <mergeCell ref="R139:S140"/>
    <mergeCell ref="B152:F152"/>
    <mergeCell ref="H152:J152"/>
    <mergeCell ref="G153:J153"/>
    <mergeCell ref="B154:F154"/>
    <mergeCell ref="H154:J154"/>
    <mergeCell ref="B165:F165"/>
    <mergeCell ref="H165:J165"/>
    <mergeCell ref="B167:F167"/>
    <mergeCell ref="H167:J167"/>
    <mergeCell ref="G168:J168"/>
    <mergeCell ref="B156:F156"/>
    <mergeCell ref="B148:F148"/>
    <mergeCell ref="B158:F159"/>
    <mergeCell ref="H158:J159"/>
    <mergeCell ref="B163:F163"/>
    <mergeCell ref="H163:J163"/>
    <mergeCell ref="H148:J148"/>
    <mergeCell ref="B150:F150"/>
    <mergeCell ref="H150:J150"/>
    <mergeCell ref="U89:U91"/>
    <mergeCell ref="U68:U88"/>
    <mergeCell ref="T64:T66"/>
    <mergeCell ref="U64:U66"/>
    <mergeCell ref="T68:T88"/>
    <mergeCell ref="R108:S109"/>
    <mergeCell ref="R95:S97"/>
    <mergeCell ref="R98:S104"/>
    <mergeCell ref="R105:S107"/>
    <mergeCell ref="T89:T91"/>
    <mergeCell ref="U93:U109"/>
    <mergeCell ref="R93:S93"/>
    <mergeCell ref="A32:A110"/>
    <mergeCell ref="A126:A140"/>
    <mergeCell ref="L127:P127"/>
    <mergeCell ref="R127:S127"/>
    <mergeCell ref="L128:P128"/>
    <mergeCell ref="R128:S128"/>
    <mergeCell ref="L120:P121"/>
    <mergeCell ref="Q120:Q121"/>
    <mergeCell ref="L122:P123"/>
    <mergeCell ref="Q122:Q123"/>
    <mergeCell ref="L112:P112"/>
    <mergeCell ref="R112:S112"/>
    <mergeCell ref="L113:P113"/>
    <mergeCell ref="R80:S84"/>
    <mergeCell ref="B106:G107"/>
    <mergeCell ref="B108:G109"/>
    <mergeCell ref="B98:G103"/>
    <mergeCell ref="H98:H103"/>
    <mergeCell ref="Q95:Q97"/>
    <mergeCell ref="B93:G95"/>
    <mergeCell ref="R124:S125"/>
    <mergeCell ref="A120:A123"/>
    <mergeCell ref="A124:A125"/>
    <mergeCell ref="B72:G72"/>
  </mergeCells>
  <conditionalFormatting sqref="Z46">
    <cfRule type="containsText" dxfId="748" priority="136" operator="containsText" text="Ja">
      <formula>NOT(ISERROR(SEARCH("Ja",Z46)))</formula>
    </cfRule>
  </conditionalFormatting>
  <conditionalFormatting sqref="T46:T63">
    <cfRule type="expression" dxfId="747" priority="135">
      <formula>$T$46="ja"</formula>
    </cfRule>
  </conditionalFormatting>
  <conditionalFormatting sqref="T68 T93">
    <cfRule type="cellIs" dxfId="746" priority="134" operator="equal">
      <formula>"ja"</formula>
    </cfRule>
  </conditionalFormatting>
  <conditionalFormatting sqref="T127:T130 T111:T120 T124:T125">
    <cfRule type="cellIs" dxfId="745" priority="132" operator="equal">
      <formula>$V$30</formula>
    </cfRule>
  </conditionalFormatting>
  <conditionalFormatting sqref="R43">
    <cfRule type="expression" dxfId="744" priority="131">
      <formula>Q43="JA"</formula>
    </cfRule>
  </conditionalFormatting>
  <conditionalFormatting sqref="T39">
    <cfRule type="expression" dxfId="743" priority="137">
      <formula>$T$39="JA"</formula>
    </cfRule>
  </conditionalFormatting>
  <conditionalFormatting sqref="B179:B187">
    <cfRule type="cellIs" dxfId="742" priority="127" operator="greaterThan">
      <formula>0</formula>
    </cfRule>
  </conditionalFormatting>
  <conditionalFormatting sqref="C180:L187">
    <cfRule type="expression" dxfId="741" priority="125">
      <formula>$B180&gt;=1</formula>
    </cfRule>
  </conditionalFormatting>
  <conditionalFormatting sqref="C179:L187">
    <cfRule type="cellIs" dxfId="740" priority="118" operator="greaterThan">
      <formula>0</formula>
    </cfRule>
    <cfRule type="expression" dxfId="739" priority="126">
      <formula>$B179&gt;=1</formula>
    </cfRule>
  </conditionalFormatting>
  <conditionalFormatting sqref="R39">
    <cfRule type="expression" dxfId="738" priority="138">
      <formula>Q39="ja"</formula>
    </cfRule>
  </conditionalFormatting>
  <conditionalFormatting sqref="R41">
    <cfRule type="expression" dxfId="737" priority="111">
      <formula>Q41="ja"</formula>
    </cfRule>
  </conditionalFormatting>
  <conditionalFormatting sqref="R93">
    <cfRule type="expression" dxfId="736" priority="97">
      <formula>Q93="ja"</formula>
    </cfRule>
  </conditionalFormatting>
  <conditionalFormatting sqref="R95">
    <cfRule type="expression" dxfId="735" priority="96">
      <formula>Q95="ja"</formula>
    </cfRule>
  </conditionalFormatting>
  <conditionalFormatting sqref="R108">
    <cfRule type="expression" dxfId="734" priority="45">
      <formula>Q108="ja"</formula>
    </cfRule>
  </conditionalFormatting>
  <conditionalFormatting sqref="F23:Q23">
    <cfRule type="expression" dxfId="733" priority="57">
      <formula>$R$8&gt;0</formula>
    </cfRule>
  </conditionalFormatting>
  <conditionalFormatting sqref="R50">
    <cfRule type="expression" dxfId="732" priority="55">
      <formula>Q50="JA"</formula>
    </cfRule>
  </conditionalFormatting>
  <conditionalFormatting sqref="R46">
    <cfRule type="expression" dxfId="731" priority="56">
      <formula>Q46="ja"</formula>
    </cfRule>
  </conditionalFormatting>
  <conditionalFormatting sqref="R48">
    <cfRule type="expression" dxfId="730" priority="54">
      <formula>Q48="ja"</formula>
    </cfRule>
  </conditionalFormatting>
  <conditionalFormatting sqref="R56">
    <cfRule type="expression" dxfId="729" priority="52">
      <formula>Q56="JA"</formula>
    </cfRule>
  </conditionalFormatting>
  <conditionalFormatting sqref="R58">
    <cfRule type="expression" dxfId="728" priority="50">
      <formula>Q58="ja"</formula>
    </cfRule>
  </conditionalFormatting>
  <conditionalFormatting sqref="R60">
    <cfRule type="expression" dxfId="727" priority="48">
      <formula>Q60="ja"</formula>
    </cfRule>
  </conditionalFormatting>
  <conditionalFormatting sqref="R62">
    <cfRule type="expression" dxfId="726" priority="49">
      <formula>Q62="JA"</formula>
    </cfRule>
  </conditionalFormatting>
  <conditionalFormatting sqref="R75">
    <cfRule type="expression" dxfId="725" priority="33">
      <formula>Q75="ja"</formula>
    </cfRule>
  </conditionalFormatting>
  <conditionalFormatting sqref="R80">
    <cfRule type="expression" dxfId="724" priority="31">
      <formula>Q80="ja"</formula>
    </cfRule>
  </conditionalFormatting>
  <conditionalFormatting sqref="R85">
    <cfRule type="expression" dxfId="723" priority="30">
      <formula>Q85="ja"</formula>
    </cfRule>
  </conditionalFormatting>
  <conditionalFormatting sqref="R68">
    <cfRule type="expression" dxfId="722" priority="44">
      <formula>Q68="ja"</formula>
    </cfRule>
  </conditionalFormatting>
  <conditionalFormatting sqref="R70">
    <cfRule type="expression" dxfId="721" priority="43">
      <formula>Q70="ja"</formula>
    </cfRule>
  </conditionalFormatting>
  <conditionalFormatting sqref="R72">
    <cfRule type="expression" dxfId="720" priority="42">
      <formula>Q72="ja"</formula>
    </cfRule>
  </conditionalFormatting>
  <conditionalFormatting sqref="R77">
    <cfRule type="expression" dxfId="719" priority="32">
      <formula>Q77="ja"</formula>
    </cfRule>
  </conditionalFormatting>
  <conditionalFormatting sqref="R127">
    <cfRule type="expression" dxfId="718" priority="14">
      <formula>Q127="ja"</formula>
    </cfRule>
  </conditionalFormatting>
  <conditionalFormatting sqref="R128">
    <cfRule type="expression" dxfId="717" priority="13">
      <formula>Q128="ja"</formula>
    </cfRule>
  </conditionalFormatting>
  <conditionalFormatting sqref="R87">
    <cfRule type="expression" dxfId="716" priority="29">
      <formula>Q87="ja"</formula>
    </cfRule>
  </conditionalFormatting>
  <conditionalFormatting sqref="R53">
    <cfRule type="expression" dxfId="715" priority="27">
      <formula>Q53="JA"</formula>
    </cfRule>
  </conditionalFormatting>
  <conditionalFormatting sqref="R94">
    <cfRule type="expression" dxfId="714" priority="26">
      <formula>Q94="ja"</formula>
    </cfRule>
  </conditionalFormatting>
  <conditionalFormatting sqref="R98">
    <cfRule type="expression" dxfId="713" priority="25">
      <formula>Q98="ja"</formula>
    </cfRule>
  </conditionalFormatting>
  <conditionalFormatting sqref="R105">
    <cfRule type="expression" dxfId="712" priority="24">
      <formula>Q105="ja"</formula>
    </cfRule>
  </conditionalFormatting>
  <conditionalFormatting sqref="R111">
    <cfRule type="expression" dxfId="711" priority="23">
      <formula>Q111="ja"</formula>
    </cfRule>
  </conditionalFormatting>
  <conditionalFormatting sqref="R112">
    <cfRule type="expression" dxfId="710" priority="22">
      <formula>Q112="ja"</formula>
    </cfRule>
  </conditionalFormatting>
  <conditionalFormatting sqref="R129">
    <cfRule type="expression" dxfId="709" priority="12">
      <formula>Q129="ja"</formula>
    </cfRule>
  </conditionalFormatting>
  <conditionalFormatting sqref="R114">
    <cfRule type="expression" dxfId="708" priority="8">
      <formula>Q114="ja"</formula>
    </cfRule>
  </conditionalFormatting>
  <conditionalFormatting sqref="R113">
    <cfRule type="expression" dxfId="707" priority="7">
      <formula>Q113="ja"</formula>
    </cfRule>
  </conditionalFormatting>
  <conditionalFormatting sqref="R116">
    <cfRule type="expression" dxfId="706" priority="6">
      <formula>Q116="ja"</formula>
    </cfRule>
  </conditionalFormatting>
  <conditionalFormatting sqref="R118">
    <cfRule type="expression" dxfId="705" priority="5">
      <formula>Q118="ja"</formula>
    </cfRule>
  </conditionalFormatting>
  <conditionalFormatting sqref="R120">
    <cfRule type="expression" dxfId="704" priority="4">
      <formula>Q120="ja"</formula>
    </cfRule>
  </conditionalFormatting>
  <conditionalFormatting sqref="R122">
    <cfRule type="expression" dxfId="703" priority="3">
      <formula>Q122="ja"</formula>
    </cfRule>
  </conditionalFormatting>
  <conditionalFormatting sqref="R124">
    <cfRule type="expression" dxfId="702" priority="2">
      <formula>Q124="ja"</formula>
    </cfRule>
  </conditionalFormatting>
  <dataValidations count="2">
    <dataValidation type="list" allowBlank="1" showInputMessage="1" showErrorMessage="1" sqref="F15:Q15" xr:uid="{9FC21AEF-A748-44DA-AA7B-897A923A3C2E}">
      <formula1>$V$15:$V$19</formula1>
    </dataValidation>
    <dataValidation type="list" allowBlank="1" showInputMessage="1" showErrorMessage="1" sqref="H50:H58 H42:H43 H78 H68:H73 H98 H93 H96 Q39 Q41 Q43 Q48 Q50 Q58 Q60 H60 Q53 Q105 Q80 H108 Q85 Q93:Q95 Q98 H124:H125 H127:H138 Q120 Q127:Q129 H62 Q75 H46:H47 Q70 Q68 H87 H81:H85 Q87 H104 H106 Q77 Q72 Q46 Q108 Q118 Q56 Q62 H111:H120 H39 Q111:Q114 Q116 Q122 Q124" xr:uid="{9E46E68C-66BB-450B-83EE-06AF0F68C845}">
      <formula1>$V$29:$V$31</formula1>
    </dataValidation>
  </dataValidations>
  <pageMargins left="0.25" right="0.25" top="0.75" bottom="0.75" header="0.3" footer="0.3"/>
  <pageSetup paperSize="9" scale="50" fitToHeight="0" orientation="portrait" r:id="rId1"/>
  <headerFooter>
    <oddFooter>&amp;LVersions-Nr.: 29.08.2016&amp;CDruckdatum: &amp;D&amp;RSeite &amp;P von &amp;N</oddFooter>
  </headerFooter>
  <rowBreaks count="2" manualBreakCount="2">
    <brk id="97" max="16383" man="1"/>
    <brk id="109" max="20" man="1"/>
  </rowBreaks>
  <extLst>
    <ext xmlns:x14="http://schemas.microsoft.com/office/spreadsheetml/2009/9/main" uri="{CCE6A557-97BC-4b89-ADB6-D9C93CAAB3DF}">
      <x14:dataValidations xmlns:xm="http://schemas.microsoft.com/office/excel/2006/main" count="3">
        <x14:dataValidation type="list" allowBlank="1" showInputMessage="1" showErrorMessage="1" xr:uid="{21A39490-6931-43A7-B599-CD9381584DC3}">
          <x14:formula1>
            <xm:f>'Berechnung - Hochbau'!$H$52:$H$56</xm:f>
          </x14:formula1>
          <xm:sqref>F16</xm:sqref>
        </x14:dataValidation>
        <x14:dataValidation type="list" allowBlank="1" showInputMessage="1" showErrorMessage="1" xr:uid="{70DF500D-97A9-4723-A3C9-B7412DAA10C4}">
          <x14:formula1>
            <xm:f>'Berechnung - Hochbau'!$B$109:$B$112</xm:f>
          </x14:formula1>
          <xm:sqref>R5:S6 W5:X6</xm:sqref>
        </x14:dataValidation>
        <x14:dataValidation type="list" allowBlank="1" showInputMessage="1" showErrorMessage="1" xr:uid="{483AD521-62B3-4CFB-9A8D-973F9F538D45}">
          <x14:formula1>
            <xm:f>'Berechnung - Hochbau'!$B$131:$B$140</xm:f>
          </x14:formula1>
          <xm:sqref>U127:U138 U111:U125 U93:U109 U68:U88 U46:U63 U39:U44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3AF4-FDC7-4F46-95DB-EDEA4C259249}">
  <sheetPr>
    <tabColor rgb="FFFFC000"/>
  </sheetPr>
  <dimension ref="A2:V602"/>
  <sheetViews>
    <sheetView workbookViewId="0"/>
  </sheetViews>
  <sheetFormatPr baseColWidth="10" defaultColWidth="11.44140625" defaultRowHeight="13.9" x14ac:dyDescent="0.25"/>
  <cols>
    <col min="1" max="1" width="3.21875" style="641" customWidth="1"/>
    <col min="2" max="2" width="30.44140625" style="641" customWidth="1"/>
    <col min="3" max="3" width="10.5546875" style="641" bestFit="1" customWidth="1"/>
    <col min="4" max="5" width="15.77734375" style="641" customWidth="1"/>
    <col min="6" max="6" width="10.5546875" style="641" bestFit="1" customWidth="1"/>
    <col min="7" max="7" width="17" style="641" customWidth="1"/>
    <col min="8" max="8" width="15.77734375" style="641" customWidth="1"/>
    <col min="9" max="9" width="11.44140625" style="641" customWidth="1"/>
    <col min="10" max="11" width="15.77734375" style="641" customWidth="1"/>
    <col min="12" max="12" width="10.5546875" style="641" bestFit="1" customWidth="1"/>
    <col min="13" max="14" width="15.77734375" style="641" customWidth="1"/>
    <col min="15" max="15" width="10.5546875" style="641" bestFit="1" customWidth="1"/>
    <col min="16" max="17" width="15.77734375" style="641" customWidth="1"/>
    <col min="18" max="19" width="11.44140625" style="641"/>
    <col min="20" max="20" width="49" style="641" bestFit="1" customWidth="1"/>
    <col min="21" max="21" width="27.44140625" style="641" bestFit="1" customWidth="1"/>
    <col min="22" max="22" width="98.77734375" style="641" customWidth="1"/>
    <col min="23" max="16384" width="11.44140625" style="641"/>
  </cols>
  <sheetData>
    <row r="2" spans="1:17" x14ac:dyDescent="0.25">
      <c r="B2" s="630" t="s">
        <v>587</v>
      </c>
    </row>
    <row r="3" spans="1:17" ht="14.55" thickBot="1" x14ac:dyDescent="0.3"/>
    <row r="4" spans="1:17" ht="14.55" x14ac:dyDescent="0.25">
      <c r="A4" s="651"/>
      <c r="B4" s="1443" t="s">
        <v>300</v>
      </c>
      <c r="C4" s="593"/>
      <c r="D4" s="1448" t="s">
        <v>301</v>
      </c>
      <c r="E4" s="1449"/>
      <c r="F4" s="593"/>
      <c r="G4" s="1448" t="s">
        <v>302</v>
      </c>
      <c r="H4" s="1449"/>
      <c r="I4" s="593"/>
      <c r="J4" s="1448" t="s">
        <v>303</v>
      </c>
      <c r="K4" s="1449"/>
      <c r="L4" s="593"/>
      <c r="M4" s="1448" t="s">
        <v>304</v>
      </c>
      <c r="N4" s="1449"/>
      <c r="O4" s="593"/>
      <c r="P4" s="1448" t="s">
        <v>305</v>
      </c>
      <c r="Q4" s="1449"/>
    </row>
    <row r="5" spans="1:17" ht="14.55" x14ac:dyDescent="0.25">
      <c r="A5" s="651"/>
      <c r="B5" s="1444"/>
      <c r="C5" s="593"/>
      <c r="D5" s="1450" t="s">
        <v>306</v>
      </c>
      <c r="E5" s="1451"/>
      <c r="F5" s="593"/>
      <c r="G5" s="1450" t="s">
        <v>307</v>
      </c>
      <c r="H5" s="1451"/>
      <c r="I5" s="593"/>
      <c r="J5" s="1450" t="s">
        <v>308</v>
      </c>
      <c r="K5" s="1451"/>
      <c r="L5" s="593"/>
      <c r="M5" s="1450" t="s">
        <v>309</v>
      </c>
      <c r="N5" s="1451"/>
      <c r="O5" s="593"/>
      <c r="P5" s="1450" t="s">
        <v>310</v>
      </c>
      <c r="Q5" s="1451"/>
    </row>
    <row r="6" spans="1:17" ht="14.55" x14ac:dyDescent="0.25">
      <c r="A6" s="651"/>
      <c r="B6" s="1444"/>
      <c r="C6" s="593"/>
      <c r="D6" s="595" t="s">
        <v>311</v>
      </c>
      <c r="E6" s="596" t="s">
        <v>312</v>
      </c>
      <c r="F6" s="593"/>
      <c r="G6" s="595" t="s">
        <v>311</v>
      </c>
      <c r="H6" s="596" t="s">
        <v>312</v>
      </c>
      <c r="I6" s="593"/>
      <c r="J6" s="595" t="s">
        <v>311</v>
      </c>
      <c r="K6" s="596" t="s">
        <v>312</v>
      </c>
      <c r="L6" s="593"/>
      <c r="M6" s="595" t="s">
        <v>311</v>
      </c>
      <c r="N6" s="596" t="s">
        <v>312</v>
      </c>
      <c r="O6" s="593"/>
      <c r="P6" s="595" t="s">
        <v>311</v>
      </c>
      <c r="Q6" s="596" t="s">
        <v>312</v>
      </c>
    </row>
    <row r="7" spans="1:17" ht="15.2" thickBot="1" x14ac:dyDescent="0.3">
      <c r="A7" s="651"/>
      <c r="B7" s="1445"/>
      <c r="C7" s="593"/>
      <c r="D7" s="1446" t="s">
        <v>3</v>
      </c>
      <c r="E7" s="1447"/>
      <c r="F7" s="593"/>
      <c r="G7" s="1446" t="s">
        <v>3</v>
      </c>
      <c r="H7" s="1447"/>
      <c r="I7" s="593"/>
      <c r="J7" s="1446" t="s">
        <v>3</v>
      </c>
      <c r="K7" s="1447"/>
      <c r="L7" s="593"/>
      <c r="M7" s="1446" t="s">
        <v>3</v>
      </c>
      <c r="N7" s="1447"/>
      <c r="O7" s="593"/>
      <c r="P7" s="1446" t="s">
        <v>3</v>
      </c>
      <c r="Q7" s="1447"/>
    </row>
    <row r="8" spans="1:17" ht="14.55" x14ac:dyDescent="0.25">
      <c r="A8" s="651"/>
      <c r="B8" s="713">
        <v>10000</v>
      </c>
      <c r="C8" s="564"/>
      <c r="D8" s="565">
        <v>1461</v>
      </c>
      <c r="E8" s="566">
        <v>1624</v>
      </c>
      <c r="F8" s="564"/>
      <c r="G8" s="565">
        <f>E8</f>
        <v>1624</v>
      </c>
      <c r="H8" s="566">
        <v>2064</v>
      </c>
      <c r="I8" s="564"/>
      <c r="J8" s="565">
        <f>H8</f>
        <v>2064</v>
      </c>
      <c r="K8" s="566">
        <v>2575</v>
      </c>
      <c r="L8" s="564"/>
      <c r="M8" s="565">
        <f>K8</f>
        <v>2575</v>
      </c>
      <c r="N8" s="566">
        <v>3015</v>
      </c>
      <c r="O8" s="564"/>
      <c r="P8" s="565">
        <f>N8</f>
        <v>3015</v>
      </c>
      <c r="Q8" s="566">
        <v>3178</v>
      </c>
    </row>
    <row r="9" spans="1:17" ht="14.55" x14ac:dyDescent="0.25">
      <c r="A9" s="651"/>
      <c r="B9" s="713">
        <v>15000</v>
      </c>
      <c r="C9" s="564"/>
      <c r="D9" s="569">
        <v>2011</v>
      </c>
      <c r="E9" s="570">
        <v>2234</v>
      </c>
      <c r="F9" s="564"/>
      <c r="G9" s="565">
        <f t="shared" ref="G9:G26" si="0">E9</f>
        <v>2234</v>
      </c>
      <c r="H9" s="570">
        <v>2841</v>
      </c>
      <c r="I9" s="564"/>
      <c r="J9" s="565">
        <f t="shared" ref="J9:J46" si="1">H9</f>
        <v>2841</v>
      </c>
      <c r="K9" s="570">
        <v>3543</v>
      </c>
      <c r="L9" s="564"/>
      <c r="M9" s="565">
        <f t="shared" ref="M9:M46" si="2">K9</f>
        <v>3543</v>
      </c>
      <c r="N9" s="570">
        <v>4149</v>
      </c>
      <c r="O9" s="564"/>
      <c r="P9" s="565">
        <f t="shared" ref="P9:P46" si="3">N9</f>
        <v>4149</v>
      </c>
      <c r="Q9" s="570">
        <v>4373</v>
      </c>
    </row>
    <row r="10" spans="1:17" ht="14.55" x14ac:dyDescent="0.25">
      <c r="A10" s="651"/>
      <c r="B10" s="713">
        <v>25000</v>
      </c>
      <c r="C10" s="564"/>
      <c r="D10" s="569">
        <v>3006</v>
      </c>
      <c r="E10" s="570">
        <v>3340</v>
      </c>
      <c r="F10" s="564"/>
      <c r="G10" s="565">
        <f t="shared" si="0"/>
        <v>3340</v>
      </c>
      <c r="H10" s="570">
        <v>4247</v>
      </c>
      <c r="I10" s="564"/>
      <c r="J10" s="565">
        <f t="shared" si="1"/>
        <v>4247</v>
      </c>
      <c r="K10" s="570">
        <v>5296</v>
      </c>
      <c r="L10" s="564"/>
      <c r="M10" s="565">
        <f t="shared" si="2"/>
        <v>5296</v>
      </c>
      <c r="N10" s="570">
        <v>6203</v>
      </c>
      <c r="O10" s="564"/>
      <c r="P10" s="565">
        <f t="shared" si="3"/>
        <v>6203</v>
      </c>
      <c r="Q10" s="570">
        <v>6537</v>
      </c>
    </row>
    <row r="11" spans="1:17" ht="14.55" x14ac:dyDescent="0.25">
      <c r="A11" s="651"/>
      <c r="B11" s="571">
        <v>50000</v>
      </c>
      <c r="C11" s="564"/>
      <c r="D11" s="569">
        <v>5187</v>
      </c>
      <c r="E11" s="570">
        <v>5763</v>
      </c>
      <c r="F11" s="564"/>
      <c r="G11" s="565">
        <f t="shared" si="0"/>
        <v>5763</v>
      </c>
      <c r="H11" s="570">
        <v>7327</v>
      </c>
      <c r="I11" s="564"/>
      <c r="J11" s="565">
        <f t="shared" si="1"/>
        <v>7327</v>
      </c>
      <c r="K11" s="570">
        <v>9139</v>
      </c>
      <c r="L11" s="564"/>
      <c r="M11" s="565">
        <f t="shared" si="2"/>
        <v>9139</v>
      </c>
      <c r="N11" s="570">
        <v>10703</v>
      </c>
      <c r="O11" s="564"/>
      <c r="P11" s="565">
        <f t="shared" si="3"/>
        <v>10703</v>
      </c>
      <c r="Q11" s="570">
        <v>11279</v>
      </c>
    </row>
    <row r="12" spans="1:17" ht="14.55" x14ac:dyDescent="0.25">
      <c r="A12" s="651"/>
      <c r="B12" s="571">
        <v>75000</v>
      </c>
      <c r="C12" s="564"/>
      <c r="D12" s="569">
        <v>7135</v>
      </c>
      <c r="E12" s="570">
        <v>7928</v>
      </c>
      <c r="F12" s="564"/>
      <c r="G12" s="565">
        <f t="shared" si="0"/>
        <v>7928</v>
      </c>
      <c r="H12" s="570">
        <v>10080</v>
      </c>
      <c r="I12" s="564"/>
      <c r="J12" s="565">
        <f t="shared" si="1"/>
        <v>10080</v>
      </c>
      <c r="K12" s="570">
        <v>12572</v>
      </c>
      <c r="L12" s="564"/>
      <c r="M12" s="565">
        <f t="shared" si="2"/>
        <v>12572</v>
      </c>
      <c r="N12" s="570">
        <v>14724</v>
      </c>
      <c r="O12" s="564"/>
      <c r="P12" s="565">
        <f t="shared" si="3"/>
        <v>14724</v>
      </c>
      <c r="Q12" s="570">
        <v>15517</v>
      </c>
    </row>
    <row r="13" spans="1:17" ht="14.55" x14ac:dyDescent="0.25">
      <c r="A13" s="651"/>
      <c r="B13" s="571">
        <v>100000</v>
      </c>
      <c r="C13" s="564"/>
      <c r="D13" s="569">
        <v>8946</v>
      </c>
      <c r="E13" s="570">
        <v>9940</v>
      </c>
      <c r="F13" s="564"/>
      <c r="G13" s="565">
        <f t="shared" si="0"/>
        <v>9940</v>
      </c>
      <c r="H13" s="570">
        <v>12639</v>
      </c>
      <c r="I13" s="564"/>
      <c r="J13" s="565">
        <f t="shared" si="1"/>
        <v>12639</v>
      </c>
      <c r="K13" s="570">
        <v>15763</v>
      </c>
      <c r="L13" s="564"/>
      <c r="M13" s="565">
        <f t="shared" si="2"/>
        <v>15763</v>
      </c>
      <c r="N13" s="570">
        <v>18461</v>
      </c>
      <c r="O13" s="564"/>
      <c r="P13" s="565">
        <f t="shared" si="3"/>
        <v>18461</v>
      </c>
      <c r="Q13" s="570">
        <v>19455</v>
      </c>
    </row>
    <row r="14" spans="1:17" ht="14.55" x14ac:dyDescent="0.25">
      <c r="A14" s="651"/>
      <c r="B14" s="571">
        <v>150000</v>
      </c>
      <c r="C14" s="564"/>
      <c r="D14" s="569">
        <v>12303</v>
      </c>
      <c r="E14" s="570">
        <v>13670</v>
      </c>
      <c r="F14" s="564"/>
      <c r="G14" s="565">
        <f t="shared" si="0"/>
        <v>13670</v>
      </c>
      <c r="H14" s="570">
        <v>17380</v>
      </c>
      <c r="I14" s="564"/>
      <c r="J14" s="565">
        <f t="shared" si="1"/>
        <v>17380</v>
      </c>
      <c r="K14" s="570">
        <v>21677</v>
      </c>
      <c r="L14" s="564"/>
      <c r="M14" s="565">
        <f t="shared" si="2"/>
        <v>21677</v>
      </c>
      <c r="N14" s="570">
        <v>25387</v>
      </c>
      <c r="O14" s="564"/>
      <c r="P14" s="565">
        <f t="shared" si="3"/>
        <v>25387</v>
      </c>
      <c r="Q14" s="570">
        <v>26754</v>
      </c>
    </row>
    <row r="15" spans="1:17" ht="14.55" x14ac:dyDescent="0.25">
      <c r="A15" s="651"/>
      <c r="B15" s="571">
        <v>250000</v>
      </c>
      <c r="C15" s="564"/>
      <c r="D15" s="569">
        <v>19307</v>
      </c>
      <c r="E15" s="570">
        <v>20411</v>
      </c>
      <c r="F15" s="564"/>
      <c r="G15" s="565">
        <f t="shared" si="0"/>
        <v>20411</v>
      </c>
      <c r="H15" s="570">
        <v>25951</v>
      </c>
      <c r="I15" s="564"/>
      <c r="J15" s="565">
        <f t="shared" si="1"/>
        <v>25951</v>
      </c>
      <c r="K15" s="570">
        <v>32365</v>
      </c>
      <c r="L15" s="564"/>
      <c r="M15" s="565">
        <f t="shared" si="2"/>
        <v>32365</v>
      </c>
      <c r="N15" s="570">
        <v>37906</v>
      </c>
      <c r="O15" s="564"/>
      <c r="P15" s="565">
        <f t="shared" si="3"/>
        <v>37906</v>
      </c>
      <c r="Q15" s="570">
        <v>39947</v>
      </c>
    </row>
    <row r="16" spans="1:17" ht="14.55" x14ac:dyDescent="0.25">
      <c r="A16" s="651"/>
      <c r="B16" s="571">
        <v>350000</v>
      </c>
      <c r="C16" s="564"/>
      <c r="D16" s="569">
        <v>23909</v>
      </c>
      <c r="E16" s="570">
        <v>26565</v>
      </c>
      <c r="F16" s="564"/>
      <c r="G16" s="565">
        <f t="shared" si="0"/>
        <v>26565</v>
      </c>
      <c r="H16" s="570">
        <v>33776</v>
      </c>
      <c r="I16" s="564"/>
      <c r="J16" s="565">
        <f t="shared" si="1"/>
        <v>33776</v>
      </c>
      <c r="K16" s="570">
        <v>42125</v>
      </c>
      <c r="L16" s="564"/>
      <c r="M16" s="565">
        <f t="shared" si="2"/>
        <v>42125</v>
      </c>
      <c r="N16" s="570">
        <v>49335</v>
      </c>
      <c r="O16" s="564"/>
      <c r="P16" s="565">
        <f t="shared" si="3"/>
        <v>49335</v>
      </c>
      <c r="Q16" s="570">
        <v>51992</v>
      </c>
    </row>
    <row r="17" spans="1:19" ht="14.55" x14ac:dyDescent="0.25">
      <c r="A17" s="651"/>
      <c r="B17" s="571">
        <v>500000</v>
      </c>
      <c r="C17" s="564"/>
      <c r="D17" s="569">
        <v>31594</v>
      </c>
      <c r="E17" s="570">
        <v>35105</v>
      </c>
      <c r="F17" s="564"/>
      <c r="G17" s="565">
        <f t="shared" si="0"/>
        <v>35105</v>
      </c>
      <c r="H17" s="570">
        <v>44633</v>
      </c>
      <c r="I17" s="564"/>
      <c r="J17" s="565">
        <f t="shared" si="1"/>
        <v>44633</v>
      </c>
      <c r="K17" s="570">
        <v>55666</v>
      </c>
      <c r="L17" s="564"/>
      <c r="M17" s="565">
        <f t="shared" si="2"/>
        <v>55666</v>
      </c>
      <c r="N17" s="570">
        <v>65194</v>
      </c>
      <c r="O17" s="564"/>
      <c r="P17" s="565">
        <f t="shared" si="3"/>
        <v>65194</v>
      </c>
      <c r="Q17" s="570">
        <v>68705</v>
      </c>
    </row>
    <row r="18" spans="1:19" ht="14.55" x14ac:dyDescent="0.25">
      <c r="A18" s="651"/>
      <c r="B18" s="571">
        <v>750000</v>
      </c>
      <c r="C18" s="564"/>
      <c r="D18" s="569">
        <v>43463</v>
      </c>
      <c r="E18" s="570">
        <v>46293</v>
      </c>
      <c r="F18" s="564"/>
      <c r="G18" s="565">
        <f t="shared" si="0"/>
        <v>46293</v>
      </c>
      <c r="H18" s="570">
        <v>61401</v>
      </c>
      <c r="I18" s="564"/>
      <c r="J18" s="565">
        <f t="shared" si="1"/>
        <v>61401</v>
      </c>
      <c r="K18" s="570">
        <v>76578</v>
      </c>
      <c r="L18" s="564"/>
      <c r="M18" s="565">
        <f t="shared" si="2"/>
        <v>76578</v>
      </c>
      <c r="N18" s="570">
        <v>89686</v>
      </c>
      <c r="O18" s="564"/>
      <c r="P18" s="565">
        <f t="shared" si="3"/>
        <v>89686</v>
      </c>
      <c r="Q18" s="570">
        <v>94515</v>
      </c>
    </row>
    <row r="19" spans="1:19" ht="14.55" x14ac:dyDescent="0.25">
      <c r="A19" s="651"/>
      <c r="B19" s="571">
        <v>1000000</v>
      </c>
      <c r="C19" s="564"/>
      <c r="D19" s="569">
        <v>54495</v>
      </c>
      <c r="E19" s="570">
        <v>60550</v>
      </c>
      <c r="F19" s="564"/>
      <c r="G19" s="565">
        <f t="shared" si="0"/>
        <v>60550</v>
      </c>
      <c r="H19" s="570">
        <v>76984</v>
      </c>
      <c r="I19" s="564"/>
      <c r="J19" s="565">
        <f t="shared" si="1"/>
        <v>76984</v>
      </c>
      <c r="K19" s="570">
        <v>96014</v>
      </c>
      <c r="L19" s="564"/>
      <c r="M19" s="565">
        <f t="shared" si="2"/>
        <v>96014</v>
      </c>
      <c r="N19" s="570">
        <v>112449</v>
      </c>
      <c r="O19" s="564"/>
      <c r="P19" s="565">
        <f t="shared" si="3"/>
        <v>112449</v>
      </c>
      <c r="Q19" s="570">
        <v>118504</v>
      </c>
    </row>
    <row r="20" spans="1:19" ht="14.55" x14ac:dyDescent="0.25">
      <c r="A20" s="651"/>
      <c r="B20" s="571">
        <v>1250000</v>
      </c>
      <c r="C20" s="564"/>
      <c r="D20" s="569">
        <v>65940</v>
      </c>
      <c r="E20" s="570">
        <v>72155</v>
      </c>
      <c r="F20" s="564"/>
      <c r="G20" s="565">
        <f t="shared" si="0"/>
        <v>72155</v>
      </c>
      <c r="H20" s="570">
        <v>91740</v>
      </c>
      <c r="I20" s="564"/>
      <c r="J20" s="565">
        <f t="shared" si="1"/>
        <v>91740</v>
      </c>
      <c r="K20" s="570">
        <v>114418</v>
      </c>
      <c r="L20" s="564"/>
      <c r="M20" s="565">
        <f t="shared" si="2"/>
        <v>114418</v>
      </c>
      <c r="N20" s="570">
        <v>134003</v>
      </c>
      <c r="O20" s="564"/>
      <c r="P20" s="565">
        <f t="shared" si="3"/>
        <v>134003</v>
      </c>
      <c r="Q20" s="570">
        <v>141218</v>
      </c>
    </row>
    <row r="21" spans="1:19" ht="14.55" x14ac:dyDescent="0.25">
      <c r="A21" s="651"/>
      <c r="B21" s="571">
        <v>1500000</v>
      </c>
      <c r="C21" s="564"/>
      <c r="D21" s="569">
        <v>74938</v>
      </c>
      <c r="E21" s="570">
        <v>83265</v>
      </c>
      <c r="F21" s="564"/>
      <c r="G21" s="565">
        <f t="shared" si="0"/>
        <v>83265</v>
      </c>
      <c r="H21" s="570">
        <v>105865</v>
      </c>
      <c r="I21" s="564"/>
      <c r="J21" s="565">
        <f t="shared" si="1"/>
        <v>105865</v>
      </c>
      <c r="K21" s="570">
        <v>132034</v>
      </c>
      <c r="L21" s="564"/>
      <c r="M21" s="565">
        <f t="shared" si="2"/>
        <v>132034</v>
      </c>
      <c r="N21" s="570">
        <v>154635</v>
      </c>
      <c r="O21" s="564"/>
      <c r="P21" s="565">
        <f t="shared" si="3"/>
        <v>154635</v>
      </c>
      <c r="Q21" s="570">
        <v>162961</v>
      </c>
    </row>
    <row r="22" spans="1:19" ht="14.55" x14ac:dyDescent="0.25">
      <c r="A22" s="651"/>
      <c r="B22" s="571">
        <v>2000000</v>
      </c>
      <c r="C22" s="564"/>
      <c r="D22" s="569">
        <v>93923</v>
      </c>
      <c r="E22" s="570">
        <v>104358</v>
      </c>
      <c r="F22" s="564"/>
      <c r="G22" s="565">
        <f t="shared" si="0"/>
        <v>104358</v>
      </c>
      <c r="H22" s="570">
        <v>132684</v>
      </c>
      <c r="I22" s="564"/>
      <c r="J22" s="565">
        <f t="shared" si="1"/>
        <v>132684</v>
      </c>
      <c r="K22" s="570">
        <v>165483</v>
      </c>
      <c r="L22" s="564"/>
      <c r="M22" s="565">
        <f t="shared" si="2"/>
        <v>165483</v>
      </c>
      <c r="N22" s="570">
        <v>193808</v>
      </c>
      <c r="O22" s="564"/>
      <c r="P22" s="565">
        <f t="shared" si="3"/>
        <v>193808</v>
      </c>
      <c r="Q22" s="570">
        <v>204244</v>
      </c>
    </row>
    <row r="23" spans="1:19" ht="14.55" x14ac:dyDescent="0.25">
      <c r="A23" s="651"/>
      <c r="B23" s="571">
        <v>3000000</v>
      </c>
      <c r="C23" s="564"/>
      <c r="D23" s="569">
        <v>129059</v>
      </c>
      <c r="E23" s="570">
        <v>143398</v>
      </c>
      <c r="F23" s="564"/>
      <c r="G23" s="565">
        <f t="shared" si="0"/>
        <v>143398</v>
      </c>
      <c r="H23" s="570">
        <v>182321</v>
      </c>
      <c r="I23" s="564"/>
      <c r="J23" s="565">
        <f t="shared" si="1"/>
        <v>182321</v>
      </c>
      <c r="K23" s="570">
        <v>227389</v>
      </c>
      <c r="L23" s="564"/>
      <c r="M23" s="565">
        <f t="shared" si="2"/>
        <v>227389</v>
      </c>
      <c r="N23" s="570">
        <v>266311</v>
      </c>
      <c r="O23" s="564"/>
      <c r="P23" s="565">
        <f t="shared" si="3"/>
        <v>266311</v>
      </c>
      <c r="Q23" s="570">
        <v>280651</v>
      </c>
    </row>
    <row r="24" spans="1:19" ht="14.55" x14ac:dyDescent="0.25">
      <c r="A24" s="651"/>
      <c r="B24" s="571">
        <v>5000000</v>
      </c>
      <c r="C24" s="564"/>
      <c r="D24" s="569">
        <v>192384</v>
      </c>
      <c r="E24" s="570">
        <v>216760</v>
      </c>
      <c r="F24" s="564"/>
      <c r="G24" s="565">
        <f t="shared" si="0"/>
        <v>216760</v>
      </c>
      <c r="H24" s="570">
        <v>271781</v>
      </c>
      <c r="I24" s="564"/>
      <c r="J24" s="565">
        <f t="shared" si="1"/>
        <v>271781</v>
      </c>
      <c r="K24" s="570">
        <v>338962</v>
      </c>
      <c r="L24" s="564"/>
      <c r="M24" s="565">
        <f t="shared" si="2"/>
        <v>338962</v>
      </c>
      <c r="N24" s="570">
        <v>396983</v>
      </c>
      <c r="O24" s="564"/>
      <c r="P24" s="565">
        <f t="shared" si="3"/>
        <v>396983</v>
      </c>
      <c r="Q24" s="570">
        <v>418359</v>
      </c>
    </row>
    <row r="25" spans="1:19" ht="14.55" x14ac:dyDescent="0.25">
      <c r="A25" s="651"/>
      <c r="B25" s="571">
        <v>7500000</v>
      </c>
      <c r="C25" s="564"/>
      <c r="D25" s="569">
        <v>264487</v>
      </c>
      <c r="E25" s="570">
        <v>293874</v>
      </c>
      <c r="F25" s="564"/>
      <c r="G25" s="565">
        <f t="shared" si="0"/>
        <v>293874</v>
      </c>
      <c r="H25" s="570">
        <v>373640</v>
      </c>
      <c r="I25" s="564"/>
      <c r="J25" s="565">
        <f t="shared" si="1"/>
        <v>373640</v>
      </c>
      <c r="K25" s="570">
        <v>466001</v>
      </c>
      <c r="L25" s="564"/>
      <c r="M25" s="565">
        <f t="shared" si="2"/>
        <v>466001</v>
      </c>
      <c r="N25" s="570">
        <v>545767</v>
      </c>
      <c r="O25" s="564"/>
      <c r="P25" s="565">
        <f t="shared" si="3"/>
        <v>545767</v>
      </c>
      <c r="Q25" s="570">
        <v>575154</v>
      </c>
    </row>
    <row r="26" spans="1:19" ht="14.55" x14ac:dyDescent="0.25">
      <c r="A26" s="651"/>
      <c r="B26" s="571">
        <v>10000000</v>
      </c>
      <c r="C26" s="564"/>
      <c r="D26" s="569">
        <v>331398</v>
      </c>
      <c r="E26" s="570">
        <v>368220</v>
      </c>
      <c r="F26" s="564"/>
      <c r="G26" s="565">
        <f t="shared" si="0"/>
        <v>368220</v>
      </c>
      <c r="H26" s="570">
        <v>468166</v>
      </c>
      <c r="I26" s="564"/>
      <c r="J26" s="565">
        <f t="shared" si="1"/>
        <v>468166</v>
      </c>
      <c r="K26" s="570">
        <v>583892</v>
      </c>
      <c r="L26" s="564"/>
      <c r="M26" s="565">
        <f t="shared" si="2"/>
        <v>583892</v>
      </c>
      <c r="N26" s="570">
        <v>683838</v>
      </c>
      <c r="O26" s="564"/>
      <c r="P26" s="565">
        <f t="shared" si="3"/>
        <v>683838</v>
      </c>
      <c r="Q26" s="570">
        <v>720660</v>
      </c>
    </row>
    <row r="27" spans="1:19" ht="15.2" thickBot="1" x14ac:dyDescent="0.3">
      <c r="A27" s="651"/>
      <c r="B27" s="571">
        <v>15000000</v>
      </c>
      <c r="C27" s="564"/>
      <c r="D27" s="569">
        <v>455117</v>
      </c>
      <c r="E27" s="570">
        <v>505686</v>
      </c>
      <c r="F27" s="564"/>
      <c r="G27" s="565">
        <f t="shared" ref="G27:G46" si="4">E27</f>
        <v>505686</v>
      </c>
      <c r="H27" s="570">
        <v>642943</v>
      </c>
      <c r="I27" s="564"/>
      <c r="J27" s="565">
        <f t="shared" si="1"/>
        <v>642943</v>
      </c>
      <c r="K27" s="570">
        <v>801837</v>
      </c>
      <c r="L27" s="564"/>
      <c r="M27" s="565">
        <f t="shared" si="2"/>
        <v>801837</v>
      </c>
      <c r="N27" s="570">
        <v>939131</v>
      </c>
      <c r="O27" s="564"/>
      <c r="P27" s="565">
        <f t="shared" si="3"/>
        <v>939131</v>
      </c>
      <c r="Q27" s="570">
        <v>959699</v>
      </c>
    </row>
    <row r="28" spans="1:19" ht="14.55" x14ac:dyDescent="0.25">
      <c r="A28" s="651"/>
      <c r="B28" s="571">
        <v>16000000</v>
      </c>
      <c r="C28" s="1652" t="s">
        <v>313</v>
      </c>
      <c r="D28" s="569">
        <v>478749</v>
      </c>
      <c r="E28" s="570">
        <v>478749</v>
      </c>
      <c r="F28" s="1652" t="s">
        <v>313</v>
      </c>
      <c r="G28" s="569">
        <f t="shared" si="4"/>
        <v>478749</v>
      </c>
      <c r="H28" s="570">
        <v>676328</v>
      </c>
      <c r="I28" s="1652" t="s">
        <v>313</v>
      </c>
      <c r="J28" s="569">
        <f t="shared" si="1"/>
        <v>676328</v>
      </c>
      <c r="K28" s="570">
        <v>843510</v>
      </c>
      <c r="L28" s="1652" t="s">
        <v>313</v>
      </c>
      <c r="M28" s="569">
        <f t="shared" si="2"/>
        <v>843510</v>
      </c>
      <c r="N28" s="570">
        <v>987895</v>
      </c>
      <c r="O28" s="1652" t="s">
        <v>313</v>
      </c>
      <c r="P28" s="569">
        <f t="shared" si="3"/>
        <v>987895</v>
      </c>
      <c r="Q28" s="570">
        <v>1041089</v>
      </c>
      <c r="S28" s="716"/>
    </row>
    <row r="29" spans="1:19" ht="14.55" x14ac:dyDescent="0.25">
      <c r="A29" s="651"/>
      <c r="B29" s="571">
        <v>17000000</v>
      </c>
      <c r="C29" s="1653"/>
      <c r="D29" s="569">
        <v>502064</v>
      </c>
      <c r="E29" s="570">
        <v>502064</v>
      </c>
      <c r="F29" s="1653"/>
      <c r="G29" s="569">
        <f t="shared" si="4"/>
        <v>502064</v>
      </c>
      <c r="H29" s="570">
        <v>709266</v>
      </c>
      <c r="I29" s="1653"/>
      <c r="J29" s="569">
        <f t="shared" si="1"/>
        <v>709266</v>
      </c>
      <c r="K29" s="570">
        <v>884590</v>
      </c>
      <c r="L29" s="1653"/>
      <c r="M29" s="569">
        <f t="shared" si="2"/>
        <v>884590</v>
      </c>
      <c r="N29" s="570">
        <v>1036006</v>
      </c>
      <c r="O29" s="1653"/>
      <c r="P29" s="569">
        <f t="shared" si="3"/>
        <v>1036006</v>
      </c>
      <c r="Q29" s="570">
        <v>1091791</v>
      </c>
      <c r="S29" s="716"/>
    </row>
    <row r="30" spans="1:19" ht="14.55" x14ac:dyDescent="0.25">
      <c r="A30" s="651"/>
      <c r="B30" s="571">
        <v>18000000</v>
      </c>
      <c r="C30" s="1653"/>
      <c r="D30" s="569">
        <v>525085</v>
      </c>
      <c r="E30" s="570">
        <v>525085</v>
      </c>
      <c r="F30" s="1653"/>
      <c r="G30" s="569">
        <f t="shared" si="4"/>
        <v>525085</v>
      </c>
      <c r="H30" s="570">
        <v>741787</v>
      </c>
      <c r="I30" s="1653"/>
      <c r="J30" s="569">
        <f t="shared" si="1"/>
        <v>741787</v>
      </c>
      <c r="K30" s="570">
        <v>925151</v>
      </c>
      <c r="L30" s="1653"/>
      <c r="M30" s="569">
        <f t="shared" si="2"/>
        <v>925151</v>
      </c>
      <c r="N30" s="570">
        <v>1083510</v>
      </c>
      <c r="O30" s="1653"/>
      <c r="P30" s="569">
        <f t="shared" si="3"/>
        <v>1083510</v>
      </c>
      <c r="Q30" s="570">
        <v>1141853</v>
      </c>
      <c r="S30" s="716"/>
    </row>
    <row r="31" spans="1:19" ht="14.55" x14ac:dyDescent="0.25">
      <c r="A31" s="651"/>
      <c r="B31" s="571">
        <v>19000000</v>
      </c>
      <c r="C31" s="1653"/>
      <c r="D31" s="569">
        <v>547832</v>
      </c>
      <c r="E31" s="570">
        <v>547832</v>
      </c>
      <c r="F31" s="1653"/>
      <c r="G31" s="569">
        <f t="shared" si="4"/>
        <v>547832</v>
      </c>
      <c r="H31" s="570">
        <v>773921</v>
      </c>
      <c r="I31" s="1653"/>
      <c r="J31" s="569">
        <f t="shared" si="1"/>
        <v>773921</v>
      </c>
      <c r="K31" s="570">
        <v>965228</v>
      </c>
      <c r="L31" s="1653"/>
      <c r="M31" s="569">
        <f t="shared" si="2"/>
        <v>965228</v>
      </c>
      <c r="N31" s="570">
        <v>1130447</v>
      </c>
      <c r="O31" s="1653"/>
      <c r="P31" s="569">
        <f t="shared" si="3"/>
        <v>1130447</v>
      </c>
      <c r="Q31" s="570">
        <v>1191317</v>
      </c>
      <c r="S31" s="716"/>
    </row>
    <row r="32" spans="1:19" ht="14.55" x14ac:dyDescent="0.25">
      <c r="A32" s="651"/>
      <c r="B32" s="571">
        <v>20000000</v>
      </c>
      <c r="C32" s="1653"/>
      <c r="D32" s="569">
        <v>570321</v>
      </c>
      <c r="E32" s="570">
        <v>570321</v>
      </c>
      <c r="F32" s="1653"/>
      <c r="G32" s="569">
        <f t="shared" si="4"/>
        <v>570321</v>
      </c>
      <c r="H32" s="570">
        <v>805692</v>
      </c>
      <c r="I32" s="1653"/>
      <c r="J32" s="569">
        <f t="shared" si="1"/>
        <v>805692</v>
      </c>
      <c r="K32" s="570">
        <v>1004852</v>
      </c>
      <c r="L32" s="1653"/>
      <c r="M32" s="569">
        <f t="shared" si="2"/>
        <v>1004852</v>
      </c>
      <c r="N32" s="570">
        <v>1176854</v>
      </c>
      <c r="O32" s="1653"/>
      <c r="P32" s="569">
        <f t="shared" si="3"/>
        <v>1176854</v>
      </c>
      <c r="Q32" s="570">
        <v>1240223</v>
      </c>
      <c r="S32" s="716"/>
    </row>
    <row r="33" spans="1:19" ht="14.55" x14ac:dyDescent="0.25">
      <c r="A33" s="651"/>
      <c r="B33" s="571">
        <v>25000000</v>
      </c>
      <c r="C33" s="1653"/>
      <c r="D33" s="569">
        <v>679404</v>
      </c>
      <c r="E33" s="570">
        <v>679404</v>
      </c>
      <c r="F33" s="1653"/>
      <c r="G33" s="569">
        <f t="shared" si="4"/>
        <v>679404</v>
      </c>
      <c r="H33" s="570">
        <v>959793</v>
      </c>
      <c r="I33" s="1653"/>
      <c r="J33" s="569">
        <f t="shared" si="1"/>
        <v>959793</v>
      </c>
      <c r="K33" s="570">
        <v>1197046</v>
      </c>
      <c r="L33" s="1653"/>
      <c r="M33" s="569">
        <f t="shared" si="2"/>
        <v>1197046</v>
      </c>
      <c r="N33" s="570">
        <v>1401945</v>
      </c>
      <c r="O33" s="1653"/>
      <c r="P33" s="569">
        <f t="shared" si="3"/>
        <v>1401945</v>
      </c>
      <c r="Q33" s="570">
        <v>1477435</v>
      </c>
      <c r="S33" s="716"/>
    </row>
    <row r="34" spans="1:19" ht="14.55" x14ac:dyDescent="0.25">
      <c r="A34" s="651"/>
      <c r="B34" s="571">
        <v>30000000</v>
      </c>
      <c r="C34" s="1653"/>
      <c r="D34" s="569">
        <v>783844</v>
      </c>
      <c r="E34" s="570">
        <v>783844</v>
      </c>
      <c r="F34" s="1653"/>
      <c r="G34" s="569">
        <f t="shared" si="4"/>
        <v>783844</v>
      </c>
      <c r="H34" s="570">
        <v>1107335</v>
      </c>
      <c r="I34" s="1653"/>
      <c r="J34" s="569">
        <f t="shared" si="1"/>
        <v>1107335</v>
      </c>
      <c r="K34" s="570">
        <v>1381058</v>
      </c>
      <c r="L34" s="1653"/>
      <c r="M34" s="569">
        <f t="shared" si="2"/>
        <v>1381058</v>
      </c>
      <c r="N34" s="570">
        <v>1617455</v>
      </c>
      <c r="O34" s="1653"/>
      <c r="P34" s="569">
        <f t="shared" si="3"/>
        <v>1617455</v>
      </c>
      <c r="Q34" s="570">
        <v>1704549</v>
      </c>
      <c r="S34" s="716"/>
    </row>
    <row r="35" spans="1:19" ht="14.55" x14ac:dyDescent="0.25">
      <c r="A35" s="651"/>
      <c r="B35" s="571">
        <v>35000000</v>
      </c>
      <c r="C35" s="1653"/>
      <c r="D35" s="569">
        <v>884573</v>
      </c>
      <c r="E35" s="570">
        <v>884573</v>
      </c>
      <c r="F35" s="1653"/>
      <c r="G35" s="569">
        <f t="shared" si="4"/>
        <v>884573</v>
      </c>
      <c r="H35" s="570">
        <v>1249634</v>
      </c>
      <c r="I35" s="1653"/>
      <c r="J35" s="569">
        <f t="shared" si="1"/>
        <v>1249634</v>
      </c>
      <c r="K35" s="570">
        <v>1558533</v>
      </c>
      <c r="L35" s="1653"/>
      <c r="M35" s="569">
        <f t="shared" si="2"/>
        <v>1558533</v>
      </c>
      <c r="N35" s="570">
        <v>1825309</v>
      </c>
      <c r="O35" s="1653"/>
      <c r="P35" s="569">
        <f t="shared" si="3"/>
        <v>1825309</v>
      </c>
      <c r="Q35" s="570">
        <v>1923595</v>
      </c>
      <c r="S35" s="716"/>
    </row>
    <row r="36" spans="1:19" ht="14.55" x14ac:dyDescent="0.25">
      <c r="A36" s="651"/>
      <c r="B36" s="571">
        <v>40000000</v>
      </c>
      <c r="C36" s="1653"/>
      <c r="D36" s="569">
        <v>982230</v>
      </c>
      <c r="E36" s="570">
        <v>982230</v>
      </c>
      <c r="F36" s="1653"/>
      <c r="G36" s="569">
        <f t="shared" si="4"/>
        <v>982230</v>
      </c>
      <c r="H36" s="570">
        <v>1387595</v>
      </c>
      <c r="I36" s="1653"/>
      <c r="J36" s="569">
        <f t="shared" si="1"/>
        <v>1387595</v>
      </c>
      <c r="K36" s="570">
        <v>1730596</v>
      </c>
      <c r="L36" s="1653"/>
      <c r="M36" s="569">
        <f t="shared" si="2"/>
        <v>1730596</v>
      </c>
      <c r="N36" s="570">
        <v>2026824</v>
      </c>
      <c r="O36" s="1653"/>
      <c r="P36" s="569">
        <f t="shared" si="3"/>
        <v>2026824</v>
      </c>
      <c r="Q36" s="570">
        <v>2135961</v>
      </c>
      <c r="S36" s="716"/>
    </row>
    <row r="37" spans="1:19" ht="14.55" x14ac:dyDescent="0.25">
      <c r="A37" s="651"/>
      <c r="B37" s="571">
        <v>45000000</v>
      </c>
      <c r="C37" s="1653"/>
      <c r="D37" s="569">
        <v>1077279</v>
      </c>
      <c r="E37" s="570">
        <v>1077279</v>
      </c>
      <c r="F37" s="1653"/>
      <c r="G37" s="569">
        <f t="shared" si="4"/>
        <v>1077279</v>
      </c>
      <c r="H37" s="570">
        <v>1521870</v>
      </c>
      <c r="I37" s="1653"/>
      <c r="J37" s="569">
        <f t="shared" si="1"/>
        <v>1521870</v>
      </c>
      <c r="K37" s="570">
        <v>1898063</v>
      </c>
      <c r="L37" s="1653"/>
      <c r="M37" s="569">
        <f t="shared" si="2"/>
        <v>1898063</v>
      </c>
      <c r="N37" s="570">
        <v>2222956</v>
      </c>
      <c r="O37" s="1653"/>
      <c r="P37" s="569">
        <f t="shared" si="3"/>
        <v>2222956</v>
      </c>
      <c r="Q37" s="570">
        <v>2342654</v>
      </c>
      <c r="S37" s="716"/>
    </row>
    <row r="38" spans="1:19" ht="14.55" x14ac:dyDescent="0.25">
      <c r="A38" s="651"/>
      <c r="B38" s="571">
        <v>50000000</v>
      </c>
      <c r="C38" s="1653"/>
      <c r="D38" s="569">
        <v>1170068</v>
      </c>
      <c r="E38" s="570">
        <v>1170068</v>
      </c>
      <c r="F38" s="1653"/>
      <c r="G38" s="569">
        <f t="shared" si="4"/>
        <v>1170068</v>
      </c>
      <c r="H38" s="570">
        <v>1652954</v>
      </c>
      <c r="I38" s="1653"/>
      <c r="J38" s="569">
        <f t="shared" si="1"/>
        <v>1652954</v>
      </c>
      <c r="K38" s="570">
        <v>2061549</v>
      </c>
      <c r="L38" s="1653"/>
      <c r="M38" s="569">
        <f t="shared" si="2"/>
        <v>2061549</v>
      </c>
      <c r="N38" s="570">
        <v>2414427</v>
      </c>
      <c r="O38" s="1653"/>
      <c r="P38" s="569">
        <f t="shared" si="3"/>
        <v>2414427</v>
      </c>
      <c r="Q38" s="570">
        <v>2544434</v>
      </c>
      <c r="S38" s="716"/>
    </row>
    <row r="39" spans="1:19" ht="14.55" x14ac:dyDescent="0.25">
      <c r="A39" s="651"/>
      <c r="B39" s="571">
        <v>75000000</v>
      </c>
      <c r="C39" s="1653"/>
      <c r="D39" s="569">
        <v>1608031</v>
      </c>
      <c r="E39" s="570">
        <v>1608031</v>
      </c>
      <c r="F39" s="1653"/>
      <c r="G39" s="569">
        <f t="shared" si="4"/>
        <v>1608031</v>
      </c>
      <c r="H39" s="570">
        <v>2271663</v>
      </c>
      <c r="I39" s="1653"/>
      <c r="J39" s="569">
        <f t="shared" si="1"/>
        <v>2271663</v>
      </c>
      <c r="K39" s="570">
        <v>2833197</v>
      </c>
      <c r="L39" s="1653"/>
      <c r="M39" s="569">
        <f t="shared" si="2"/>
        <v>2833197</v>
      </c>
      <c r="N39" s="570">
        <v>3318159</v>
      </c>
      <c r="O39" s="1653"/>
      <c r="P39" s="569">
        <f t="shared" si="3"/>
        <v>3318159</v>
      </c>
      <c r="Q39" s="570">
        <v>3496829</v>
      </c>
      <c r="S39" s="716"/>
    </row>
    <row r="40" spans="1:19" ht="14.55" x14ac:dyDescent="0.25">
      <c r="A40" s="651"/>
      <c r="B40" s="571">
        <v>100000000</v>
      </c>
      <c r="C40" s="1653"/>
      <c r="D40" s="569">
        <v>2014920</v>
      </c>
      <c r="E40" s="570">
        <v>2014920</v>
      </c>
      <c r="F40" s="1653"/>
      <c r="G40" s="569">
        <f t="shared" si="4"/>
        <v>2014920</v>
      </c>
      <c r="H40" s="570">
        <v>2846474</v>
      </c>
      <c r="I40" s="1653"/>
      <c r="J40" s="569">
        <f t="shared" si="1"/>
        <v>2846474</v>
      </c>
      <c r="K40" s="570">
        <v>3550097</v>
      </c>
      <c r="L40" s="1653"/>
      <c r="M40" s="569">
        <f t="shared" si="2"/>
        <v>3550097</v>
      </c>
      <c r="N40" s="570">
        <v>4157771</v>
      </c>
      <c r="O40" s="1653"/>
      <c r="P40" s="569">
        <f t="shared" si="3"/>
        <v>4157771</v>
      </c>
      <c r="Q40" s="570">
        <v>4381651</v>
      </c>
      <c r="S40" s="716"/>
    </row>
    <row r="41" spans="1:19" ht="14.55" x14ac:dyDescent="0.25">
      <c r="A41" s="651"/>
      <c r="B41" s="571">
        <v>125000000</v>
      </c>
      <c r="C41" s="1653"/>
      <c r="D41" s="569">
        <v>2400154</v>
      </c>
      <c r="E41" s="570">
        <v>2400154</v>
      </c>
      <c r="F41" s="1653"/>
      <c r="G41" s="569">
        <f t="shared" si="4"/>
        <v>2400154</v>
      </c>
      <c r="H41" s="570">
        <v>3390694</v>
      </c>
      <c r="I41" s="1653"/>
      <c r="J41" s="569">
        <f t="shared" si="1"/>
        <v>3390694</v>
      </c>
      <c r="K41" s="570">
        <v>4228843</v>
      </c>
      <c r="L41" s="1653"/>
      <c r="M41" s="569">
        <f t="shared" si="2"/>
        <v>4228843</v>
      </c>
      <c r="N41" s="570">
        <v>4952699</v>
      </c>
      <c r="O41" s="1653"/>
      <c r="P41" s="569">
        <f t="shared" si="3"/>
        <v>4952699</v>
      </c>
      <c r="Q41" s="570">
        <v>5219383</v>
      </c>
      <c r="S41" s="716"/>
    </row>
    <row r="42" spans="1:19" ht="14.55" x14ac:dyDescent="0.25">
      <c r="A42" s="651"/>
      <c r="B42" s="571">
        <v>150000000</v>
      </c>
      <c r="C42" s="1653"/>
      <c r="D42" s="569">
        <v>2768962</v>
      </c>
      <c r="E42" s="570">
        <v>2768962</v>
      </c>
      <c r="F42" s="1653"/>
      <c r="G42" s="569">
        <f t="shared" si="4"/>
        <v>2768962</v>
      </c>
      <c r="H42" s="570">
        <v>3911708</v>
      </c>
      <c r="I42" s="1653"/>
      <c r="J42" s="569">
        <f t="shared" si="1"/>
        <v>3911708</v>
      </c>
      <c r="K42" s="570">
        <v>4878647</v>
      </c>
      <c r="L42" s="1653"/>
      <c r="M42" s="569">
        <f t="shared" si="2"/>
        <v>4878647</v>
      </c>
      <c r="N42" s="570">
        <v>5713731</v>
      </c>
      <c r="O42" s="1653"/>
      <c r="P42" s="569">
        <f t="shared" si="3"/>
        <v>5713731</v>
      </c>
      <c r="Q42" s="570">
        <v>6021393</v>
      </c>
      <c r="S42" s="716"/>
    </row>
    <row r="43" spans="1:19" ht="14.55" x14ac:dyDescent="0.25">
      <c r="A43" s="651"/>
      <c r="B43" s="571">
        <v>175000000</v>
      </c>
      <c r="C43" s="1653"/>
      <c r="D43" s="569">
        <v>3124644</v>
      </c>
      <c r="E43" s="570">
        <v>3124644</v>
      </c>
      <c r="F43" s="1653"/>
      <c r="G43" s="569">
        <f t="shared" si="4"/>
        <v>3124644</v>
      </c>
      <c r="H43" s="570">
        <v>4414180</v>
      </c>
      <c r="I43" s="1653"/>
      <c r="J43" s="569">
        <f t="shared" si="1"/>
        <v>4414180</v>
      </c>
      <c r="K43" s="570">
        <v>5505326</v>
      </c>
      <c r="L43" s="1653"/>
      <c r="M43" s="569">
        <f t="shared" si="2"/>
        <v>5505326</v>
      </c>
      <c r="N43" s="570">
        <v>6447679</v>
      </c>
      <c r="O43" s="1653"/>
      <c r="P43" s="569">
        <f t="shared" si="3"/>
        <v>6447679</v>
      </c>
      <c r="Q43" s="570">
        <v>6794861</v>
      </c>
      <c r="S43" s="716"/>
    </row>
    <row r="44" spans="1:19" ht="14.55" x14ac:dyDescent="0.25">
      <c r="A44" s="651"/>
      <c r="B44" s="571">
        <v>200000000</v>
      </c>
      <c r="C44" s="1653"/>
      <c r="D44" s="569">
        <v>3469461</v>
      </c>
      <c r="E44" s="570">
        <v>3469461</v>
      </c>
      <c r="F44" s="1653"/>
      <c r="G44" s="569">
        <f t="shared" si="4"/>
        <v>3469461</v>
      </c>
      <c r="H44" s="570">
        <v>4901302</v>
      </c>
      <c r="I44" s="1653"/>
      <c r="J44" s="569">
        <f t="shared" si="1"/>
        <v>4901302</v>
      </c>
      <c r="K44" s="570">
        <v>6112860</v>
      </c>
      <c r="L44" s="1653"/>
      <c r="M44" s="569">
        <f t="shared" si="2"/>
        <v>6112860</v>
      </c>
      <c r="N44" s="570">
        <v>7159206</v>
      </c>
      <c r="O44" s="1653"/>
      <c r="P44" s="569">
        <f t="shared" si="3"/>
        <v>7159206</v>
      </c>
      <c r="Q44" s="570">
        <v>7544702</v>
      </c>
      <c r="S44" s="716"/>
    </row>
    <row r="45" spans="1:19" ht="14.55" x14ac:dyDescent="0.25">
      <c r="A45" s="651"/>
      <c r="B45" s="571">
        <v>225000000</v>
      </c>
      <c r="C45" s="1653"/>
      <c r="D45" s="569">
        <v>3805050</v>
      </c>
      <c r="E45" s="570">
        <v>3805050</v>
      </c>
      <c r="F45" s="1653"/>
      <c r="G45" s="569">
        <f t="shared" si="4"/>
        <v>3805050</v>
      </c>
      <c r="H45" s="570">
        <v>5375388</v>
      </c>
      <c r="I45" s="1653"/>
      <c r="J45" s="569">
        <f t="shared" si="1"/>
        <v>5375388</v>
      </c>
      <c r="K45" s="570">
        <v>6704136</v>
      </c>
      <c r="L45" s="1653"/>
      <c r="M45" s="569">
        <f t="shared" si="2"/>
        <v>6704136</v>
      </c>
      <c r="N45" s="570">
        <v>7851691</v>
      </c>
      <c r="O45" s="1653"/>
      <c r="P45" s="569">
        <f t="shared" si="3"/>
        <v>7851691</v>
      </c>
      <c r="Q45" s="570">
        <v>8274474</v>
      </c>
      <c r="S45" s="716"/>
    </row>
    <row r="46" spans="1:19" ht="15.2" thickBot="1" x14ac:dyDescent="0.3">
      <c r="A46" s="651"/>
      <c r="B46" s="578">
        <v>250000000</v>
      </c>
      <c r="C46" s="1654"/>
      <c r="D46" s="582">
        <v>4132647</v>
      </c>
      <c r="E46" s="583">
        <v>4132647</v>
      </c>
      <c r="F46" s="1654"/>
      <c r="G46" s="582">
        <f t="shared" si="4"/>
        <v>4132647</v>
      </c>
      <c r="H46" s="583">
        <v>5838184</v>
      </c>
      <c r="I46" s="1654"/>
      <c r="J46" s="582">
        <f t="shared" si="1"/>
        <v>5838184</v>
      </c>
      <c r="K46" s="583">
        <v>7281331</v>
      </c>
      <c r="L46" s="1654"/>
      <c r="M46" s="582">
        <f t="shared" si="2"/>
        <v>7281331</v>
      </c>
      <c r="N46" s="583">
        <v>8527685</v>
      </c>
      <c r="O46" s="1654"/>
      <c r="P46" s="582">
        <f t="shared" si="3"/>
        <v>8527685</v>
      </c>
      <c r="Q46" s="583">
        <v>8986868</v>
      </c>
      <c r="S46" s="716"/>
    </row>
    <row r="47" spans="1:19" ht="14.55" x14ac:dyDescent="0.25">
      <c r="A47" s="603"/>
      <c r="B47" s="603"/>
      <c r="C47" s="603"/>
      <c r="D47" s="603"/>
      <c r="E47" s="603"/>
      <c r="F47" s="603"/>
      <c r="G47" s="603"/>
      <c r="H47" s="603"/>
      <c r="I47" s="603"/>
      <c r="J47" s="603"/>
      <c r="K47" s="603"/>
      <c r="L47" s="603"/>
      <c r="M47" s="603"/>
      <c r="N47" s="603"/>
      <c r="O47" s="603"/>
      <c r="P47" s="603"/>
      <c r="Q47" s="603"/>
    </row>
    <row r="48" spans="1:19" ht="14.55" x14ac:dyDescent="0.25">
      <c r="A48" s="603"/>
      <c r="B48" s="633" t="s">
        <v>538</v>
      </c>
      <c r="C48" s="603"/>
      <c r="D48" s="603"/>
      <c r="E48" s="631"/>
      <c r="F48" s="603"/>
      <c r="G48" s="603"/>
      <c r="H48" s="631"/>
      <c r="I48" s="603"/>
      <c r="J48" s="603"/>
      <c r="K48" s="603"/>
      <c r="L48" s="603"/>
      <c r="M48" s="603"/>
      <c r="N48" s="603"/>
      <c r="O48" s="603"/>
      <c r="P48" s="603"/>
      <c r="Q48" s="603"/>
    </row>
    <row r="49" spans="1:17" ht="14.55" x14ac:dyDescent="0.25">
      <c r="A49" s="603"/>
      <c r="B49" s="603"/>
      <c r="C49" s="603"/>
      <c r="D49" s="603"/>
      <c r="E49" s="631"/>
      <c r="F49" s="603"/>
      <c r="G49" s="603"/>
      <c r="H49" s="631"/>
      <c r="I49" s="603"/>
      <c r="J49" s="603"/>
      <c r="K49" s="603"/>
      <c r="L49" s="603"/>
      <c r="M49" s="603"/>
      <c r="N49" s="603"/>
      <c r="O49" s="603"/>
      <c r="P49" s="603"/>
      <c r="Q49" s="603"/>
    </row>
    <row r="50" spans="1:17" ht="14.55" x14ac:dyDescent="0.25">
      <c r="A50" s="603"/>
      <c r="B50" s="603"/>
      <c r="C50" s="603"/>
      <c r="D50" s="1452"/>
      <c r="E50" s="1452"/>
      <c r="F50" s="1452"/>
      <c r="G50" s="1452"/>
      <c r="H50" s="1452"/>
      <c r="I50" s="717"/>
      <c r="J50" s="635"/>
      <c r="K50" s="635"/>
      <c r="L50" s="635"/>
      <c r="M50" s="635"/>
      <c r="N50" s="635"/>
      <c r="O50" s="603"/>
      <c r="P50" s="603"/>
      <c r="Q50" s="603"/>
    </row>
    <row r="51" spans="1:17" ht="14.55" x14ac:dyDescent="0.25">
      <c r="A51" s="603"/>
      <c r="B51" s="603"/>
      <c r="C51" s="603"/>
      <c r="D51" s="603"/>
      <c r="E51" s="631"/>
      <c r="F51" s="603"/>
      <c r="G51" s="603"/>
      <c r="H51" s="631"/>
      <c r="I51" s="603"/>
      <c r="J51" s="603"/>
      <c r="K51" s="603"/>
      <c r="L51" s="603"/>
      <c r="M51" s="603"/>
      <c r="N51" s="603"/>
      <c r="O51" s="603"/>
      <c r="P51" s="603"/>
      <c r="Q51" s="603"/>
    </row>
    <row r="52" spans="1:17" ht="14.55" x14ac:dyDescent="0.25">
      <c r="A52" s="603"/>
      <c r="B52" s="603"/>
      <c r="C52" s="555"/>
      <c r="D52" s="1417" t="s">
        <v>316</v>
      </c>
      <c r="E52" s="597">
        <v>1</v>
      </c>
      <c r="F52" s="555"/>
      <c r="G52" s="1417" t="s">
        <v>317</v>
      </c>
      <c r="H52" s="597" t="s">
        <v>135</v>
      </c>
      <c r="I52" s="555"/>
      <c r="J52" s="603"/>
      <c r="K52" s="638"/>
      <c r="L52" s="555"/>
      <c r="M52" s="603"/>
      <c r="N52" s="638"/>
      <c r="O52" s="586"/>
      <c r="P52" s="651"/>
      <c r="Q52" s="651"/>
    </row>
    <row r="53" spans="1:17" ht="14.55" x14ac:dyDescent="0.25">
      <c r="A53" s="603"/>
      <c r="B53" s="603"/>
      <c r="C53" s="555"/>
      <c r="D53" s="1417"/>
      <c r="E53" s="597">
        <v>2</v>
      </c>
      <c r="F53" s="555"/>
      <c r="G53" s="1417"/>
      <c r="H53" s="597" t="s">
        <v>318</v>
      </c>
      <c r="I53" s="555"/>
      <c r="J53" s="603"/>
      <c r="K53" s="638"/>
      <c r="L53" s="555"/>
      <c r="M53" s="603"/>
      <c r="N53" s="638"/>
      <c r="O53" s="586"/>
      <c r="P53" s="651"/>
      <c r="Q53" s="651"/>
    </row>
    <row r="54" spans="1:17" ht="14.55" x14ac:dyDescent="0.25">
      <c r="A54" s="603"/>
      <c r="B54" s="603"/>
      <c r="C54" s="603"/>
      <c r="D54" s="1417"/>
      <c r="E54" s="597">
        <v>3</v>
      </c>
      <c r="F54" s="603"/>
      <c r="G54" s="1417"/>
      <c r="H54" s="597" t="s">
        <v>319</v>
      </c>
      <c r="I54" s="603"/>
      <c r="J54" s="603"/>
      <c r="K54" s="638"/>
      <c r="L54" s="603"/>
      <c r="M54" s="603"/>
      <c r="N54" s="638"/>
      <c r="O54" s="603"/>
      <c r="P54" s="603"/>
      <c r="Q54" s="603"/>
    </row>
    <row r="55" spans="1:17" ht="14.55" x14ac:dyDescent="0.25">
      <c r="A55" s="603"/>
      <c r="B55" s="603"/>
      <c r="C55" s="603"/>
      <c r="D55" s="1417"/>
      <c r="E55" s="597">
        <v>4</v>
      </c>
      <c r="F55" s="603"/>
      <c r="G55" s="1417"/>
      <c r="H55" s="597" t="s">
        <v>320</v>
      </c>
      <c r="I55" s="603"/>
      <c r="J55" s="603"/>
      <c r="K55" s="638"/>
      <c r="L55" s="603"/>
      <c r="M55" s="603"/>
      <c r="N55" s="638"/>
      <c r="O55" s="603"/>
      <c r="P55" s="603"/>
      <c r="Q55" s="603"/>
    </row>
    <row r="56" spans="1:17" ht="14.55" x14ac:dyDescent="0.25">
      <c r="A56" s="603"/>
      <c r="B56" s="603"/>
      <c r="C56" s="603"/>
      <c r="D56" s="1417"/>
      <c r="E56" s="597">
        <v>5</v>
      </c>
      <c r="F56" s="603"/>
      <c r="G56" s="1417"/>
      <c r="H56" s="597" t="s">
        <v>321</v>
      </c>
      <c r="I56" s="603"/>
      <c r="J56" s="603"/>
      <c r="K56" s="638"/>
      <c r="L56" s="603"/>
      <c r="M56" s="603"/>
      <c r="N56" s="638"/>
      <c r="O56" s="603"/>
      <c r="P56" s="603"/>
      <c r="Q56" s="603"/>
    </row>
    <row r="57" spans="1:17" ht="15.2" thickBot="1" x14ac:dyDescent="0.35">
      <c r="B57" s="594"/>
      <c r="C57" s="594"/>
      <c r="D57" s="594"/>
      <c r="E57" s="594"/>
      <c r="F57" s="594"/>
      <c r="G57" s="1418" t="s">
        <v>322</v>
      </c>
      <c r="H57" s="1418"/>
      <c r="I57" s="1414" t="s">
        <v>323</v>
      </c>
      <c r="J57" s="1414"/>
      <c r="K57" s="1414" t="s">
        <v>324</v>
      </c>
      <c r="L57" s="1414"/>
      <c r="M57" s="594"/>
    </row>
    <row r="58" spans="1:17" ht="15.2" thickBot="1" x14ac:dyDescent="0.3">
      <c r="B58" s="1405" t="s">
        <v>325</v>
      </c>
      <c r="C58" s="1406"/>
      <c r="D58" s="1406"/>
      <c r="E58" s="1407"/>
      <c r="F58" s="603"/>
      <c r="G58" s="1400">
        <f>Tragwerksplanung!H8</f>
        <v>0</v>
      </c>
      <c r="H58" s="1401"/>
      <c r="I58" s="1400">
        <f>Tragwerksplanung!L8</f>
        <v>0</v>
      </c>
      <c r="J58" s="1401"/>
      <c r="K58" s="1400">
        <f>Tragwerksplanung!P8</f>
        <v>0</v>
      </c>
      <c r="L58" s="1401"/>
      <c r="M58" s="718"/>
      <c r="N58" s="718"/>
    </row>
    <row r="59" spans="1:17" ht="14.55" x14ac:dyDescent="0.3">
      <c r="B59" s="603"/>
      <c r="C59" s="603"/>
      <c r="D59" s="603"/>
      <c r="E59" s="603"/>
      <c r="F59" s="603"/>
      <c r="G59" s="603"/>
      <c r="H59" s="603"/>
      <c r="I59" s="594"/>
      <c r="J59" s="594"/>
      <c r="K59" s="594"/>
      <c r="L59" s="594"/>
      <c r="M59" s="603"/>
      <c r="N59" s="603"/>
    </row>
    <row r="60" spans="1:17" ht="14.55" x14ac:dyDescent="0.3">
      <c r="B60" s="633"/>
      <c r="C60" s="603"/>
      <c r="D60" s="603"/>
      <c r="E60" s="603"/>
      <c r="F60" s="603"/>
      <c r="G60" s="603"/>
      <c r="H60" s="603"/>
      <c r="I60" s="594"/>
      <c r="J60" s="594"/>
      <c r="K60" s="594"/>
      <c r="L60" s="594"/>
      <c r="M60" s="603"/>
      <c r="N60" s="603"/>
    </row>
    <row r="61" spans="1:17" ht="14.55" x14ac:dyDescent="0.3">
      <c r="B61" s="603"/>
      <c r="C61" s="603"/>
      <c r="D61" s="603"/>
      <c r="E61" s="603"/>
      <c r="F61" s="603"/>
      <c r="G61" s="603"/>
      <c r="H61" s="603"/>
      <c r="I61" s="594"/>
      <c r="J61" s="594"/>
      <c r="K61" s="594"/>
      <c r="L61" s="594"/>
      <c r="M61" s="603"/>
      <c r="N61" s="603"/>
    </row>
    <row r="62" spans="1:17" ht="14.55" x14ac:dyDescent="0.3">
      <c r="B62" s="1422" t="s">
        <v>316</v>
      </c>
      <c r="C62" s="1423"/>
      <c r="D62" s="1423"/>
      <c r="E62" s="1424"/>
      <c r="F62" s="644"/>
      <c r="G62" s="1462">
        <f>Tragwerksplanung!F15</f>
        <v>3</v>
      </c>
      <c r="H62" s="1463"/>
      <c r="I62" s="594"/>
      <c r="J62" s="594"/>
      <c r="K62" s="719"/>
      <c r="L62" s="594"/>
      <c r="M62" s="645"/>
      <c r="N62" s="645"/>
    </row>
    <row r="63" spans="1:17" ht="14.55" x14ac:dyDescent="0.3">
      <c r="B63" s="1422" t="s">
        <v>317</v>
      </c>
      <c r="C63" s="1423"/>
      <c r="D63" s="1423"/>
      <c r="E63" s="1424"/>
      <c r="F63" s="644"/>
      <c r="G63" s="1462" t="str">
        <f>Tragwerksplanung!F16</f>
        <v>Basishonorarsatz</v>
      </c>
      <c r="H63" s="1463"/>
      <c r="I63" s="594"/>
      <c r="J63" s="594"/>
      <c r="K63" s="594"/>
      <c r="L63" s="594"/>
      <c r="M63" s="645"/>
      <c r="N63" s="645"/>
    </row>
    <row r="64" spans="1:17" ht="14.55" x14ac:dyDescent="0.3">
      <c r="B64" s="603"/>
      <c r="C64" s="603"/>
      <c r="D64" s="603"/>
      <c r="E64" s="603"/>
      <c r="F64" s="603"/>
      <c r="G64" s="603"/>
      <c r="H64" s="603"/>
      <c r="I64" s="594"/>
      <c r="J64" s="594"/>
      <c r="K64" s="594"/>
      <c r="L64" s="594"/>
      <c r="M64" s="594"/>
    </row>
    <row r="65" spans="2:14" ht="14.55" x14ac:dyDescent="0.3">
      <c r="B65" s="603"/>
      <c r="C65" s="603"/>
      <c r="D65" s="603"/>
      <c r="E65" s="603"/>
      <c r="F65" s="603"/>
      <c r="G65" s="603"/>
      <c r="H65" s="603"/>
      <c r="I65" s="594"/>
      <c r="J65" s="594"/>
      <c r="K65" s="594"/>
      <c r="L65" s="594"/>
      <c r="M65" s="594"/>
    </row>
    <row r="66" spans="2:14" ht="14.55" x14ac:dyDescent="0.3">
      <c r="B66" s="633" t="s">
        <v>326</v>
      </c>
      <c r="C66" s="603"/>
      <c r="D66" s="603"/>
      <c r="E66" s="603"/>
      <c r="F66" s="603"/>
      <c r="G66" s="603"/>
      <c r="H66" s="603"/>
      <c r="I66" s="594"/>
      <c r="J66" s="594"/>
      <c r="K66" s="594"/>
      <c r="L66" s="594"/>
      <c r="M66" s="594"/>
    </row>
    <row r="67" spans="2:14" ht="14.55" x14ac:dyDescent="0.3">
      <c r="B67" s="603"/>
      <c r="C67" s="603"/>
      <c r="D67" s="603"/>
      <c r="E67" s="603"/>
      <c r="F67" s="603"/>
      <c r="G67" s="1418" t="s">
        <v>322</v>
      </c>
      <c r="H67" s="1418"/>
      <c r="I67" s="1414" t="s">
        <v>323</v>
      </c>
      <c r="J67" s="1414"/>
      <c r="K67" s="1466" t="s">
        <v>324</v>
      </c>
      <c r="L67" s="1466"/>
      <c r="M67" s="1466"/>
    </row>
    <row r="68" spans="2:14" ht="14.55" x14ac:dyDescent="0.25">
      <c r="C68" s="709"/>
      <c r="D68" s="1397" t="s">
        <v>327</v>
      </c>
      <c r="E68" s="1425" t="s">
        <v>316</v>
      </c>
      <c r="F68" s="646"/>
      <c r="G68" s="720" t="s">
        <v>328</v>
      </c>
      <c r="H68" s="721">
        <f>IF($G$58&lt;$B$8,0,IF($G$58&gt;$B$46,0,VLOOKUP($G$58,$B$8:$B$46,1)))</f>
        <v>0</v>
      </c>
      <c r="I68" s="720" t="s">
        <v>328</v>
      </c>
      <c r="J68" s="721">
        <f>IF($I$58&lt;$B$8,0,IF($I$58&gt;$B$46,0,VLOOKUP($I$58,$B$8:$B$46,1)))</f>
        <v>0</v>
      </c>
      <c r="K68" s="720" t="s">
        <v>328</v>
      </c>
      <c r="L68" s="1458">
        <f>IF($K$58&lt;$B$8,0,IF($K$58&gt;$B$46,0,VLOOKUP(K58,B8:B46,1)))</f>
        <v>0</v>
      </c>
      <c r="M68" s="1459"/>
      <c r="N68" s="646"/>
    </row>
    <row r="69" spans="2:14" ht="14.55" x14ac:dyDescent="0.25">
      <c r="B69" s="709"/>
      <c r="C69" s="709"/>
      <c r="D69" s="1398"/>
      <c r="E69" s="1426"/>
      <c r="F69" s="603"/>
      <c r="G69" s="649" t="s">
        <v>135</v>
      </c>
      <c r="H69" s="650" t="s">
        <v>321</v>
      </c>
      <c r="I69" s="649" t="s">
        <v>135</v>
      </c>
      <c r="J69" s="650" t="s">
        <v>321</v>
      </c>
      <c r="K69" s="649" t="s">
        <v>135</v>
      </c>
      <c r="L69" s="1460" t="s">
        <v>321</v>
      </c>
      <c r="M69" s="1461"/>
      <c r="N69" s="651"/>
    </row>
    <row r="70" spans="2:14" ht="14.55" x14ac:dyDescent="0.25">
      <c r="B70" s="709"/>
      <c r="C70" s="709"/>
      <c r="D70" s="1398"/>
      <c r="E70" s="759">
        <v>1</v>
      </c>
      <c r="F70" s="603"/>
      <c r="G70" s="648">
        <f>IF($G$58&lt;$B$8,0,IF($G$58&gt;$B$46,0,VLOOKUP($H$68,$B$8:$Q$46,3)))</f>
        <v>0</v>
      </c>
      <c r="H70" s="648">
        <f>IF($G$58&lt;$B$8,0,IF($G$58&gt;$B$46,0,VLOOKUP(G70,$D$8:$E$46,2)))</f>
        <v>0</v>
      </c>
      <c r="I70" s="648">
        <f>IF($I$58&lt;$B$8,0,IF($I$58&gt;$B$46,0,VLOOKUP($J$68,$B$8:$Q$46,6)))</f>
        <v>0</v>
      </c>
      <c r="J70" s="648">
        <f>IF($I$58&lt;$B$8,0,IF($I$58&gt;$B$46,0,VLOOKUP(I70,$D$8:$E$46,2)))</f>
        <v>0</v>
      </c>
      <c r="K70" s="648">
        <f>IF($K$58&lt;$B$8,0,IF($K$58&gt;$B$46,0,VLOOKUP($L$68,$B$8:$Q$46,3)))</f>
        <v>0</v>
      </c>
      <c r="L70" s="1472">
        <f>IF($K$58&lt;$B$8,0,IF($K$58&gt;$B$46,0,VLOOKUP(K70,$D$8:$E$46,2)))</f>
        <v>0</v>
      </c>
      <c r="M70" s="1473"/>
      <c r="N70" s="646"/>
    </row>
    <row r="71" spans="2:14" ht="14.55" x14ac:dyDescent="0.25">
      <c r="B71" s="709"/>
      <c r="C71" s="709"/>
      <c r="D71" s="1398"/>
      <c r="E71" s="759">
        <v>2</v>
      </c>
      <c r="F71" s="603"/>
      <c r="G71" s="648">
        <f>IF($G$58&lt;$B$8,0,IF($G$58&gt;$B$46,0,VLOOKUP($H$68,$B$8:$Q$46,6)))</f>
        <v>0</v>
      </c>
      <c r="H71" s="648">
        <f>IF($G$58&lt;$B$8,0,IF($G$58&gt;$B$46,0,VLOOKUP(G71,$G$8:$H$46,2)))</f>
        <v>0</v>
      </c>
      <c r="I71" s="648">
        <f>IF($I$58&lt;$B$8,0,IF($I$58&gt;$B$46,0,VLOOKUP($J$68,$B$8:$Q$46,6)))</f>
        <v>0</v>
      </c>
      <c r="J71" s="648">
        <f>IF($I$58&lt;$B$8,0,IF($I$58&gt;$B$46,0,VLOOKUP(I71,$G$8:$H$46,2)))</f>
        <v>0</v>
      </c>
      <c r="K71" s="648">
        <f>IF($K$58&lt;$B$8,0,IF($K$58&gt;$B$46,0,VLOOKUP($L$68,$B$8:$Q$46,6)))</f>
        <v>0</v>
      </c>
      <c r="L71" s="1472">
        <f>IF($K$58&lt;$B$8,0,IF($K$58&gt;$B$46,0,VLOOKUP(K71,$G$8:$H$46,2)))</f>
        <v>0</v>
      </c>
      <c r="M71" s="1473"/>
      <c r="N71" s="646"/>
    </row>
    <row r="72" spans="2:14" ht="14.55" x14ac:dyDescent="0.25">
      <c r="B72" s="709"/>
      <c r="C72" s="709"/>
      <c r="D72" s="1398"/>
      <c r="E72" s="759">
        <v>3</v>
      </c>
      <c r="F72" s="603"/>
      <c r="G72" s="648">
        <f>IF($G$58&lt;$B$8,0,IF($G$58&gt;$B$46,0,VLOOKUP($H$68,$B$8:$Q$46,9)))</f>
        <v>0</v>
      </c>
      <c r="H72" s="648">
        <f>IF($G$58&lt;$B$8,0,IF($G$58&gt;$B$46,0,VLOOKUP(G72,$J$8:$K$45,2)))</f>
        <v>0</v>
      </c>
      <c r="I72" s="648">
        <f>IF($I$58&lt;$B$8,0,IF($I$58&gt;$B$46,0,VLOOKUP($J$68,$B$8:$Q$46,9)))</f>
        <v>0</v>
      </c>
      <c r="J72" s="648">
        <f>IF($I$58&lt;$B$8,0,IF($I$58&gt;$B$46,0,VLOOKUP(I72,$J$8:$K$46,2)))</f>
        <v>0</v>
      </c>
      <c r="K72" s="648">
        <f>IF($K$58&lt;$B$8,0,IF($K$58&gt;$B$46,0,VLOOKUP($L$68,$B$8:$Q$46,9)))</f>
        <v>0</v>
      </c>
      <c r="L72" s="1472">
        <f>IF($K$58&lt;$B$8,0,IF($K$58&gt;$B$46,0,VLOOKUP(K72,$J$8:$K$46,2)))</f>
        <v>0</v>
      </c>
      <c r="M72" s="1473"/>
      <c r="N72" s="646"/>
    </row>
    <row r="73" spans="2:14" ht="14.55" x14ac:dyDescent="0.25">
      <c r="B73" s="709"/>
      <c r="C73" s="709"/>
      <c r="D73" s="1398"/>
      <c r="E73" s="759">
        <v>4</v>
      </c>
      <c r="F73" s="603"/>
      <c r="G73" s="648">
        <f>IF($G$58&lt;$B$8,0,IF($G$58&gt;$B$46,0,VLOOKUP($H$68,$B$8:$Q$46,12)))</f>
        <v>0</v>
      </c>
      <c r="H73" s="648">
        <f>IF($G$58&lt;$B$8,0,IF($G$58&gt;$B$46,0,VLOOKUP(G73,$M$8:$N$46,2)))</f>
        <v>0</v>
      </c>
      <c r="I73" s="648">
        <f>IF($I$58&lt;$B$8,0,IF($I$58&gt;$B$46,0,VLOOKUP($J$68,$B$8:$Q$46,12)))</f>
        <v>0</v>
      </c>
      <c r="J73" s="648">
        <f>IF($I$58&lt;$B$8,0,IF($I$58&gt;$B$46,0,VLOOKUP(I73,$M$8:$N$46,2)))</f>
        <v>0</v>
      </c>
      <c r="K73" s="648">
        <f>IF($K$58&lt;$B$8,0,IF($K$58&gt;$B$46,0,VLOOKUP($L$68,$B$8:$Q$46,12)))</f>
        <v>0</v>
      </c>
      <c r="L73" s="1472">
        <f>IF($K$58&lt;$B$8,0,IF($K$58&gt;$B$46,0,VLOOKUP(K73,$M$8:$N$46,2)))</f>
        <v>0</v>
      </c>
      <c r="M73" s="1473"/>
      <c r="N73" s="646"/>
    </row>
    <row r="74" spans="2:14" ht="14.55" x14ac:dyDescent="0.25">
      <c r="B74" s="709"/>
      <c r="C74" s="709"/>
      <c r="D74" s="1399"/>
      <c r="E74" s="759">
        <v>5</v>
      </c>
      <c r="F74" s="603"/>
      <c r="G74" s="648">
        <f>IF($G$58&lt;$B$8,0,IF($G$58&gt;$B$46,0,VLOOKUP($H$68,$B$8:$Q$46,15)))</f>
        <v>0</v>
      </c>
      <c r="H74" s="648">
        <f>IF($G$58&lt;$B$8,0,IF($G$58&gt;$B$46,0,VLOOKUP(G74,$P$8:$Q$46,2)))</f>
        <v>0</v>
      </c>
      <c r="I74" s="648">
        <f>IF($I$58&lt;$B$8,0,IF($I$58&gt;$B$46,0,VLOOKUP($J$68,$B$8:$Q$46,15)))</f>
        <v>0</v>
      </c>
      <c r="J74" s="648">
        <f>IF($I$58&lt;$B$8,0,IF($I$58&gt;$B$46,0,VLOOKUP(I74,$P$8:$Q$46,2)))</f>
        <v>0</v>
      </c>
      <c r="K74" s="648">
        <f>IF($K$58&lt;$B$8,0,IF($K$58&gt;$B$46,0,VLOOKUP($L$68,$B$8:$Q$46,15)))</f>
        <v>0</v>
      </c>
      <c r="L74" s="1472">
        <f>IF($K$58&lt;$B$8,0,IF($K$58&gt;$B$46,0,VLOOKUP(K74,$P$8:$Q$46,2)))</f>
        <v>0</v>
      </c>
      <c r="M74" s="1473"/>
      <c r="N74" s="646"/>
    </row>
    <row r="75" spans="2:14" ht="14.55" x14ac:dyDescent="0.25">
      <c r="B75" s="652"/>
      <c r="C75" s="652"/>
      <c r="D75" s="652"/>
      <c r="E75" s="603"/>
      <c r="F75" s="603"/>
      <c r="G75" s="722"/>
      <c r="H75" s="651"/>
    </row>
    <row r="76" spans="2:14" ht="14.55" x14ac:dyDescent="0.25">
      <c r="C76" s="709"/>
      <c r="D76" s="1397" t="s">
        <v>329</v>
      </c>
      <c r="E76" s="1425" t="s">
        <v>316</v>
      </c>
      <c r="F76" s="603"/>
      <c r="G76" s="647" t="s">
        <v>328</v>
      </c>
      <c r="H76" s="648" cm="1">
        <f t="array" ref="H76">IF($G$58&lt;$B$8,0,IF(G58&gt;$B$46,0,INDEX(B8:B46,MATCH(G58,B8:B46,1)+1,1)))</f>
        <v>0</v>
      </c>
      <c r="I76" s="647" t="s">
        <v>328</v>
      </c>
      <c r="J76" s="648">
        <f>IF(I58&lt;$B$8,0,IF(I58&gt;$B$46,0,INDEX(B8:B46,MATCH(I58,B8:B46,1)+1,1)))</f>
        <v>0</v>
      </c>
      <c r="K76" s="647" t="s">
        <v>328</v>
      </c>
      <c r="L76" s="1458" cm="1">
        <f t="array" ref="L76">IF($K$58&lt;$B$8,0,IF($K$58&gt;$B$46,0,INDEX(B8:B46,MATCH(K58,B8:B46,1)+1,1)))</f>
        <v>0</v>
      </c>
      <c r="M76" s="1459"/>
      <c r="N76" s="646"/>
    </row>
    <row r="77" spans="2:14" ht="14.55" x14ac:dyDescent="0.25">
      <c r="B77" s="709"/>
      <c r="C77" s="709"/>
      <c r="D77" s="1398"/>
      <c r="E77" s="1426"/>
      <c r="F77" s="603"/>
      <c r="G77" s="649" t="s">
        <v>135</v>
      </c>
      <c r="H77" s="650" t="s">
        <v>321</v>
      </c>
      <c r="I77" s="649" t="s">
        <v>135</v>
      </c>
      <c r="J77" s="650" t="s">
        <v>321</v>
      </c>
      <c r="K77" s="649" t="s">
        <v>135</v>
      </c>
      <c r="L77" s="1460" t="s">
        <v>321</v>
      </c>
      <c r="M77" s="1461"/>
      <c r="N77" s="651"/>
    </row>
    <row r="78" spans="2:14" ht="14.55" x14ac:dyDescent="0.25">
      <c r="B78" s="709"/>
      <c r="C78" s="709"/>
      <c r="D78" s="1398"/>
      <c r="E78" s="759">
        <v>1</v>
      </c>
      <c r="F78" s="603"/>
      <c r="G78" s="648">
        <f>IF($G$58&lt;$B$8,0,IF($G$58&gt;$B$46,0,VLOOKUP($H$76,$B$8:$Q$46,3)))</f>
        <v>0</v>
      </c>
      <c r="H78" s="648">
        <f>IF($G$58&lt;$B$8,0,IF($G$58&gt;$B$46,0,VLOOKUP(G78,$D$8:$E$46,2)))</f>
        <v>0</v>
      </c>
      <c r="I78" s="648">
        <f>IF($I$58&lt;$B$8,0,IF($I$58&gt;$B$46,0,VLOOKUP($J$76,$B$8:$Q$46,3)))</f>
        <v>0</v>
      </c>
      <c r="J78" s="648">
        <f>IF($I$58&lt;$B$8,0,IF($I$58&gt;$B$46,0,VLOOKUP(I78,$D$8:$E$46,2)))</f>
        <v>0</v>
      </c>
      <c r="K78" s="648">
        <f>IF($K$58&lt;$B$8,0,IF($K$58&gt;$B$46,0,VLOOKUP($L$76,$B$8:$Q$46,3)))</f>
        <v>0</v>
      </c>
      <c r="L78" s="1472">
        <f>IF($K$58&lt;$B$8,0,IF($K$58&gt;$B$46,0,VLOOKUP(K78,$D$8:$E$46,2)))</f>
        <v>0</v>
      </c>
      <c r="M78" s="1473"/>
      <c r="N78" s="646"/>
    </row>
    <row r="79" spans="2:14" ht="14.55" x14ac:dyDescent="0.25">
      <c r="B79" s="709"/>
      <c r="C79" s="709"/>
      <c r="D79" s="1398"/>
      <c r="E79" s="759">
        <v>2</v>
      </c>
      <c r="F79" s="603"/>
      <c r="G79" s="648">
        <f>IF($G$58&lt;$B$8,0,IF($G$58&gt;$B$46,0,VLOOKUP($H$76,$B$8:$Q$46,6)))</f>
        <v>0</v>
      </c>
      <c r="H79" s="648">
        <f>IF($G$58&lt;$B$8,0,IF($G$58&gt;$B$46,0,VLOOKUP(G79,$G$8:$H$46,2)))</f>
        <v>0</v>
      </c>
      <c r="I79" s="648">
        <f>IF($I$58&lt;$B$8,0,IF($I$58&gt;$B$46,0,VLOOKUP($J$76,$B$8:$Q$46,6)))</f>
        <v>0</v>
      </c>
      <c r="J79" s="648">
        <f>IF($I$58&lt;$B$8,0,IF($I$58&gt;$B$46,0,VLOOKUP(I79,$G$8:$H$46,2)))</f>
        <v>0</v>
      </c>
      <c r="K79" s="648">
        <f>IF($K$58&lt;$B$8,0,IF($K$58&gt;$B$46,0,VLOOKUP($L$76,$B$8:$Q$46,6)))</f>
        <v>0</v>
      </c>
      <c r="L79" s="1472">
        <f>IF($K$58&lt;$B$8,0,IF($K$58&gt;$B$46,0,VLOOKUP(K79,$G$8:$H$46,2)))</f>
        <v>0</v>
      </c>
      <c r="M79" s="1473"/>
      <c r="N79" s="646"/>
    </row>
    <row r="80" spans="2:14" ht="14.55" x14ac:dyDescent="0.25">
      <c r="B80" s="709"/>
      <c r="C80" s="709"/>
      <c r="D80" s="1398"/>
      <c r="E80" s="759">
        <v>3</v>
      </c>
      <c r="F80" s="603"/>
      <c r="G80" s="648">
        <f>IF($G$58&lt;$B$8,0,IF($G$58&gt;$B$46,0,VLOOKUP($H$76,$B$8:$Q$46,9)))</f>
        <v>0</v>
      </c>
      <c r="H80" s="648">
        <f>IF($G$58&lt;$B$8,0,IF($G$58&gt;$B$46,0,VLOOKUP(G80,$J$8:$K$46,2)))</f>
        <v>0</v>
      </c>
      <c r="I80" s="648">
        <f>IF($I$58&lt;$B$8,0,IF($I$58&gt;$B$46,0,VLOOKUP($J$76,$B$8:$Q$46,9)))</f>
        <v>0</v>
      </c>
      <c r="J80" s="648">
        <f>IF($I$58&lt;$B$8,0,IF($I$58&gt;$B$46,0,VLOOKUP(I80,$J$8:$K$46,2)))</f>
        <v>0</v>
      </c>
      <c r="K80" s="648">
        <f>IF($K$58&lt;$B$8,0,IF($K$58&gt;$B$46,0,VLOOKUP($L$76,$B$8:$Q$46,9)))</f>
        <v>0</v>
      </c>
      <c r="L80" s="1472">
        <f>IF($K$58&lt;$B$8,0,IF($K$58&gt;$B$46,0,VLOOKUP(K80,$J$8:$K$46,2)))</f>
        <v>0</v>
      </c>
      <c r="M80" s="1473"/>
      <c r="N80" s="646"/>
    </row>
    <row r="81" spans="2:14" ht="14.55" x14ac:dyDescent="0.25">
      <c r="B81" s="709"/>
      <c r="C81" s="709"/>
      <c r="D81" s="1398"/>
      <c r="E81" s="759">
        <v>4</v>
      </c>
      <c r="F81" s="603"/>
      <c r="G81" s="648">
        <f>IF($G$58&lt;$B$8,0,IF($G$58&gt;$B$46,0,VLOOKUP($H$76,$B$8:$Q$46,12)))</f>
        <v>0</v>
      </c>
      <c r="H81" s="648">
        <f>IF($G$58&lt;$B$8,0,IF($G$58&gt;$B$46,0,VLOOKUP(G81,$M$8:$N$46,2)))</f>
        <v>0</v>
      </c>
      <c r="I81" s="648">
        <f>IF($I$58&lt;$B$8,0,IF($I$58&gt;$B$46,0,VLOOKUP($J$76,$B$8:$Q$46,12)))</f>
        <v>0</v>
      </c>
      <c r="J81" s="648">
        <f>IF($I$58&lt;$B$8,0,IF($I$58&gt;$B$46,0,VLOOKUP(I81,$M$8:$N$46,2)))</f>
        <v>0</v>
      </c>
      <c r="K81" s="648">
        <f>IF($K$58&lt;$B$8,0,IF($K$58&gt;$B$46,0,VLOOKUP($L$76,$B$8:$Q$46,12)))</f>
        <v>0</v>
      </c>
      <c r="L81" s="1472">
        <f>IF($K$58&lt;$B$8,0,IF($K$58&gt;$B$46,0,VLOOKUP(K81,$M$8:$N$46,2)))</f>
        <v>0</v>
      </c>
      <c r="M81" s="1473"/>
      <c r="N81" s="646"/>
    </row>
    <row r="82" spans="2:14" ht="14.55" x14ac:dyDescent="0.25">
      <c r="B82" s="709"/>
      <c r="C82" s="709"/>
      <c r="D82" s="1399"/>
      <c r="E82" s="759">
        <v>5</v>
      </c>
      <c r="F82" s="603"/>
      <c r="G82" s="648">
        <f>IF($G$58&lt;$B$8,0,IF($G$58&gt;$B$46,0,VLOOKUP($H$76,$B$8:$Q$46,15)))</f>
        <v>0</v>
      </c>
      <c r="H82" s="648">
        <f>IF($G$58&lt;$B$8,0,IF($G$58&gt;$B$46,0,VLOOKUP(G82,$P$8:$Q$46,2)))</f>
        <v>0</v>
      </c>
      <c r="I82" s="648">
        <f>IF($I$58&lt;$B$8,0,IF($I$58&gt;$B$46,0,VLOOKUP($J$76,$B$8:$Q$46,15)))</f>
        <v>0</v>
      </c>
      <c r="J82" s="648">
        <f>IF($I$58&lt;$B$8,0,IF($I$58&gt;$B$46,0,VLOOKUP(I82,$P$8:$Q$46,2)))</f>
        <v>0</v>
      </c>
      <c r="K82" s="648">
        <f>IF($K$58&lt;$B$8,0,IF($K$58&gt;$B$46,0,VLOOKUP($L$76,$B$8:$Q$46,15)))</f>
        <v>0</v>
      </c>
      <c r="L82" s="1472">
        <f>IF($K$58&lt;$B$8,0,IF($K$58&gt;$B$46,0,VLOOKUP(K82,$P$8:$Q$46,2)))</f>
        <v>0</v>
      </c>
      <c r="M82" s="1473"/>
      <c r="N82" s="646"/>
    </row>
    <row r="84" spans="2:14" x14ac:dyDescent="0.25">
      <c r="B84" s="630" t="s">
        <v>330</v>
      </c>
    </row>
    <row r="86" spans="2:14" ht="14.55" x14ac:dyDescent="0.25">
      <c r="B86" s="652"/>
      <c r="C86" s="652"/>
      <c r="D86" s="652"/>
      <c r="E86" s="603"/>
      <c r="F86" s="603"/>
      <c r="G86" s="649" t="s">
        <v>135</v>
      </c>
      <c r="H86" s="650" t="s">
        <v>321</v>
      </c>
      <c r="I86" s="649" t="s">
        <v>135</v>
      </c>
      <c r="J86" s="650" t="s">
        <v>321</v>
      </c>
      <c r="K86" s="649" t="s">
        <v>135</v>
      </c>
      <c r="L86" s="1417" t="s">
        <v>321</v>
      </c>
      <c r="M86" s="1417"/>
      <c r="N86" s="651"/>
    </row>
    <row r="87" spans="2:14" ht="14.55" x14ac:dyDescent="0.25">
      <c r="B87" s="1416" t="s">
        <v>327</v>
      </c>
      <c r="C87" s="1416"/>
      <c r="D87" s="1416"/>
      <c r="E87" s="1416"/>
      <c r="F87" s="603"/>
      <c r="G87" s="655">
        <f>VLOOKUP($G$62,$E$70:$H$74,3)</f>
        <v>0</v>
      </c>
      <c r="H87" s="655">
        <f>VLOOKUP(G62,$E$70:$H$74,4)</f>
        <v>0</v>
      </c>
      <c r="I87" s="655">
        <f>VLOOKUP($G$62,$E$70:$J$74,5)</f>
        <v>0</v>
      </c>
      <c r="J87" s="655">
        <f>VLOOKUP(G62,$E$70:$J$74,6)</f>
        <v>0</v>
      </c>
      <c r="K87" s="655">
        <f>VLOOKUP($G$62,$E$70:$K$74,7)</f>
        <v>0</v>
      </c>
      <c r="L87" s="1469">
        <f>VLOOKUP(G62,$E$70:$M$74,8)</f>
        <v>0</v>
      </c>
      <c r="M87" s="1469"/>
      <c r="N87" s="656"/>
    </row>
    <row r="88" spans="2:14" ht="14.55" x14ac:dyDescent="0.25">
      <c r="B88" s="1416" t="s">
        <v>329</v>
      </c>
      <c r="C88" s="1416"/>
      <c r="D88" s="1416"/>
      <c r="E88" s="1416"/>
      <c r="F88" s="603"/>
      <c r="G88" s="655">
        <f>VLOOKUP($G$62,$E$78:$H$82,3)</f>
        <v>0</v>
      </c>
      <c r="H88" s="655">
        <f>VLOOKUP(G62,$E$78:$H$82,4)</f>
        <v>0</v>
      </c>
      <c r="I88" s="655">
        <f>VLOOKUP($G$62,$E$78:$J$82,5)</f>
        <v>0</v>
      </c>
      <c r="J88" s="655">
        <f>VLOOKUP(G62,$E$78:$K$82,6)</f>
        <v>0</v>
      </c>
      <c r="K88" s="655">
        <f>VLOOKUP($G$62,$E$78:$K$82,7)</f>
        <v>0</v>
      </c>
      <c r="L88" s="1469">
        <f>VLOOKUP(G62,$E$78:$M$82,8)</f>
        <v>0</v>
      </c>
      <c r="M88" s="1469"/>
      <c r="N88" s="656"/>
    </row>
    <row r="89" spans="2:14" ht="14.55" x14ac:dyDescent="0.25">
      <c r="B89" s="1659" t="s">
        <v>331</v>
      </c>
      <c r="C89" s="1660"/>
      <c r="D89" s="1660"/>
      <c r="E89" s="1661"/>
      <c r="F89" s="603"/>
      <c r="G89" s="723">
        <f t="shared" ref="G89:L89" si="5">G88-G87</f>
        <v>0</v>
      </c>
      <c r="H89" s="723">
        <f t="shared" si="5"/>
        <v>0</v>
      </c>
      <c r="I89" s="723">
        <f t="shared" si="5"/>
        <v>0</v>
      </c>
      <c r="J89" s="723">
        <f t="shared" si="5"/>
        <v>0</v>
      </c>
      <c r="K89" s="723">
        <f t="shared" si="5"/>
        <v>0</v>
      </c>
      <c r="L89" s="1470">
        <f t="shared" si="5"/>
        <v>0</v>
      </c>
      <c r="M89" s="1470"/>
      <c r="N89" s="724"/>
    </row>
    <row r="90" spans="2:14" ht="14.55" x14ac:dyDescent="0.25">
      <c r="B90" s="1416" t="s">
        <v>332</v>
      </c>
      <c r="C90" s="1416"/>
      <c r="D90" s="1416"/>
      <c r="E90" s="1416"/>
      <c r="F90" s="603"/>
      <c r="G90" s="723">
        <f>G58-H68</f>
        <v>0</v>
      </c>
      <c r="H90" s="659">
        <f>G62</f>
        <v>3</v>
      </c>
      <c r="I90" s="723">
        <f>I58-J68</f>
        <v>0</v>
      </c>
      <c r="J90" s="659">
        <f>G62</f>
        <v>3</v>
      </c>
      <c r="K90" s="723">
        <f>K58-L68</f>
        <v>0</v>
      </c>
      <c r="L90" s="1471">
        <f>G62</f>
        <v>3</v>
      </c>
      <c r="M90" s="1471"/>
      <c r="N90" s="725"/>
    </row>
    <row r="93" spans="2:14" x14ac:dyDescent="0.25">
      <c r="B93" s="630" t="s">
        <v>333</v>
      </c>
    </row>
    <row r="95" spans="2:14" ht="14.55" x14ac:dyDescent="0.25">
      <c r="B95" s="603"/>
      <c r="C95" s="603"/>
      <c r="D95" s="651"/>
      <c r="E95" s="603"/>
      <c r="F95" s="651"/>
      <c r="G95" s="649" t="s">
        <v>135</v>
      </c>
      <c r="H95" s="650" t="s">
        <v>321</v>
      </c>
      <c r="I95" s="649" t="s">
        <v>135</v>
      </c>
      <c r="J95" s="650" t="s">
        <v>321</v>
      </c>
      <c r="K95" s="649" t="s">
        <v>135</v>
      </c>
      <c r="L95" s="1417" t="s">
        <v>321</v>
      </c>
      <c r="M95" s="1417"/>
      <c r="N95" s="651"/>
    </row>
    <row r="96" spans="2:14" ht="14.55" x14ac:dyDescent="0.25">
      <c r="B96" s="1416" t="s">
        <v>334</v>
      </c>
      <c r="C96" s="1416"/>
      <c r="D96" s="1416"/>
      <c r="E96" s="1416"/>
      <c r="F96" s="660"/>
      <c r="G96" s="655">
        <f t="shared" ref="G96:L96" si="6">G87</f>
        <v>0</v>
      </c>
      <c r="H96" s="655">
        <f t="shared" si="6"/>
        <v>0</v>
      </c>
      <c r="I96" s="655">
        <f t="shared" si="6"/>
        <v>0</v>
      </c>
      <c r="J96" s="655">
        <f t="shared" si="6"/>
        <v>0</v>
      </c>
      <c r="K96" s="655">
        <f t="shared" si="6"/>
        <v>0</v>
      </c>
      <c r="L96" s="1469">
        <f t="shared" si="6"/>
        <v>0</v>
      </c>
      <c r="M96" s="1469"/>
      <c r="N96" s="656"/>
    </row>
    <row r="97" spans="2:22" ht="14.55" x14ac:dyDescent="0.25">
      <c r="B97" s="1416" t="s">
        <v>335</v>
      </c>
      <c r="C97" s="1416"/>
      <c r="D97" s="1416"/>
      <c r="E97" s="1416"/>
      <c r="F97" s="660"/>
      <c r="G97" s="655">
        <f>G90</f>
        <v>0</v>
      </c>
      <c r="H97" s="655">
        <f>G90</f>
        <v>0</v>
      </c>
      <c r="I97" s="655">
        <f>I90</f>
        <v>0</v>
      </c>
      <c r="J97" s="655">
        <f>I90</f>
        <v>0</v>
      </c>
      <c r="K97" s="655">
        <f>K90</f>
        <v>0</v>
      </c>
      <c r="L97" s="1469">
        <f>K90</f>
        <v>0</v>
      </c>
      <c r="M97" s="1469"/>
      <c r="N97" s="656"/>
    </row>
    <row r="98" spans="2:22" ht="14.55" x14ac:dyDescent="0.25">
      <c r="B98" s="1416" t="s">
        <v>336</v>
      </c>
      <c r="C98" s="1416"/>
      <c r="D98" s="1416"/>
      <c r="E98" s="1416"/>
      <c r="F98" s="660"/>
      <c r="G98" s="655">
        <f t="shared" ref="G98:L98" si="7">G89</f>
        <v>0</v>
      </c>
      <c r="H98" s="655">
        <f t="shared" si="7"/>
        <v>0</v>
      </c>
      <c r="I98" s="655">
        <f t="shared" si="7"/>
        <v>0</v>
      </c>
      <c r="J98" s="655">
        <f t="shared" si="7"/>
        <v>0</v>
      </c>
      <c r="K98" s="655">
        <f t="shared" si="7"/>
        <v>0</v>
      </c>
      <c r="L98" s="1469">
        <f t="shared" si="7"/>
        <v>0</v>
      </c>
      <c r="M98" s="1469"/>
      <c r="N98" s="656"/>
    </row>
    <row r="99" spans="2:22" ht="14.55" x14ac:dyDescent="0.25">
      <c r="B99" s="1416" t="s">
        <v>337</v>
      </c>
      <c r="C99" s="1416"/>
      <c r="D99" s="1416"/>
      <c r="E99" s="1416"/>
      <c r="F99" s="660"/>
      <c r="G99" s="655">
        <f>H76-H68</f>
        <v>0</v>
      </c>
      <c r="H99" s="655">
        <f>H76-H68</f>
        <v>0</v>
      </c>
      <c r="I99" s="655">
        <f>J76-J68</f>
        <v>0</v>
      </c>
      <c r="J99" s="655">
        <f>J76-J68</f>
        <v>0</v>
      </c>
      <c r="K99" s="655">
        <f>L76-L68</f>
        <v>0</v>
      </c>
      <c r="L99" s="1469">
        <f>L76-L68</f>
        <v>0</v>
      </c>
      <c r="M99" s="1469"/>
      <c r="N99" s="656"/>
    </row>
    <row r="100" spans="2:22" ht="15.2" thickBot="1" x14ac:dyDescent="0.3">
      <c r="B100" s="603"/>
      <c r="C100" s="603"/>
      <c r="D100" s="603"/>
      <c r="E100" s="646"/>
      <c r="F100" s="646"/>
      <c r="G100" s="661"/>
      <c r="H100" s="603"/>
    </row>
    <row r="101" spans="2:22" ht="14.55" x14ac:dyDescent="0.25">
      <c r="B101" s="662"/>
      <c r="C101" s="1417"/>
      <c r="D101" s="597" t="s">
        <v>135</v>
      </c>
      <c r="E101" s="664"/>
      <c r="F101" s="656"/>
      <c r="G101" s="603"/>
      <c r="H101" s="665">
        <f>IF(G99=0,0,G96+((G97*G98)/G99))</f>
        <v>0</v>
      </c>
      <c r="J101" s="665">
        <f>IF(I99=0,0,I96+((I97*I98)/I99))</f>
        <v>0</v>
      </c>
      <c r="L101" s="1476">
        <f>IF(K99=0,0,K96+((K97*K98)/K99))</f>
        <v>0</v>
      </c>
      <c r="M101" s="1477"/>
      <c r="N101" s="656"/>
    </row>
    <row r="102" spans="2:22" ht="14.55" x14ac:dyDescent="0.25">
      <c r="B102" s="666" t="s">
        <v>338</v>
      </c>
      <c r="C102" s="1417"/>
      <c r="D102" s="597" t="s">
        <v>318</v>
      </c>
      <c r="E102" s="664"/>
      <c r="F102" s="656"/>
      <c r="G102" s="603"/>
      <c r="H102" s="667">
        <f>((H105-H101)*0.25)+H101</f>
        <v>0</v>
      </c>
      <c r="J102" s="667">
        <f>((J105-J101)*0.25)+J101</f>
        <v>0</v>
      </c>
      <c r="L102" s="1478">
        <f>((L105-L101)*0.25)+L101</f>
        <v>0</v>
      </c>
      <c r="M102" s="1479"/>
      <c r="N102" s="656"/>
    </row>
    <row r="103" spans="2:22" ht="14.55" x14ac:dyDescent="0.25">
      <c r="B103" s="666"/>
      <c r="C103" s="1417"/>
      <c r="D103" s="597" t="s">
        <v>319</v>
      </c>
      <c r="E103" s="664"/>
      <c r="F103" s="656"/>
      <c r="G103" s="603"/>
      <c r="H103" s="667">
        <f>(H105+H101)/2</f>
        <v>0</v>
      </c>
      <c r="J103" s="667">
        <f>(J105+J101)/2</f>
        <v>0</v>
      </c>
      <c r="L103" s="1478">
        <f>(L105+L101)/2</f>
        <v>0</v>
      </c>
      <c r="M103" s="1479"/>
      <c r="N103" s="656"/>
    </row>
    <row r="104" spans="2:22" ht="14.55" x14ac:dyDescent="0.25">
      <c r="B104" s="666" t="s">
        <v>339</v>
      </c>
      <c r="C104" s="1417"/>
      <c r="D104" s="597" t="s">
        <v>320</v>
      </c>
      <c r="E104" s="664"/>
      <c r="F104" s="656"/>
      <c r="G104" s="603"/>
      <c r="H104" s="667">
        <f>((H105-H101)*0.75)+H101</f>
        <v>0</v>
      </c>
      <c r="J104" s="667">
        <f>((J105-J101)*0.75)+J101</f>
        <v>0</v>
      </c>
      <c r="L104" s="1478">
        <f>((L105-L101)*0.75)+L101</f>
        <v>0</v>
      </c>
      <c r="M104" s="1479"/>
      <c r="N104" s="656"/>
    </row>
    <row r="105" spans="2:22" ht="15.2" thickBot="1" x14ac:dyDescent="0.3">
      <c r="B105" s="668"/>
      <c r="C105" s="1417"/>
      <c r="D105" s="597" t="s">
        <v>321</v>
      </c>
      <c r="E105" s="664"/>
      <c r="F105" s="656"/>
      <c r="G105" s="603"/>
      <c r="H105" s="669">
        <f>IF(H99=0,0,H96+((H97*H98)/H99))</f>
        <v>0</v>
      </c>
      <c r="J105" s="669">
        <f>IF(J99=0,0,J96+((J97*J98)/J99))</f>
        <v>0</v>
      </c>
      <c r="L105" s="1480">
        <f>IF(L99=0,0,L96+((L97*L98)/L99))</f>
        <v>0</v>
      </c>
      <c r="M105" s="1481"/>
      <c r="N105" s="656"/>
    </row>
    <row r="107" spans="2:22" ht="15.2" thickBot="1" x14ac:dyDescent="0.35">
      <c r="B107" s="603"/>
      <c r="C107" s="603"/>
      <c r="D107" s="603"/>
      <c r="E107" s="603"/>
      <c r="F107" s="603"/>
      <c r="G107" s="1418" t="s">
        <v>322</v>
      </c>
      <c r="H107" s="1418"/>
      <c r="I107" s="1414" t="s">
        <v>323</v>
      </c>
      <c r="J107" s="1414"/>
      <c r="K107" s="1466" t="s">
        <v>324</v>
      </c>
      <c r="L107" s="1466"/>
      <c r="M107" s="1466"/>
      <c r="N107" s="633"/>
    </row>
    <row r="108" spans="2:22" ht="15.2" thickBot="1" x14ac:dyDescent="0.3">
      <c r="B108" s="1402" t="s">
        <v>340</v>
      </c>
      <c r="C108" s="1403"/>
      <c r="D108" s="1403"/>
      <c r="E108" s="1404"/>
      <c r="F108" s="603"/>
      <c r="G108" s="670">
        <f>G62</f>
        <v>3</v>
      </c>
      <c r="H108" s="671">
        <f>IF($G$63="Basishonorarsatz",H101,IF($G$63="Viertelsatz",H102,IF($G$63="Mittelsatz",H103,IF($G$63="Dreiviertelsatz",H104,H105))))</f>
        <v>0</v>
      </c>
      <c r="I108" s="726"/>
      <c r="J108" s="727">
        <f>IF($G$63="Basishonorarsatz",J101,IF($G$63="Viertelsatz",J102,IF($G$63="Mittelsatz",J103,IF($G$63="Dreiviertelsatz",J104,J105))))</f>
        <v>0</v>
      </c>
      <c r="K108" s="726"/>
      <c r="L108" s="1412">
        <f>IF($G$63="Basishonorarsatz",L101,IF($G$63="Viertelsatz",L102,IF($G$63="Mittelsatz",L103,IF($G$63="Dreiviertelsatz",L104,L105))))</f>
        <v>0</v>
      </c>
      <c r="M108" s="1413"/>
      <c r="N108" s="728"/>
    </row>
    <row r="109" spans="2:22" ht="14.55" thickBot="1" x14ac:dyDescent="0.3">
      <c r="B109" s="641" t="s">
        <v>341</v>
      </c>
    </row>
    <row r="110" spans="2:22" ht="15" customHeight="1" thickBot="1" x14ac:dyDescent="0.3">
      <c r="B110" s="641" t="s">
        <v>342</v>
      </c>
      <c r="G110" s="678"/>
      <c r="H110" s="1633" t="s">
        <v>343</v>
      </c>
      <c r="I110" s="1634"/>
      <c r="J110" s="1634"/>
      <c r="K110" s="1635"/>
      <c r="L110" s="790"/>
      <c r="M110" s="791"/>
    </row>
    <row r="111" spans="2:22" ht="14.55" thickBot="1" x14ac:dyDescent="0.3">
      <c r="B111" s="641" t="s">
        <v>344</v>
      </c>
      <c r="G111" s="679"/>
      <c r="H111" s="1636" t="s">
        <v>539</v>
      </c>
      <c r="I111" s="1637"/>
      <c r="J111" s="1467" t="s">
        <v>346</v>
      </c>
      <c r="K111" s="1468"/>
      <c r="L111" s="741"/>
      <c r="M111" s="741"/>
      <c r="T111" s="630"/>
      <c r="U111" s="630"/>
      <c r="V111" s="630"/>
    </row>
    <row r="112" spans="2:22" ht="14.55" x14ac:dyDescent="0.3">
      <c r="B112" s="641" t="s">
        <v>349</v>
      </c>
      <c r="G112" s="680">
        <v>1</v>
      </c>
      <c r="H112" s="1638">
        <f>IF(Tragwerksplanung!T39="ja",Tragwerksplanung!J39,0)</f>
        <v>0</v>
      </c>
      <c r="I112" s="1639"/>
      <c r="J112" s="1801">
        <f>IF(Tragwerksplanung!T39="ja",Tragwerksplanung!L45,0)</f>
        <v>0</v>
      </c>
      <c r="K112" s="1802"/>
      <c r="L112" s="741">
        <f>H112+J112</f>
        <v>0</v>
      </c>
      <c r="M112" s="741"/>
      <c r="T112" s="594"/>
      <c r="U112" s="594"/>
      <c r="V112" s="594"/>
    </row>
    <row r="113" spans="2:22" ht="14.55" x14ac:dyDescent="0.3">
      <c r="G113" s="682">
        <v>2</v>
      </c>
      <c r="H113" s="1408">
        <f>IF(Tragwerksplanung!T46="ja",Tragwerksplanung!J46,0)</f>
        <v>0</v>
      </c>
      <c r="I113" s="1409"/>
      <c r="J113" s="1437">
        <f>IF(Tragwerksplanung!T46="ja",Tragwerksplanung!L64,0)</f>
        <v>0</v>
      </c>
      <c r="K113" s="1438"/>
      <c r="L113" s="741">
        <f t="shared" ref="L113:L121" si="8">H113+J113</f>
        <v>0</v>
      </c>
      <c r="M113" s="741"/>
      <c r="T113" s="733"/>
      <c r="U113" s="734"/>
      <c r="V113" s="733"/>
    </row>
    <row r="114" spans="2:22" ht="14.55" x14ac:dyDescent="0.3">
      <c r="B114" s="641" t="s">
        <v>341</v>
      </c>
      <c r="G114" s="682">
        <v>3</v>
      </c>
      <c r="H114" s="1408">
        <f>IF(Tragwerksplanung!T68="ja",Tragwerksplanung!J68,0)</f>
        <v>0</v>
      </c>
      <c r="I114" s="1409"/>
      <c r="J114" s="1437">
        <f>IF(Tragwerksplanung!T68="ja",Tragwerksplanung!L89,0)</f>
        <v>0</v>
      </c>
      <c r="K114" s="1438"/>
      <c r="L114" s="741">
        <f t="shared" si="8"/>
        <v>0</v>
      </c>
      <c r="M114" s="741"/>
      <c r="T114" s="735"/>
      <c r="U114" s="734"/>
      <c r="V114" s="736"/>
    </row>
    <row r="115" spans="2:22" ht="14.55" x14ac:dyDescent="0.3">
      <c r="B115" s="641" t="s">
        <v>350</v>
      </c>
      <c r="G115" s="682">
        <v>4</v>
      </c>
      <c r="H115" s="1408">
        <f>IF(Tragwerksplanung!T93="ja",Tragwerksplanung!J93,0)</f>
        <v>0</v>
      </c>
      <c r="I115" s="1409"/>
      <c r="J115" s="1437">
        <f>IF(Tragwerksplanung!T93="ja",Tragwerksplanung!L110,0)</f>
        <v>0</v>
      </c>
      <c r="K115" s="1438"/>
      <c r="L115" s="741">
        <f t="shared" si="8"/>
        <v>0</v>
      </c>
      <c r="M115" s="741"/>
      <c r="T115" s="735"/>
      <c r="U115" s="734"/>
      <c r="V115" s="736"/>
    </row>
    <row r="116" spans="2:22" ht="14.55" x14ac:dyDescent="0.3">
      <c r="G116" s="682" t="s">
        <v>351</v>
      </c>
      <c r="H116" s="1408">
        <f>IF(Tragwerksplanung!T111="ja",Tragwerksplanung!J111,0)</f>
        <v>0</v>
      </c>
      <c r="I116" s="1409"/>
      <c r="J116" s="1437">
        <f>IF(Tragwerksplanung!T111="ja",Tragwerksplanung!R111+Tragwerksplanung!R112+Tragwerksplanung!R113,0)</f>
        <v>0</v>
      </c>
      <c r="K116" s="1438"/>
      <c r="L116" s="741">
        <f t="shared" si="8"/>
        <v>0</v>
      </c>
      <c r="M116" s="741"/>
      <c r="T116" s="735"/>
      <c r="U116" s="734"/>
      <c r="V116" s="736"/>
    </row>
    <row r="117" spans="2:22" ht="14.55" x14ac:dyDescent="0.3">
      <c r="G117" s="682" t="s">
        <v>352</v>
      </c>
      <c r="H117" s="1408">
        <f>IF(Tragwerksplanung!T114="ja",Tragwerksplanung!J114,0)</f>
        <v>0</v>
      </c>
      <c r="I117" s="1409"/>
      <c r="J117" s="1437">
        <f>IF(Tragwerksplanung!T114="ja",Tragwerksplanung!R114,0)</f>
        <v>0</v>
      </c>
      <c r="K117" s="1438"/>
      <c r="L117" s="741">
        <f t="shared" si="8"/>
        <v>0</v>
      </c>
      <c r="M117" s="741"/>
      <c r="T117" s="735"/>
      <c r="U117" s="734"/>
      <c r="V117" s="736"/>
    </row>
    <row r="118" spans="2:22" ht="14.55" x14ac:dyDescent="0.3">
      <c r="G118" s="682" t="s">
        <v>353</v>
      </c>
      <c r="H118" s="1408">
        <f>IF(Tragwerksplanung!T116="ja",Tragwerksplanung!J116,0)</f>
        <v>0</v>
      </c>
      <c r="I118" s="1409"/>
      <c r="J118" s="1437">
        <f>IF(Tragwerksplanung!T116="ja",Tragwerksplanung!R116+Tragwerksplanung!R118,0)</f>
        <v>0</v>
      </c>
      <c r="K118" s="1438"/>
      <c r="L118" s="741">
        <f t="shared" si="8"/>
        <v>0</v>
      </c>
      <c r="M118" s="741"/>
      <c r="T118" s="735"/>
      <c r="U118" s="734"/>
      <c r="V118" s="736"/>
    </row>
    <row r="119" spans="2:22" ht="14.55" x14ac:dyDescent="0.3">
      <c r="G119" s="682" t="s">
        <v>354</v>
      </c>
      <c r="H119" s="1408">
        <f>IF(Tragwerksplanung!T120="ja",Tragwerksplanung!J120,0)</f>
        <v>0</v>
      </c>
      <c r="I119" s="1409"/>
      <c r="J119" s="1437">
        <f>IF(Tragwerksplanung!T120="ja",Tragwerksplanung!R120+Tragwerksplanung!R122,0)</f>
        <v>0</v>
      </c>
      <c r="K119" s="1438"/>
      <c r="L119" s="741">
        <f t="shared" si="8"/>
        <v>0</v>
      </c>
      <c r="M119" s="741"/>
      <c r="T119" s="735"/>
      <c r="U119" s="734"/>
      <c r="V119" s="736"/>
    </row>
    <row r="120" spans="2:22" ht="14.55" x14ac:dyDescent="0.3">
      <c r="G120" s="682" t="s">
        <v>355</v>
      </c>
      <c r="H120" s="1408">
        <f>IF(Tragwerksplanung!T124="ja",Tragwerksplanung!J124,0)</f>
        <v>0</v>
      </c>
      <c r="I120" s="1409"/>
      <c r="J120" s="1437">
        <f>IF(Tragwerksplanung!T124="ja",Tragwerksplanung!R124,0)</f>
        <v>0</v>
      </c>
      <c r="K120" s="1438"/>
      <c r="L120" s="741">
        <f t="shared" si="8"/>
        <v>0</v>
      </c>
      <c r="M120" s="741"/>
      <c r="T120" s="735"/>
      <c r="U120" s="734"/>
      <c r="V120" s="736"/>
    </row>
    <row r="121" spans="2:22" ht="15.2" thickBot="1" x14ac:dyDescent="0.35">
      <c r="G121" s="683">
        <v>6</v>
      </c>
      <c r="H121" s="1408">
        <f>IF(Tragwerksplanung!T127="ja",Tragwerksplanung!J127,0)</f>
        <v>0</v>
      </c>
      <c r="I121" s="1409"/>
      <c r="J121" s="1437">
        <f>IF(Tragwerksplanung!T127="ja",Tragwerksplanung!L139,0)</f>
        <v>0</v>
      </c>
      <c r="K121" s="1438"/>
      <c r="L121" s="741">
        <f t="shared" si="8"/>
        <v>0</v>
      </c>
      <c r="M121" s="741"/>
      <c r="T121" s="735"/>
      <c r="U121" s="734"/>
      <c r="V121" s="736"/>
    </row>
    <row r="122" spans="2:22" ht="15.2" thickBot="1" x14ac:dyDescent="0.35">
      <c r="G122" s="685" t="s">
        <v>357</v>
      </c>
      <c r="H122" s="1433">
        <f>SUM(H112:I121)</f>
        <v>0</v>
      </c>
      <c r="I122" s="1434"/>
      <c r="J122" s="1439">
        <f>SUM(J112:K121)</f>
        <v>0</v>
      </c>
      <c r="K122" s="1440"/>
      <c r="L122" s="762"/>
      <c r="M122" s="762"/>
      <c r="T122" s="735"/>
      <c r="U122" s="734"/>
      <c r="V122" s="736"/>
    </row>
    <row r="123" spans="2:22" ht="14.25" customHeight="1" thickBot="1" x14ac:dyDescent="0.35">
      <c r="G123" s="685" t="s">
        <v>540</v>
      </c>
      <c r="H123" s="1431">
        <f>H122*Tragwerksplanung!F23+H122</f>
        <v>0</v>
      </c>
      <c r="I123" s="1432"/>
      <c r="J123" s="740"/>
      <c r="T123" s="735"/>
      <c r="U123" s="734"/>
      <c r="V123" s="736"/>
    </row>
    <row r="124" spans="2:22" ht="14.55" x14ac:dyDescent="0.3">
      <c r="K124" s="741"/>
      <c r="T124" s="735"/>
      <c r="U124" s="734"/>
      <c r="V124" s="736"/>
    </row>
    <row r="125" spans="2:22" ht="15.2" thickBot="1" x14ac:dyDescent="0.35">
      <c r="T125" s="735"/>
      <c r="U125" s="734"/>
      <c r="V125" s="736"/>
    </row>
    <row r="126" spans="2:22" ht="15.2" thickBot="1" x14ac:dyDescent="0.35">
      <c r="B126" s="742" t="s">
        <v>105</v>
      </c>
      <c r="C126" s="689" t="s">
        <v>285</v>
      </c>
      <c r="D126" s="690" t="s">
        <v>286</v>
      </c>
      <c r="E126" s="690" t="s">
        <v>287</v>
      </c>
      <c r="F126" s="690" t="s">
        <v>288</v>
      </c>
      <c r="G126" s="690" t="s">
        <v>289</v>
      </c>
      <c r="H126" s="690" t="s">
        <v>290</v>
      </c>
      <c r="I126" s="690" t="s">
        <v>291</v>
      </c>
      <c r="J126" s="690" t="s">
        <v>292</v>
      </c>
      <c r="K126" s="690" t="s">
        <v>293</v>
      </c>
      <c r="L126" s="690"/>
      <c r="M126" s="690" t="s">
        <v>295</v>
      </c>
      <c r="N126" s="690"/>
      <c r="O126" s="690"/>
      <c r="P126" s="690"/>
      <c r="Q126" s="743" t="s">
        <v>360</v>
      </c>
      <c r="T126" s="735"/>
      <c r="U126" s="734"/>
      <c r="V126" s="736"/>
    </row>
    <row r="127" spans="2:22" ht="14.55" x14ac:dyDescent="0.3">
      <c r="B127" s="692">
        <f>IF(Überblick!$H$53&gt;=1,1,"")</f>
        <v>1</v>
      </c>
      <c r="C127" s="744">
        <f>IF($B127=Tragwerksplanung!$U$39,H112*Tragwerksplanung!F23+H112+J112,0)</f>
        <v>0</v>
      </c>
      <c r="D127" s="745">
        <f>IF($B127=Tragwerksplanung!$U$46,Tragwerksplanung!$J$46*Tragwerksplanung!$F$24+Tragwerksplanung!$J$46+Tragwerksplanung!$L$64,0)</f>
        <v>0</v>
      </c>
      <c r="E127" s="745">
        <f>IF($B127=Tragwerksplanung!$U$68,Tragwerksplanung!$J$68*Tragwerksplanung!$F$24+Tragwerksplanung!$J$68+Tragwerksplanung!$L$89,0)</f>
        <v>0</v>
      </c>
      <c r="F127" s="745">
        <f>IF($B127=Tragwerksplanung!$U$93,Tragwerksplanung!$J$93*Tragwerksplanung!$F$24+Tragwerksplanung!$J$93+Tragwerksplanung!$L$110,0)</f>
        <v>0</v>
      </c>
      <c r="G127" s="745">
        <f>IF($B127=Tragwerksplanung!$U$111,Tragwerksplanung!$J$111*Tragwerksplanung!$F$24+Tragwerksplanung!$J$111+Tragwerksplanung!$R$111+Tragwerksplanung!$R$112+Tragwerksplanung!$R$113,0)</f>
        <v>0</v>
      </c>
      <c r="H127" s="745">
        <f>IF($B127=Tragwerksplanung!$U$114,Tragwerksplanung!$J$15*Tragwerksplanung!$F$24+Tragwerksplanung!$J$114+Tragwerksplanung!$R$114,0)</f>
        <v>0</v>
      </c>
      <c r="I127" s="745">
        <f>IF($B127=Tragwerksplanung!$U$116,Freianlagen!$J$114*Tragwerksplanung!$F$24+Tragwerksplanung!$J$116+Tragwerksplanung!$R$116+Tragwerksplanung!$R$118,0)</f>
        <v>0</v>
      </c>
      <c r="J127" s="745">
        <f>IF($B127=Tragwerksplanung!$U$120,Tragwerksplanung!$J$120*Tragwerksplanung!$F$24+Tragwerksplanung!$J$120+Tragwerksplanung!$R$120+Tragwerksplanung!$R$122,0)</f>
        <v>0</v>
      </c>
      <c r="K127" s="745">
        <f>IF($B127=Tragwerksplanung!$U$124,Tragwerksplanung!$J$124*Tragwerksplanung!$F$24+Tragwerksplanung!$J$124+Tragwerksplanung!$R$124,0)</f>
        <v>0</v>
      </c>
      <c r="L127" s="745"/>
      <c r="M127" s="745">
        <f>IF($B127=Tragwerksplanung!$U$127,Tragwerksplanung!$J$127*Tragwerksplanung!$F$24+Tragwerksplanung!$J$127+Tragwerksplanung!$L$139,0)</f>
        <v>0</v>
      </c>
      <c r="N127" s="745"/>
      <c r="O127" s="745"/>
      <c r="P127" s="745"/>
      <c r="Q127" s="795">
        <f t="shared" ref="Q127:Q134" si="9">SUM(C127:P127)</f>
        <v>0</v>
      </c>
      <c r="T127" s="735"/>
      <c r="U127" s="734"/>
      <c r="V127" s="736"/>
    </row>
    <row r="128" spans="2:22" ht="14.55" x14ac:dyDescent="0.3">
      <c r="B128" s="696">
        <f>IF(Überblick!$H$53&gt;=2,2,"")</f>
        <v>2</v>
      </c>
      <c r="C128" s="748">
        <f>IF($B128=Tragwerksplanung!$U$39,H113*Tragwerksplanung!F24+H113+J113,0)</f>
        <v>0</v>
      </c>
      <c r="D128" s="749">
        <f>IF($B128=Tragwerksplanung!$U$46,Tragwerksplanung!$J$46*Tragwerksplanung!$F$24+Tragwerksplanung!$J$46+Tragwerksplanung!$L$64,0)</f>
        <v>0</v>
      </c>
      <c r="E128" s="749">
        <f>IF($B128=Tragwerksplanung!$U$68,Tragwerksplanung!$J$68*Tragwerksplanung!$F$24+Tragwerksplanung!$J$68+Tragwerksplanung!$L$89,0)</f>
        <v>0</v>
      </c>
      <c r="F128" s="749">
        <f>IF($B128=Tragwerksplanung!$U$93,Tragwerksplanung!$J$93*Tragwerksplanung!$F$24+Tragwerksplanung!$J$93+Tragwerksplanung!$L$110,0)</f>
        <v>0</v>
      </c>
      <c r="G128" s="749">
        <f>IF($B128=Tragwerksplanung!$U$111,Tragwerksplanung!$J$111*Tragwerksplanung!$F$24+Tragwerksplanung!$J$111+Tragwerksplanung!$R$111+Tragwerksplanung!$R$112+Tragwerksplanung!$R$113,0)</f>
        <v>0</v>
      </c>
      <c r="H128" s="749">
        <f>IF($B128=Tragwerksplanung!$U$114,Tragwerksplanung!$J$15*Tragwerksplanung!$F$24+Tragwerksplanung!$J$114+Tragwerksplanung!$R$114,0)</f>
        <v>0</v>
      </c>
      <c r="I128" s="749">
        <f>IF($B128=Tragwerksplanung!$U$116,Freianlagen!$J$114*Tragwerksplanung!$F$24+Tragwerksplanung!$J$116+Tragwerksplanung!$R$116+Tragwerksplanung!$R$118,0)</f>
        <v>0</v>
      </c>
      <c r="J128" s="749">
        <f>IF($B128=Tragwerksplanung!$U$120,Tragwerksplanung!$J$120*Tragwerksplanung!$F$24+Tragwerksplanung!$J$120+Tragwerksplanung!$R$120+Tragwerksplanung!$R$122,0)</f>
        <v>0</v>
      </c>
      <c r="K128" s="749">
        <f>IF($B128=Tragwerksplanung!$U$124,Tragwerksplanung!$J$124*Tragwerksplanung!$F$24+Tragwerksplanung!$J$124+Tragwerksplanung!$R$124,0)</f>
        <v>0</v>
      </c>
      <c r="L128" s="749"/>
      <c r="M128" s="749">
        <f>IF($B128=Tragwerksplanung!$U$127,Tragwerksplanung!$J$127*Tragwerksplanung!$F$24+Tragwerksplanung!$J$127+Tragwerksplanung!$L$139,0)</f>
        <v>0</v>
      </c>
      <c r="N128" s="749"/>
      <c r="O128" s="749"/>
      <c r="P128" s="749"/>
      <c r="Q128" s="797">
        <f t="shared" si="9"/>
        <v>0</v>
      </c>
      <c r="T128" s="735"/>
      <c r="U128" s="734"/>
      <c r="V128" s="736"/>
    </row>
    <row r="129" spans="2:22" ht="14.55" x14ac:dyDescent="0.3">
      <c r="B129" s="696">
        <f>IF(Überblick!$H$53&gt;=3,3,"")</f>
        <v>3</v>
      </c>
      <c r="C129" s="748">
        <f>IF($B129=Tragwerksplanung!$U$39,H114*Tragwerksplanung!F25+H114+J114,0)</f>
        <v>0</v>
      </c>
      <c r="D129" s="749">
        <f>IF($B129=Tragwerksplanung!$U$46,Tragwerksplanung!$J$46*Tragwerksplanung!$F$24+Tragwerksplanung!$J$46+Tragwerksplanung!$L$64,0)</f>
        <v>0</v>
      </c>
      <c r="E129" s="749">
        <f>IF($B129=Tragwerksplanung!$U$68,Tragwerksplanung!$J$68*Tragwerksplanung!$F$24+Tragwerksplanung!$J$68+Tragwerksplanung!$L$89,0)</f>
        <v>0</v>
      </c>
      <c r="F129" s="749">
        <f>IF($B129=Tragwerksplanung!$U$93,Tragwerksplanung!$J$93*Tragwerksplanung!$F$24+Tragwerksplanung!$J$93+Tragwerksplanung!$L$110,0)</f>
        <v>0</v>
      </c>
      <c r="G129" s="749">
        <f>IF($B129=Tragwerksplanung!$U$111,Tragwerksplanung!$J$111*Tragwerksplanung!$F$24+Tragwerksplanung!$J$111+Tragwerksplanung!$R$111+Tragwerksplanung!$R$112+Tragwerksplanung!$R$113,0)</f>
        <v>0</v>
      </c>
      <c r="H129" s="749">
        <f>IF($B129=Tragwerksplanung!$U$114,Tragwerksplanung!$J$15*Tragwerksplanung!$F$24+Tragwerksplanung!$J$114+Tragwerksplanung!$R$114,0)</f>
        <v>0</v>
      </c>
      <c r="I129" s="749">
        <f>IF($B129=Tragwerksplanung!$U$116,Freianlagen!$J$114*Tragwerksplanung!$F$24+Tragwerksplanung!$J$116+Tragwerksplanung!$R$116+Tragwerksplanung!$R$118,0)</f>
        <v>0</v>
      </c>
      <c r="J129" s="749">
        <f>IF($B129=Tragwerksplanung!$U$120,Tragwerksplanung!$J$120*Tragwerksplanung!$F$24+Tragwerksplanung!$J$120+Tragwerksplanung!$R$120+Tragwerksplanung!$R$122,0)</f>
        <v>0</v>
      </c>
      <c r="K129" s="749">
        <f>IF($B129=Tragwerksplanung!$U$124,Tragwerksplanung!$J$124*Tragwerksplanung!$F$24+Tragwerksplanung!$J$124+Tragwerksplanung!$R$124,0)</f>
        <v>0</v>
      </c>
      <c r="L129" s="749"/>
      <c r="M129" s="749">
        <f>IF($B129=Tragwerksplanung!$U$127,Tragwerksplanung!$J$127*Tragwerksplanung!$F$24+Tragwerksplanung!$J$127+Tragwerksplanung!$L$139,0)</f>
        <v>0</v>
      </c>
      <c r="N129" s="749"/>
      <c r="O129" s="749"/>
      <c r="P129" s="749"/>
      <c r="Q129" s="797">
        <f t="shared" si="9"/>
        <v>0</v>
      </c>
      <c r="T129" s="735"/>
      <c r="U129" s="734"/>
      <c r="V129" s="736"/>
    </row>
    <row r="130" spans="2:22" ht="14.55" x14ac:dyDescent="0.3">
      <c r="B130" s="696">
        <f>IF(Überblick!$H$53&gt;=4,4,"")</f>
        <v>4</v>
      </c>
      <c r="C130" s="748">
        <f>IF($B130=Tragwerksplanung!$U$39,H115*Tragwerksplanung!F26+H115+J115,0)</f>
        <v>0</v>
      </c>
      <c r="D130" s="749">
        <f>IF($B130=Tragwerksplanung!$U$46,Tragwerksplanung!$J$46*Tragwerksplanung!$F$24+Tragwerksplanung!$J$46+Tragwerksplanung!$L$64,0)</f>
        <v>0</v>
      </c>
      <c r="E130" s="749">
        <f>IF($B130=Tragwerksplanung!$U$68,Tragwerksplanung!$J$68*Tragwerksplanung!$F$24+Tragwerksplanung!$J$68+Tragwerksplanung!$L$89,0)</f>
        <v>0</v>
      </c>
      <c r="F130" s="749">
        <f>IF($B130=Tragwerksplanung!$U$93,Tragwerksplanung!$J$93*Tragwerksplanung!$F$24+Tragwerksplanung!$J$93+Tragwerksplanung!$L$110,0)</f>
        <v>0</v>
      </c>
      <c r="G130" s="749">
        <f>IF($B130=Tragwerksplanung!$U$111,Tragwerksplanung!$J$111*Tragwerksplanung!$F$24+Tragwerksplanung!$J$111+Tragwerksplanung!$R$111+Tragwerksplanung!$R$112+Tragwerksplanung!$R$113,0)</f>
        <v>0</v>
      </c>
      <c r="H130" s="749">
        <f>IF($B130=Tragwerksplanung!$U$114,Tragwerksplanung!$J$15*Tragwerksplanung!$F$24+Tragwerksplanung!$J$114+Tragwerksplanung!$R$114,0)</f>
        <v>0</v>
      </c>
      <c r="I130" s="749">
        <f>IF($B130=Tragwerksplanung!$U$116,Freianlagen!$J$114*Tragwerksplanung!$F$24+Tragwerksplanung!$J$116+Tragwerksplanung!$R$116+Tragwerksplanung!$R$118,0)</f>
        <v>0</v>
      </c>
      <c r="J130" s="749">
        <f>IF($B130=Tragwerksplanung!$U$120,Tragwerksplanung!$J$120*Tragwerksplanung!$F$24+Tragwerksplanung!$J$120+Tragwerksplanung!$R$120+Tragwerksplanung!$R$122,0)</f>
        <v>0</v>
      </c>
      <c r="K130" s="749">
        <f>IF($B130=Tragwerksplanung!$U$124,Tragwerksplanung!$J$124*Tragwerksplanung!$F$24+Tragwerksplanung!$J$124+Tragwerksplanung!$R$124,0)</f>
        <v>0</v>
      </c>
      <c r="L130" s="749"/>
      <c r="M130" s="749">
        <f>IF($B130=Tragwerksplanung!$U$127,Tragwerksplanung!$J$127*Tragwerksplanung!$F$24+Tragwerksplanung!$J$127+Tragwerksplanung!$L$139,0)</f>
        <v>0</v>
      </c>
      <c r="N130" s="749"/>
      <c r="O130" s="749"/>
      <c r="P130" s="749"/>
      <c r="Q130" s="797">
        <f>SUM(C130:P130)</f>
        <v>0</v>
      </c>
      <c r="T130" s="735"/>
      <c r="U130" s="734"/>
      <c r="V130" s="736"/>
    </row>
    <row r="131" spans="2:22" ht="14.55" x14ac:dyDescent="0.3">
      <c r="B131" s="696">
        <f>IF(Überblick!$H$53&gt;=5,5,"")</f>
        <v>5</v>
      </c>
      <c r="C131" s="748">
        <f>IF($B131=Tragwerksplanung!$U$39,H116*Tragwerksplanung!F27+H116+J116,0)</f>
        <v>0</v>
      </c>
      <c r="D131" s="749">
        <f>IF($B131=Tragwerksplanung!$U$46,Tragwerksplanung!$J$46*Tragwerksplanung!$F$24+Tragwerksplanung!$J$46+Tragwerksplanung!$L$64,0)</f>
        <v>0</v>
      </c>
      <c r="E131" s="749">
        <f>IF($B131=Tragwerksplanung!$U$68,Tragwerksplanung!$J$68*Tragwerksplanung!$F$24+Tragwerksplanung!$J$68+Tragwerksplanung!$L$89,0)</f>
        <v>0</v>
      </c>
      <c r="F131" s="749">
        <f>IF($B131=Tragwerksplanung!$U$93,Tragwerksplanung!$J$93*Tragwerksplanung!$F$24+Tragwerksplanung!$J$93+Tragwerksplanung!$L$110,0)</f>
        <v>0</v>
      </c>
      <c r="G131" s="749">
        <f>IF($B131=Tragwerksplanung!$U$111,Tragwerksplanung!$J$111*Tragwerksplanung!$F$24+Tragwerksplanung!$J$111+Tragwerksplanung!$R$111+Tragwerksplanung!$R$112+Tragwerksplanung!$R$113,0)</f>
        <v>0</v>
      </c>
      <c r="H131" s="749">
        <f>IF($B131=Tragwerksplanung!$U$114,Tragwerksplanung!$J$15*Tragwerksplanung!$F$24+Tragwerksplanung!$J$114+Tragwerksplanung!$R$114,0)</f>
        <v>0</v>
      </c>
      <c r="I131" s="749">
        <f>IF($B131=Tragwerksplanung!$U$116,Freianlagen!$J$114*Tragwerksplanung!$F$24+Tragwerksplanung!$J$116+Tragwerksplanung!$R$116+Tragwerksplanung!$R$118,0)</f>
        <v>0</v>
      </c>
      <c r="J131" s="749">
        <f>IF($B131=Tragwerksplanung!$U$120,Tragwerksplanung!$J$120*Tragwerksplanung!$F$24+Tragwerksplanung!$J$120+Tragwerksplanung!$R$120+Tragwerksplanung!$R$122,0)</f>
        <v>0</v>
      </c>
      <c r="K131" s="749">
        <f>IF($B131=Tragwerksplanung!$U$124,Tragwerksplanung!$J$124*Tragwerksplanung!$F$24+Tragwerksplanung!$J$124+Tragwerksplanung!$R$124,0)</f>
        <v>0</v>
      </c>
      <c r="L131" s="749"/>
      <c r="M131" s="749">
        <f>IF($B131=Tragwerksplanung!$U$127,Tragwerksplanung!$J$127*Tragwerksplanung!$F$24+Tragwerksplanung!$J$127+Tragwerksplanung!$L$139,0)</f>
        <v>0</v>
      </c>
      <c r="N131" s="749"/>
      <c r="O131" s="749"/>
      <c r="P131" s="749"/>
      <c r="Q131" s="797">
        <f t="shared" si="9"/>
        <v>0</v>
      </c>
      <c r="T131" s="735"/>
      <c r="U131" s="734"/>
      <c r="V131" s="736"/>
    </row>
    <row r="132" spans="2:22" ht="14.55" x14ac:dyDescent="0.3">
      <c r="B132" s="696">
        <f>IF(Überblick!$H$53&gt;=6,6,"")</f>
        <v>6</v>
      </c>
      <c r="C132" s="748">
        <f>IF($B132=Tragwerksplanung!$U$39,H117*Tragwerksplanung!F28+H117+J117,0)</f>
        <v>0</v>
      </c>
      <c r="D132" s="749">
        <f>IF($B132=Tragwerksplanung!$U$46,Tragwerksplanung!$J$46*Tragwerksplanung!$F$24+Tragwerksplanung!$J$46+Tragwerksplanung!$L$64,0)</f>
        <v>0</v>
      </c>
      <c r="E132" s="749">
        <f>IF($B132=Tragwerksplanung!$U$68,Tragwerksplanung!$J$68*Tragwerksplanung!$F$24+Tragwerksplanung!$J$68+Tragwerksplanung!$L$89,0)</f>
        <v>0</v>
      </c>
      <c r="F132" s="749">
        <f>IF($B132=Tragwerksplanung!$U$93,Tragwerksplanung!$J$93*Tragwerksplanung!$F$24+Tragwerksplanung!$J$93+Tragwerksplanung!$L$110,0)</f>
        <v>0</v>
      </c>
      <c r="G132" s="749">
        <f>IF($B132=Tragwerksplanung!$U$111,Tragwerksplanung!$J$111*Tragwerksplanung!$F$24+Tragwerksplanung!$J$111+Tragwerksplanung!$R$111+Tragwerksplanung!$R$112+Tragwerksplanung!$R$113,0)</f>
        <v>0</v>
      </c>
      <c r="H132" s="749">
        <f>IF($B132=Tragwerksplanung!$U$114,Tragwerksplanung!$J$15*Tragwerksplanung!$F$24+Tragwerksplanung!$J$114+Tragwerksplanung!$R$114,0)</f>
        <v>0</v>
      </c>
      <c r="I132" s="749">
        <f>IF($B132=Tragwerksplanung!$U$116,Freianlagen!$J$114*Tragwerksplanung!$F$24+Tragwerksplanung!$J$116+Tragwerksplanung!$R$116+Tragwerksplanung!$R$118,0)</f>
        <v>0</v>
      </c>
      <c r="J132" s="749">
        <f>IF($B132=Tragwerksplanung!$U$120,Tragwerksplanung!$J$120*Tragwerksplanung!$F$24+Tragwerksplanung!$J$120+Tragwerksplanung!$R$120+Tragwerksplanung!$R$122,0)</f>
        <v>0</v>
      </c>
      <c r="K132" s="749">
        <f>IF($B132=Tragwerksplanung!$U$124,Tragwerksplanung!$J$124*Tragwerksplanung!$F$24+Tragwerksplanung!$J$124+Tragwerksplanung!$R$124,0)</f>
        <v>0</v>
      </c>
      <c r="L132" s="749"/>
      <c r="M132" s="749">
        <f>IF($B132=Tragwerksplanung!$U$127,Tragwerksplanung!$J$127*Tragwerksplanung!$F$24+Tragwerksplanung!$J$127+Tragwerksplanung!$L$139,0)</f>
        <v>0</v>
      </c>
      <c r="N132" s="749"/>
      <c r="O132" s="749"/>
      <c r="P132" s="749"/>
      <c r="Q132" s="797">
        <f t="shared" si="9"/>
        <v>0</v>
      </c>
      <c r="T132" s="735"/>
      <c r="U132" s="734"/>
      <c r="V132" s="736"/>
    </row>
    <row r="133" spans="2:22" ht="14.55" x14ac:dyDescent="0.3">
      <c r="B133" s="696" t="str">
        <f>IF(Überblick!$H$53&gt;=7,7,"")</f>
        <v/>
      </c>
      <c r="C133" s="748">
        <f>IF($B133=Tragwerksplanung!$U$39,H118*Tragwerksplanung!F29+H118+J118,0)</f>
        <v>0</v>
      </c>
      <c r="D133" s="749">
        <f>IF($B133=Tragwerksplanung!$U$46,Tragwerksplanung!$J$46*Tragwerksplanung!$F$24+Tragwerksplanung!$J$46+Tragwerksplanung!$L$64,0)</f>
        <v>0</v>
      </c>
      <c r="E133" s="749">
        <f>IF($B133=Tragwerksplanung!$U$68,Tragwerksplanung!$J$68*Tragwerksplanung!$F$24+Tragwerksplanung!$J$68+Tragwerksplanung!$L$89,0)</f>
        <v>0</v>
      </c>
      <c r="F133" s="749">
        <f>IF($B133=Tragwerksplanung!$U$93,Tragwerksplanung!$J$93*Tragwerksplanung!$F$24+Tragwerksplanung!$J$93+Tragwerksplanung!$L$110,0)</f>
        <v>0</v>
      </c>
      <c r="G133" s="749">
        <f>IF($B133=Tragwerksplanung!$U$111,Tragwerksplanung!$J$111*Tragwerksplanung!$F$24+Tragwerksplanung!$J$111+Tragwerksplanung!$R$111+Tragwerksplanung!$R$112+Tragwerksplanung!$R$113,0)</f>
        <v>0</v>
      </c>
      <c r="H133" s="749">
        <f>IF($B133=Tragwerksplanung!$U$114,Tragwerksplanung!$J$15*Tragwerksplanung!$F$24+Tragwerksplanung!$J$114+Tragwerksplanung!$R$114,0)</f>
        <v>0</v>
      </c>
      <c r="I133" s="749">
        <f>IF($B133=Tragwerksplanung!$U$116,Freianlagen!$J$114*Tragwerksplanung!$F$24+Tragwerksplanung!$J$116+Tragwerksplanung!$R$116+Tragwerksplanung!$R$118,0)</f>
        <v>0</v>
      </c>
      <c r="J133" s="749">
        <f>IF($B133=Tragwerksplanung!$U$120,Tragwerksplanung!$J$120*Tragwerksplanung!$F$24+Tragwerksplanung!$J$120+Tragwerksplanung!$R$120+Tragwerksplanung!$R$122,0)</f>
        <v>0</v>
      </c>
      <c r="K133" s="749">
        <f>IF($B133=Tragwerksplanung!$U$124,Tragwerksplanung!$J$124*Tragwerksplanung!$F$24+Tragwerksplanung!$J$124+Tragwerksplanung!$R$124,0)</f>
        <v>0</v>
      </c>
      <c r="L133" s="749"/>
      <c r="M133" s="749">
        <f>IF($B133=Tragwerksplanung!$U$127,Tragwerksplanung!$J$127*Tragwerksplanung!$F$24+Tragwerksplanung!$J$127+Tragwerksplanung!$L$139,0)</f>
        <v>0</v>
      </c>
      <c r="N133" s="749"/>
      <c r="O133" s="749"/>
      <c r="P133" s="749"/>
      <c r="Q133" s="797">
        <f t="shared" si="9"/>
        <v>0</v>
      </c>
      <c r="T133" s="735"/>
      <c r="U133" s="734"/>
      <c r="V133" s="736"/>
    </row>
    <row r="134" spans="2:22" ht="14.55" x14ac:dyDescent="0.3">
      <c r="B134" s="696" t="str">
        <f>IF(Überblick!$H$53&gt;=8,8,"")</f>
        <v/>
      </c>
      <c r="C134" s="748">
        <f>IF($B134=Tragwerksplanung!$U$39,H119*Tragwerksplanung!F30+H119+J119,0)</f>
        <v>0</v>
      </c>
      <c r="D134" s="749">
        <f>IF($B134=Tragwerksplanung!$U$46,Tragwerksplanung!$J$46*Tragwerksplanung!$F$24+Tragwerksplanung!$J$46+Tragwerksplanung!$L$64,0)</f>
        <v>0</v>
      </c>
      <c r="E134" s="749">
        <f>IF($B134=Tragwerksplanung!$U$68,Tragwerksplanung!$J$68*Tragwerksplanung!$F$24+Tragwerksplanung!$J$68+Tragwerksplanung!$L$89,0)</f>
        <v>0</v>
      </c>
      <c r="F134" s="749">
        <f>IF($B134=Tragwerksplanung!$U$93,Tragwerksplanung!$J$93*Tragwerksplanung!$F$24+Tragwerksplanung!$J$93+Tragwerksplanung!$L$110,0)</f>
        <v>0</v>
      </c>
      <c r="G134" s="749">
        <f>IF($B134=Tragwerksplanung!$U$111,Tragwerksplanung!$J$111*Tragwerksplanung!$F$24+Tragwerksplanung!$J$111+Tragwerksplanung!$R$111+Tragwerksplanung!$R$112+Tragwerksplanung!$R$113,0)</f>
        <v>0</v>
      </c>
      <c r="H134" s="749">
        <f>IF($B134=Tragwerksplanung!$U$114,Tragwerksplanung!$J$15*Tragwerksplanung!$F$24+Tragwerksplanung!$J$114+Tragwerksplanung!$R$114,0)</f>
        <v>0</v>
      </c>
      <c r="I134" s="749">
        <f>IF($B134=Tragwerksplanung!$U$116,Freianlagen!$J$114*Tragwerksplanung!$F$24+Tragwerksplanung!$J$116+Tragwerksplanung!$R$116+Tragwerksplanung!$R$118,0)</f>
        <v>0</v>
      </c>
      <c r="J134" s="749">
        <f>IF($B134=Tragwerksplanung!$U$120,Tragwerksplanung!$J$120*Tragwerksplanung!$F$24+Tragwerksplanung!$J$120+Tragwerksplanung!$R$120+Tragwerksplanung!$R$122,0)</f>
        <v>0</v>
      </c>
      <c r="K134" s="749">
        <f>IF($B134=Tragwerksplanung!$U$124,Tragwerksplanung!$J$124*Tragwerksplanung!$F$24+Tragwerksplanung!$J$124+Tragwerksplanung!$R$124,0)</f>
        <v>0</v>
      </c>
      <c r="L134" s="749"/>
      <c r="M134" s="749">
        <f>IF($B134=Tragwerksplanung!$U$127,Tragwerksplanung!$J$127*Tragwerksplanung!$F$24+Tragwerksplanung!$J$127+Tragwerksplanung!$L$139,0)</f>
        <v>0</v>
      </c>
      <c r="N134" s="749"/>
      <c r="O134" s="749"/>
      <c r="P134" s="749"/>
      <c r="Q134" s="797">
        <f t="shared" si="9"/>
        <v>0</v>
      </c>
      <c r="T134" s="735"/>
      <c r="U134" s="734"/>
      <c r="V134" s="736"/>
    </row>
    <row r="135" spans="2:22" ht="15.2" thickBot="1" x14ac:dyDescent="0.35">
      <c r="B135" s="700">
        <v>9</v>
      </c>
      <c r="C135" s="753">
        <f>IF($B135=Tragwerksplanung!$U$39,H120*Tragwerksplanung!#REF!+H120+J120,0)</f>
        <v>0</v>
      </c>
      <c r="D135" s="754">
        <f>IF($B135=Tragwerksplanung!$U$46,Tragwerksplanung!$J$46*Tragwerksplanung!$F$24+Tragwerksplanung!$J$46+Tragwerksplanung!$L$64,0)</f>
        <v>0</v>
      </c>
      <c r="E135" s="754">
        <f>IF($B135=Tragwerksplanung!$U$68,Tragwerksplanung!$J$68*Tragwerksplanung!$F$24+Tragwerksplanung!$J$68+Tragwerksplanung!$L$89,0)</f>
        <v>0</v>
      </c>
      <c r="F135" s="754">
        <f>IF($B135=Tragwerksplanung!$U$93,Tragwerksplanung!$J$93*Tragwerksplanung!$F$24+Tragwerksplanung!$J$93+Tragwerksplanung!$L$110,0)</f>
        <v>0</v>
      </c>
      <c r="G135" s="754">
        <f>IF($B135=Tragwerksplanung!$U$111,Tragwerksplanung!$J$111*Tragwerksplanung!$F$24+Tragwerksplanung!$J$111+Tragwerksplanung!$R$111+Tragwerksplanung!$R$112+Tragwerksplanung!$R$113,0)</f>
        <v>0</v>
      </c>
      <c r="H135" s="754">
        <f>IF($B135=Tragwerksplanung!$U$114,Tragwerksplanung!$J$15*Tragwerksplanung!$F$24+Tragwerksplanung!$J$114+Tragwerksplanung!$R$114,0)</f>
        <v>0</v>
      </c>
      <c r="I135" s="754">
        <f>IF($B135=Tragwerksplanung!$U$116,Freianlagen!$J$114*Tragwerksplanung!$F$24+Tragwerksplanung!$J$116+Tragwerksplanung!$R$116+Tragwerksplanung!$R$118,0)</f>
        <v>0</v>
      </c>
      <c r="J135" s="754">
        <f>IF($B135=Tragwerksplanung!$U$120,Tragwerksplanung!$J$120*Tragwerksplanung!$F$24+Tragwerksplanung!$J$120+Tragwerksplanung!$R$120+Tragwerksplanung!$R$122,0)</f>
        <v>0</v>
      </c>
      <c r="K135" s="754">
        <f>IF($B135=Tragwerksplanung!$U$124,Tragwerksplanung!$J$124*Tragwerksplanung!$F$24+Tragwerksplanung!$J$124+Tragwerksplanung!$R$124,0)</f>
        <v>0</v>
      </c>
      <c r="L135" s="754"/>
      <c r="M135" s="754">
        <f>IF($B135=Tragwerksplanung!$U$127,Tragwerksplanung!$J$127*Tragwerksplanung!$F$24+Tragwerksplanung!$J$127+Tragwerksplanung!$L$139,0)</f>
        <v>0</v>
      </c>
      <c r="N135" s="754"/>
      <c r="O135" s="754"/>
      <c r="P135" s="754"/>
      <c r="Q135" s="799">
        <f t="shared" ref="Q135" si="10">SUM(C135:P135)</f>
        <v>0</v>
      </c>
      <c r="T135" s="735"/>
      <c r="U135" s="734"/>
      <c r="V135" s="736"/>
    </row>
    <row r="136" spans="2:22" ht="15.2" thickBot="1" x14ac:dyDescent="0.35">
      <c r="Q136" s="800">
        <f>SUM(Q127:Q135)</f>
        <v>0</v>
      </c>
      <c r="T136" s="735"/>
      <c r="U136" s="734"/>
      <c r="V136" s="736"/>
    </row>
    <row r="137" spans="2:22" ht="14.55" x14ac:dyDescent="0.3">
      <c r="T137" s="735"/>
      <c r="U137" s="734"/>
      <c r="V137" s="736"/>
    </row>
    <row r="138" spans="2:22" ht="14.55" x14ac:dyDescent="0.3">
      <c r="T138" s="735"/>
      <c r="U138" s="734"/>
      <c r="V138" s="736"/>
    </row>
    <row r="139" spans="2:22" ht="14.55" x14ac:dyDescent="0.3">
      <c r="T139" s="735"/>
      <c r="U139" s="734"/>
      <c r="V139" s="736"/>
    </row>
    <row r="140" spans="2:22" ht="14.55" x14ac:dyDescent="0.3">
      <c r="T140" s="735"/>
      <c r="U140" s="734"/>
      <c r="V140" s="736"/>
    </row>
    <row r="141" spans="2:22" ht="14.55" x14ac:dyDescent="0.3">
      <c r="T141" s="735"/>
      <c r="U141" s="734"/>
      <c r="V141" s="736"/>
    </row>
    <row r="142" spans="2:22" ht="14.55" x14ac:dyDescent="0.3">
      <c r="T142" s="735"/>
      <c r="U142" s="734"/>
      <c r="V142" s="736"/>
    </row>
    <row r="143" spans="2:22" ht="14.55" x14ac:dyDescent="0.3">
      <c r="T143" s="735"/>
      <c r="U143" s="734"/>
      <c r="V143" s="736"/>
    </row>
    <row r="144" spans="2:22" ht="14.55" x14ac:dyDescent="0.3">
      <c r="T144" s="735"/>
      <c r="U144" s="734"/>
      <c r="V144" s="736"/>
    </row>
    <row r="145" spans="20:22" ht="14.55" x14ac:dyDescent="0.3">
      <c r="T145" s="735"/>
      <c r="U145" s="734"/>
      <c r="V145" s="736"/>
    </row>
    <row r="146" spans="20:22" ht="14.55" x14ac:dyDescent="0.3">
      <c r="T146" s="735"/>
      <c r="U146" s="734"/>
      <c r="V146" s="736"/>
    </row>
    <row r="147" spans="20:22" ht="14.55" x14ac:dyDescent="0.3">
      <c r="T147" s="735"/>
      <c r="U147" s="734"/>
      <c r="V147" s="736"/>
    </row>
    <row r="148" spans="20:22" ht="14.55" x14ac:dyDescent="0.3">
      <c r="T148" s="735"/>
      <c r="U148" s="734"/>
      <c r="V148" s="736"/>
    </row>
    <row r="149" spans="20:22" ht="14.55" x14ac:dyDescent="0.3">
      <c r="T149" s="735"/>
      <c r="U149" s="734"/>
      <c r="V149" s="736"/>
    </row>
    <row r="150" spans="20:22" ht="14.55" x14ac:dyDescent="0.3">
      <c r="T150" s="735"/>
      <c r="U150" s="734"/>
      <c r="V150" s="736"/>
    </row>
    <row r="151" spans="20:22" ht="14.55" x14ac:dyDescent="0.3">
      <c r="T151" s="735"/>
      <c r="U151" s="734"/>
      <c r="V151" s="736"/>
    </row>
    <row r="152" spans="20:22" ht="14.55" x14ac:dyDescent="0.3">
      <c r="T152" s="735"/>
      <c r="U152" s="734"/>
      <c r="V152" s="736"/>
    </row>
    <row r="153" spans="20:22" ht="14.55" x14ac:dyDescent="0.3">
      <c r="T153" s="735"/>
      <c r="U153" s="734"/>
      <c r="V153" s="736"/>
    </row>
    <row r="154" spans="20:22" ht="14.55" x14ac:dyDescent="0.3">
      <c r="T154" s="735"/>
      <c r="U154" s="734"/>
      <c r="V154" s="736"/>
    </row>
    <row r="155" spans="20:22" ht="14.55" x14ac:dyDescent="0.3">
      <c r="T155" s="735"/>
      <c r="U155" s="734"/>
      <c r="V155" s="736"/>
    </row>
    <row r="156" spans="20:22" ht="14.55" x14ac:dyDescent="0.3">
      <c r="T156" s="735"/>
      <c r="U156" s="734"/>
      <c r="V156" s="736"/>
    </row>
    <row r="157" spans="20:22" ht="14.55" x14ac:dyDescent="0.3">
      <c r="T157" s="735"/>
      <c r="U157" s="734"/>
      <c r="V157" s="736"/>
    </row>
    <row r="158" spans="20:22" ht="14.55" x14ac:dyDescent="0.3">
      <c r="T158" s="735"/>
      <c r="U158" s="734"/>
      <c r="V158" s="736"/>
    </row>
    <row r="159" spans="20:22" ht="14.55" x14ac:dyDescent="0.3">
      <c r="T159" s="735"/>
      <c r="U159" s="734"/>
      <c r="V159" s="736"/>
    </row>
    <row r="160" spans="20:22" ht="14.55" x14ac:dyDescent="0.3">
      <c r="T160" s="735"/>
      <c r="U160" s="734"/>
      <c r="V160" s="736"/>
    </row>
    <row r="161" spans="20:22" ht="14.55" x14ac:dyDescent="0.3">
      <c r="T161" s="735"/>
      <c r="U161" s="734"/>
      <c r="V161" s="736"/>
    </row>
    <row r="162" spans="20:22" ht="14.55" x14ac:dyDescent="0.3">
      <c r="T162" s="735"/>
      <c r="U162" s="734"/>
      <c r="V162" s="736"/>
    </row>
    <row r="163" spans="20:22" ht="14.55" x14ac:dyDescent="0.3">
      <c r="T163" s="735"/>
      <c r="U163" s="734"/>
      <c r="V163" s="736"/>
    </row>
    <row r="164" spans="20:22" ht="14.55" x14ac:dyDescent="0.3">
      <c r="T164" s="735"/>
      <c r="U164" s="734"/>
      <c r="V164" s="736"/>
    </row>
    <row r="165" spans="20:22" ht="14.55" x14ac:dyDescent="0.3">
      <c r="T165" s="735"/>
      <c r="U165" s="734"/>
      <c r="V165" s="736"/>
    </row>
    <row r="166" spans="20:22" ht="14.55" x14ac:dyDescent="0.3">
      <c r="T166" s="735"/>
      <c r="U166" s="734"/>
      <c r="V166" s="736"/>
    </row>
    <row r="167" spans="20:22" ht="14.55" x14ac:dyDescent="0.3">
      <c r="T167" s="735"/>
      <c r="U167" s="734"/>
      <c r="V167" s="736"/>
    </row>
    <row r="168" spans="20:22" ht="14.55" x14ac:dyDescent="0.3">
      <c r="T168" s="735"/>
      <c r="U168" s="734"/>
      <c r="V168" s="736"/>
    </row>
    <row r="169" spans="20:22" ht="14.55" x14ac:dyDescent="0.3">
      <c r="T169" s="735"/>
      <c r="U169" s="734"/>
      <c r="V169" s="736"/>
    </row>
    <row r="170" spans="20:22" ht="14.55" x14ac:dyDescent="0.3">
      <c r="T170" s="735"/>
      <c r="U170" s="734"/>
      <c r="V170" s="736"/>
    </row>
    <row r="171" spans="20:22" ht="14.55" x14ac:dyDescent="0.3">
      <c r="T171" s="735"/>
      <c r="U171" s="734"/>
      <c r="V171" s="736"/>
    </row>
    <row r="172" spans="20:22" ht="14.55" x14ac:dyDescent="0.3">
      <c r="T172" s="735"/>
      <c r="U172" s="734"/>
      <c r="V172" s="736"/>
    </row>
    <row r="173" spans="20:22" ht="14.55" x14ac:dyDescent="0.3">
      <c r="T173" s="735"/>
      <c r="U173" s="734"/>
      <c r="V173" s="736"/>
    </row>
    <row r="174" spans="20:22" ht="14.55" x14ac:dyDescent="0.3">
      <c r="T174" s="735"/>
      <c r="U174" s="734"/>
      <c r="V174" s="736"/>
    </row>
    <row r="175" spans="20:22" ht="14.55" x14ac:dyDescent="0.3">
      <c r="T175" s="735"/>
      <c r="U175" s="734"/>
      <c r="V175" s="736"/>
    </row>
    <row r="176" spans="20:22" ht="14.55" x14ac:dyDescent="0.3">
      <c r="T176" s="735"/>
      <c r="U176" s="734"/>
      <c r="V176" s="736"/>
    </row>
    <row r="177" spans="20:22" ht="14.55" x14ac:dyDescent="0.3">
      <c r="T177" s="735"/>
      <c r="U177" s="734"/>
      <c r="V177" s="736"/>
    </row>
    <row r="178" spans="20:22" ht="14.55" x14ac:dyDescent="0.3">
      <c r="T178" s="735"/>
      <c r="U178" s="734"/>
      <c r="V178" s="736"/>
    </row>
    <row r="179" spans="20:22" ht="14.55" x14ac:dyDescent="0.3">
      <c r="T179" s="735"/>
      <c r="U179" s="734"/>
      <c r="V179" s="736"/>
    </row>
    <row r="180" spans="20:22" ht="14.55" x14ac:dyDescent="0.3">
      <c r="T180" s="735"/>
      <c r="U180" s="734"/>
      <c r="V180" s="736"/>
    </row>
    <row r="181" spans="20:22" ht="14.55" x14ac:dyDescent="0.3">
      <c r="T181" s="735"/>
      <c r="U181" s="734"/>
      <c r="V181" s="736"/>
    </row>
    <row r="182" spans="20:22" ht="14.55" x14ac:dyDescent="0.3">
      <c r="T182" s="735"/>
      <c r="U182" s="734"/>
      <c r="V182" s="736"/>
    </row>
    <row r="183" spans="20:22" ht="14.55" x14ac:dyDescent="0.3">
      <c r="T183" s="735"/>
      <c r="U183" s="734"/>
      <c r="V183" s="736"/>
    </row>
    <row r="184" spans="20:22" ht="14.55" x14ac:dyDescent="0.3">
      <c r="T184" s="735"/>
      <c r="U184" s="734"/>
      <c r="V184" s="736"/>
    </row>
    <row r="185" spans="20:22" ht="14.55" x14ac:dyDescent="0.3">
      <c r="T185" s="735"/>
      <c r="U185" s="734"/>
      <c r="V185" s="736"/>
    </row>
    <row r="186" spans="20:22" ht="14.55" x14ac:dyDescent="0.3">
      <c r="T186" s="735"/>
      <c r="U186" s="734"/>
      <c r="V186" s="736"/>
    </row>
    <row r="187" spans="20:22" ht="14.55" x14ac:dyDescent="0.3">
      <c r="T187" s="735"/>
      <c r="U187" s="734"/>
      <c r="V187" s="736"/>
    </row>
    <row r="188" spans="20:22" ht="14.55" x14ac:dyDescent="0.3">
      <c r="T188" s="735"/>
      <c r="U188" s="734"/>
      <c r="V188" s="736"/>
    </row>
    <row r="189" spans="20:22" ht="14.55" x14ac:dyDescent="0.3">
      <c r="T189" s="735"/>
      <c r="U189" s="734"/>
      <c r="V189" s="736"/>
    </row>
    <row r="190" spans="20:22" ht="14.55" x14ac:dyDescent="0.3">
      <c r="T190" s="735"/>
      <c r="U190" s="734"/>
      <c r="V190" s="758"/>
    </row>
    <row r="191" spans="20:22" ht="14.55" x14ac:dyDescent="0.3">
      <c r="T191" s="735"/>
      <c r="U191" s="734"/>
      <c r="V191" s="736"/>
    </row>
    <row r="192" spans="20:22" ht="14.55" x14ac:dyDescent="0.3">
      <c r="T192" s="735"/>
      <c r="U192" s="734"/>
      <c r="V192" s="736"/>
    </row>
    <row r="193" spans="20:22" ht="14.55" x14ac:dyDescent="0.3">
      <c r="T193" s="735"/>
      <c r="U193" s="734"/>
      <c r="V193" s="736"/>
    </row>
    <row r="194" spans="20:22" ht="14.55" x14ac:dyDescent="0.3">
      <c r="T194" s="735"/>
      <c r="U194" s="734"/>
      <c r="V194" s="736"/>
    </row>
    <row r="195" spans="20:22" ht="14.55" x14ac:dyDescent="0.3">
      <c r="T195" s="735"/>
      <c r="U195" s="734"/>
      <c r="V195" s="736"/>
    </row>
    <row r="196" spans="20:22" ht="14.55" x14ac:dyDescent="0.3">
      <c r="T196" s="735"/>
      <c r="U196" s="734"/>
      <c r="V196" s="736"/>
    </row>
    <row r="197" spans="20:22" ht="14.55" x14ac:dyDescent="0.3">
      <c r="T197" s="735"/>
      <c r="U197" s="734"/>
      <c r="V197" s="736"/>
    </row>
    <row r="198" spans="20:22" ht="14.55" x14ac:dyDescent="0.3">
      <c r="T198" s="735"/>
      <c r="U198" s="734"/>
      <c r="V198" s="736"/>
    </row>
    <row r="199" spans="20:22" ht="14.55" x14ac:dyDescent="0.3">
      <c r="T199" s="735"/>
      <c r="U199" s="734"/>
      <c r="V199" s="736"/>
    </row>
    <row r="200" spans="20:22" ht="14.55" x14ac:dyDescent="0.3">
      <c r="T200" s="735"/>
      <c r="U200" s="734"/>
      <c r="V200" s="736"/>
    </row>
    <row r="201" spans="20:22" ht="14.55" x14ac:dyDescent="0.3">
      <c r="T201" s="735"/>
      <c r="U201" s="734"/>
      <c r="V201" s="736"/>
    </row>
    <row r="202" spans="20:22" ht="14.55" x14ac:dyDescent="0.3">
      <c r="T202" s="735"/>
      <c r="U202" s="734"/>
      <c r="V202" s="736"/>
    </row>
    <row r="203" spans="20:22" ht="14.55" x14ac:dyDescent="0.3">
      <c r="T203" s="735"/>
      <c r="U203" s="734"/>
      <c r="V203" s="736"/>
    </row>
    <row r="204" spans="20:22" ht="14.55" x14ac:dyDescent="0.3">
      <c r="T204" s="735"/>
      <c r="U204" s="734"/>
      <c r="V204" s="736"/>
    </row>
    <row r="205" spans="20:22" ht="14.55" x14ac:dyDescent="0.3">
      <c r="T205" s="735"/>
      <c r="U205" s="734"/>
      <c r="V205" s="736"/>
    </row>
    <row r="206" spans="20:22" ht="14.55" x14ac:dyDescent="0.3">
      <c r="T206" s="735"/>
      <c r="U206" s="734"/>
      <c r="V206" s="736"/>
    </row>
    <row r="207" spans="20:22" ht="14.55" x14ac:dyDescent="0.3">
      <c r="T207" s="735"/>
      <c r="U207" s="734"/>
      <c r="V207" s="736"/>
    </row>
    <row r="208" spans="20:22" ht="14.55" x14ac:dyDescent="0.3">
      <c r="T208" s="735"/>
      <c r="U208" s="734"/>
      <c r="V208" s="736"/>
    </row>
    <row r="209" spans="20:22" ht="14.55" x14ac:dyDescent="0.3">
      <c r="T209" s="735"/>
      <c r="U209" s="734"/>
      <c r="V209" s="736"/>
    </row>
    <row r="210" spans="20:22" ht="14.55" x14ac:dyDescent="0.3">
      <c r="T210" s="735"/>
      <c r="U210" s="734"/>
      <c r="V210" s="736"/>
    </row>
    <row r="211" spans="20:22" ht="14.55" x14ac:dyDescent="0.3">
      <c r="T211" s="735"/>
      <c r="U211" s="734"/>
      <c r="V211" s="736"/>
    </row>
    <row r="212" spans="20:22" ht="14.55" x14ac:dyDescent="0.3">
      <c r="T212" s="735"/>
      <c r="U212" s="734"/>
      <c r="V212" s="736"/>
    </row>
    <row r="213" spans="20:22" ht="14.55" x14ac:dyDescent="0.3">
      <c r="T213" s="735"/>
      <c r="U213" s="734"/>
      <c r="V213" s="736"/>
    </row>
    <row r="214" spans="20:22" ht="14.55" x14ac:dyDescent="0.3">
      <c r="T214" s="735"/>
      <c r="U214" s="734"/>
      <c r="V214" s="736"/>
    </row>
    <row r="215" spans="20:22" ht="14.55" x14ac:dyDescent="0.3">
      <c r="T215" s="735"/>
      <c r="U215" s="734"/>
      <c r="V215" s="736"/>
    </row>
    <row r="216" spans="20:22" ht="14.55" x14ac:dyDescent="0.3">
      <c r="T216" s="735"/>
      <c r="U216" s="734"/>
      <c r="V216" s="736"/>
    </row>
    <row r="217" spans="20:22" ht="14.55" x14ac:dyDescent="0.3">
      <c r="T217" s="735"/>
      <c r="U217" s="734"/>
      <c r="V217" s="736"/>
    </row>
    <row r="218" spans="20:22" ht="14.55" x14ac:dyDescent="0.3">
      <c r="T218" s="735"/>
      <c r="U218" s="734"/>
      <c r="V218" s="736"/>
    </row>
    <row r="219" spans="20:22" ht="14.55" x14ac:dyDescent="0.3">
      <c r="T219" s="735"/>
      <c r="U219" s="734"/>
      <c r="V219" s="736"/>
    </row>
    <row r="220" spans="20:22" ht="14.55" x14ac:dyDescent="0.3">
      <c r="T220" s="735"/>
      <c r="U220" s="734"/>
      <c r="V220" s="736"/>
    </row>
    <row r="221" spans="20:22" ht="14.55" x14ac:dyDescent="0.3">
      <c r="T221" s="735"/>
      <c r="U221" s="734"/>
      <c r="V221" s="736"/>
    </row>
    <row r="222" spans="20:22" ht="14.55" x14ac:dyDescent="0.3">
      <c r="T222" s="735"/>
      <c r="U222" s="734"/>
      <c r="V222" s="736"/>
    </row>
    <row r="223" spans="20:22" ht="14.55" x14ac:dyDescent="0.3">
      <c r="T223" s="735"/>
      <c r="U223" s="734"/>
      <c r="V223" s="736"/>
    </row>
    <row r="224" spans="20:22" ht="14.55" x14ac:dyDescent="0.3">
      <c r="T224" s="735"/>
      <c r="U224" s="734"/>
      <c r="V224" s="736"/>
    </row>
    <row r="225" spans="20:22" ht="14.55" x14ac:dyDescent="0.3">
      <c r="T225" s="735"/>
      <c r="U225" s="734"/>
      <c r="V225" s="736"/>
    </row>
    <row r="226" spans="20:22" ht="14.55" x14ac:dyDescent="0.3">
      <c r="T226" s="735"/>
      <c r="U226" s="734"/>
      <c r="V226" s="736"/>
    </row>
    <row r="227" spans="20:22" ht="14.55" x14ac:dyDescent="0.3">
      <c r="T227" s="735"/>
      <c r="U227" s="734"/>
      <c r="V227" s="736"/>
    </row>
    <row r="228" spans="20:22" ht="14.55" x14ac:dyDescent="0.3">
      <c r="T228" s="735"/>
      <c r="U228" s="734"/>
      <c r="V228" s="736"/>
    </row>
    <row r="229" spans="20:22" ht="14.55" x14ac:dyDescent="0.3">
      <c r="T229" s="735"/>
      <c r="U229" s="734"/>
      <c r="V229" s="736"/>
    </row>
    <row r="230" spans="20:22" ht="14.55" x14ac:dyDescent="0.3">
      <c r="T230" s="735"/>
      <c r="U230" s="734"/>
      <c r="V230" s="736"/>
    </row>
    <row r="231" spans="20:22" ht="14.55" x14ac:dyDescent="0.3">
      <c r="T231" s="735"/>
      <c r="U231" s="734"/>
      <c r="V231" s="736"/>
    </row>
    <row r="232" spans="20:22" ht="14.55" x14ac:dyDescent="0.3">
      <c r="T232" s="735"/>
      <c r="U232" s="734"/>
      <c r="V232" s="736"/>
    </row>
    <row r="233" spans="20:22" ht="14.55" x14ac:dyDescent="0.3">
      <c r="T233" s="735"/>
      <c r="U233" s="734"/>
      <c r="V233" s="736"/>
    </row>
    <row r="234" spans="20:22" ht="14.55" x14ac:dyDescent="0.3">
      <c r="T234" s="735"/>
      <c r="U234" s="734"/>
      <c r="V234" s="736"/>
    </row>
    <row r="235" spans="20:22" ht="14.55" x14ac:dyDescent="0.3">
      <c r="T235" s="735"/>
      <c r="U235" s="734"/>
      <c r="V235" s="736"/>
    </row>
    <row r="236" spans="20:22" ht="14.55" x14ac:dyDescent="0.3">
      <c r="T236" s="735"/>
      <c r="U236" s="734"/>
      <c r="V236" s="736"/>
    </row>
    <row r="237" spans="20:22" ht="14.55" x14ac:dyDescent="0.3">
      <c r="T237" s="735"/>
      <c r="U237" s="734"/>
      <c r="V237" s="736"/>
    </row>
    <row r="238" spans="20:22" ht="14.55" x14ac:dyDescent="0.3">
      <c r="T238" s="735"/>
      <c r="U238" s="734"/>
      <c r="V238" s="736"/>
    </row>
    <row r="239" spans="20:22" ht="14.55" x14ac:dyDescent="0.3">
      <c r="T239" s="735"/>
      <c r="U239" s="734"/>
      <c r="V239" s="736"/>
    </row>
    <row r="240" spans="20:22" ht="14.55" x14ac:dyDescent="0.3">
      <c r="T240" s="735"/>
      <c r="U240" s="734"/>
      <c r="V240" s="736"/>
    </row>
    <row r="241" spans="20:22" ht="14.55" x14ac:dyDescent="0.3">
      <c r="T241" s="735"/>
      <c r="U241" s="734"/>
      <c r="V241" s="736"/>
    </row>
    <row r="242" spans="20:22" ht="14.55" x14ac:dyDescent="0.3">
      <c r="T242" s="735"/>
      <c r="U242" s="734"/>
      <c r="V242" s="736"/>
    </row>
    <row r="243" spans="20:22" ht="14.55" x14ac:dyDescent="0.3">
      <c r="T243" s="735"/>
      <c r="U243" s="734"/>
      <c r="V243" s="736"/>
    </row>
    <row r="244" spans="20:22" ht="14.55" x14ac:dyDescent="0.3">
      <c r="T244" s="735"/>
      <c r="U244" s="734"/>
      <c r="V244" s="736"/>
    </row>
    <row r="245" spans="20:22" ht="14.55" x14ac:dyDescent="0.3">
      <c r="T245" s="735"/>
      <c r="U245" s="734"/>
      <c r="V245" s="736"/>
    </row>
    <row r="246" spans="20:22" ht="14.55" x14ac:dyDescent="0.3">
      <c r="T246" s="735"/>
      <c r="U246" s="734"/>
      <c r="V246" s="736"/>
    </row>
    <row r="247" spans="20:22" ht="14.55" x14ac:dyDescent="0.3">
      <c r="T247" s="735"/>
      <c r="U247" s="734"/>
      <c r="V247" s="736"/>
    </row>
    <row r="248" spans="20:22" ht="14.55" x14ac:dyDescent="0.3">
      <c r="T248" s="735"/>
      <c r="U248" s="734"/>
      <c r="V248" s="736"/>
    </row>
    <row r="249" spans="20:22" ht="14.55" x14ac:dyDescent="0.3">
      <c r="T249" s="735"/>
      <c r="U249" s="734"/>
      <c r="V249" s="736"/>
    </row>
    <row r="250" spans="20:22" ht="14.55" x14ac:dyDescent="0.3">
      <c r="T250" s="735"/>
      <c r="U250" s="734"/>
      <c r="V250" s="736"/>
    </row>
    <row r="251" spans="20:22" ht="14.55" x14ac:dyDescent="0.3">
      <c r="T251" s="735"/>
      <c r="U251" s="734"/>
      <c r="V251" s="736"/>
    </row>
    <row r="252" spans="20:22" ht="14.55" x14ac:dyDescent="0.3">
      <c r="T252" s="735"/>
      <c r="U252" s="734"/>
      <c r="V252" s="736"/>
    </row>
    <row r="253" spans="20:22" ht="14.55" x14ac:dyDescent="0.3">
      <c r="T253" s="735"/>
      <c r="U253" s="734"/>
      <c r="V253" s="736"/>
    </row>
    <row r="254" spans="20:22" ht="14.55" x14ac:dyDescent="0.3">
      <c r="T254" s="735"/>
      <c r="U254" s="734"/>
      <c r="V254" s="736"/>
    </row>
    <row r="255" spans="20:22" ht="14.55" x14ac:dyDescent="0.3">
      <c r="T255" s="735"/>
      <c r="U255" s="734"/>
      <c r="V255" s="736"/>
    </row>
    <row r="256" spans="20:22" ht="14.55" x14ac:dyDescent="0.3">
      <c r="T256" s="735"/>
      <c r="U256" s="734"/>
      <c r="V256" s="736"/>
    </row>
    <row r="257" spans="20:22" ht="14.55" x14ac:dyDescent="0.3">
      <c r="T257" s="735"/>
      <c r="U257" s="734"/>
      <c r="V257" s="736"/>
    </row>
    <row r="258" spans="20:22" ht="14.55" x14ac:dyDescent="0.3">
      <c r="T258" s="735"/>
      <c r="U258" s="734"/>
      <c r="V258" s="736"/>
    </row>
    <row r="259" spans="20:22" ht="14.55" x14ac:dyDescent="0.3">
      <c r="T259" s="735"/>
      <c r="U259" s="734"/>
      <c r="V259" s="736"/>
    </row>
    <row r="260" spans="20:22" ht="14.55" x14ac:dyDescent="0.3">
      <c r="T260" s="735"/>
      <c r="U260" s="734"/>
      <c r="V260" s="736"/>
    </row>
    <row r="261" spans="20:22" ht="14.55" x14ac:dyDescent="0.3">
      <c r="T261" s="735"/>
      <c r="U261" s="734"/>
      <c r="V261" s="736"/>
    </row>
    <row r="262" spans="20:22" ht="14.55" x14ac:dyDescent="0.3">
      <c r="T262" s="735"/>
      <c r="U262" s="734"/>
      <c r="V262" s="736"/>
    </row>
    <row r="263" spans="20:22" ht="14.55" x14ac:dyDescent="0.3">
      <c r="T263" s="735"/>
      <c r="U263" s="734"/>
      <c r="V263" s="736"/>
    </row>
    <row r="264" spans="20:22" ht="14.55" x14ac:dyDescent="0.3">
      <c r="T264" s="735"/>
      <c r="U264" s="734"/>
      <c r="V264" s="736"/>
    </row>
    <row r="265" spans="20:22" ht="14.55" x14ac:dyDescent="0.3">
      <c r="T265" s="735"/>
      <c r="U265" s="734"/>
      <c r="V265" s="736"/>
    </row>
    <row r="266" spans="20:22" ht="14.55" x14ac:dyDescent="0.3">
      <c r="T266" s="735"/>
      <c r="U266" s="734"/>
      <c r="V266" s="736"/>
    </row>
    <row r="267" spans="20:22" ht="14.55" x14ac:dyDescent="0.3">
      <c r="T267" s="735"/>
      <c r="U267" s="734"/>
      <c r="V267" s="736"/>
    </row>
    <row r="268" spans="20:22" ht="14.55" x14ac:dyDescent="0.3">
      <c r="T268" s="735"/>
      <c r="U268" s="734"/>
      <c r="V268" s="736"/>
    </row>
    <row r="269" spans="20:22" ht="14.55" x14ac:dyDescent="0.3">
      <c r="T269" s="735"/>
      <c r="U269" s="734"/>
      <c r="V269" s="736"/>
    </row>
    <row r="270" spans="20:22" ht="14.55" x14ac:dyDescent="0.3">
      <c r="T270" s="735"/>
      <c r="U270" s="734"/>
      <c r="V270" s="736"/>
    </row>
    <row r="271" spans="20:22" ht="14.55" x14ac:dyDescent="0.3">
      <c r="T271" s="735"/>
      <c r="U271" s="734"/>
      <c r="V271" s="736"/>
    </row>
    <row r="272" spans="20:22" ht="14.55" x14ac:dyDescent="0.3">
      <c r="T272" s="735"/>
      <c r="U272" s="734"/>
      <c r="V272" s="736"/>
    </row>
    <row r="273" spans="3:22" ht="14.55" x14ac:dyDescent="0.3">
      <c r="T273" s="735"/>
      <c r="U273" s="734"/>
      <c r="V273" s="736"/>
    </row>
    <row r="274" spans="3:22" ht="14.55" x14ac:dyDescent="0.3">
      <c r="T274" s="735"/>
      <c r="U274" s="734"/>
      <c r="V274" s="736"/>
    </row>
    <row r="275" spans="3:22" ht="14.55" x14ac:dyDescent="0.3">
      <c r="T275" s="735"/>
      <c r="U275" s="734"/>
      <c r="V275" s="736"/>
    </row>
    <row r="276" spans="3:22" ht="14.55" x14ac:dyDescent="0.3">
      <c r="T276" s="735"/>
      <c r="U276" s="734"/>
      <c r="V276" s="736"/>
    </row>
    <row r="277" spans="3:22" ht="14.55" x14ac:dyDescent="0.3">
      <c r="T277" s="735"/>
      <c r="U277" s="734"/>
      <c r="V277" s="736"/>
    </row>
    <row r="278" spans="3:22" ht="14.55" x14ac:dyDescent="0.3">
      <c r="T278" s="735"/>
      <c r="U278" s="734"/>
      <c r="V278" s="736"/>
    </row>
    <row r="279" spans="3:22" ht="14.55" x14ac:dyDescent="0.3">
      <c r="T279" s="735"/>
      <c r="U279" s="734"/>
      <c r="V279" s="736"/>
    </row>
    <row r="280" spans="3:22" ht="14.55" x14ac:dyDescent="0.3">
      <c r="T280" s="735"/>
      <c r="U280" s="734"/>
      <c r="V280" s="736"/>
    </row>
    <row r="281" spans="3:22" ht="14.55" x14ac:dyDescent="0.3">
      <c r="T281" s="735"/>
      <c r="U281" s="734"/>
      <c r="V281" s="736"/>
    </row>
    <row r="282" spans="3:22" ht="14.55" x14ac:dyDescent="0.3">
      <c r="T282" s="735"/>
      <c r="U282" s="734"/>
      <c r="V282" s="736"/>
    </row>
    <row r="283" spans="3:22" ht="14.55" x14ac:dyDescent="0.3">
      <c r="T283" s="735"/>
      <c r="U283" s="734"/>
      <c r="V283" s="736"/>
    </row>
    <row r="284" spans="3:22" ht="14.55" x14ac:dyDescent="0.3">
      <c r="T284" s="735"/>
      <c r="U284" s="734"/>
      <c r="V284" s="736"/>
    </row>
    <row r="285" spans="3:22" ht="14.55" x14ac:dyDescent="0.3">
      <c r="T285" s="735"/>
      <c r="U285" s="734"/>
      <c r="V285" s="736"/>
    </row>
    <row r="286" spans="3:22" ht="14.55" x14ac:dyDescent="0.3">
      <c r="T286" s="735"/>
      <c r="U286" s="734"/>
      <c r="V286" s="736"/>
    </row>
    <row r="287" spans="3:22" ht="14.55" x14ac:dyDescent="0.3">
      <c r="C287" s="741">
        <f>'Berechnung - Tragswerksplanung'!C127</f>
        <v>0</v>
      </c>
      <c r="D287" s="741">
        <f>'Berechnung - Tragswerksplanung'!D127</f>
        <v>0</v>
      </c>
      <c r="E287" s="741">
        <f>'Berechnung - Tragswerksplanung'!E127</f>
        <v>0</v>
      </c>
      <c r="F287" s="741">
        <f>'Berechnung - Tragswerksplanung'!F127</f>
        <v>0</v>
      </c>
      <c r="G287" s="741">
        <f>'Berechnung - Tragswerksplanung'!G127</f>
        <v>0</v>
      </c>
      <c r="H287" s="741">
        <f>'Berechnung - Tragswerksplanung'!H127</f>
        <v>0</v>
      </c>
      <c r="I287" s="741">
        <f>'Berechnung - Tragswerksplanung'!I127</f>
        <v>0</v>
      </c>
      <c r="J287" s="741">
        <f>'Berechnung - Tragswerksplanung'!J127</f>
        <v>0</v>
      </c>
      <c r="K287" s="741">
        <f>'Berechnung - Tragswerksplanung'!K127</f>
        <v>0</v>
      </c>
      <c r="L287" s="741">
        <f>'Berechnung - Tragswerksplanung'!L127</f>
        <v>0</v>
      </c>
      <c r="M287" s="741">
        <f>'Berechnung - Tragswerksplanung'!M127</f>
        <v>0</v>
      </c>
      <c r="N287" s="741">
        <f>'Berechnung - Tragswerksplanung'!N127</f>
        <v>0</v>
      </c>
      <c r="O287" s="741">
        <f>'Berechnung - Tragswerksplanung'!O127</f>
        <v>0</v>
      </c>
      <c r="P287" s="741">
        <f>'Berechnung - Tragswerksplanung'!P127</f>
        <v>0</v>
      </c>
      <c r="T287" s="735"/>
      <c r="U287" s="734"/>
      <c r="V287" s="736"/>
    </row>
    <row r="288" spans="3:22" ht="14.55" x14ac:dyDescent="0.3">
      <c r="C288" s="741">
        <f>'Berechnung - Tragswerksplanung'!C128</f>
        <v>0</v>
      </c>
      <c r="D288" s="741">
        <f>'Berechnung - Tragswerksplanung'!D128</f>
        <v>0</v>
      </c>
      <c r="E288" s="741">
        <f>'Berechnung - Tragswerksplanung'!E128</f>
        <v>0</v>
      </c>
      <c r="F288" s="741">
        <f>'Berechnung - Tragswerksplanung'!F128</f>
        <v>0</v>
      </c>
      <c r="G288" s="741">
        <f>'Berechnung - Tragswerksplanung'!G128</f>
        <v>0</v>
      </c>
      <c r="H288" s="741">
        <f>'Berechnung - Tragswerksplanung'!H128</f>
        <v>0</v>
      </c>
      <c r="I288" s="741">
        <f>'Berechnung - Tragswerksplanung'!I128</f>
        <v>0</v>
      </c>
      <c r="J288" s="741">
        <f>'Berechnung - Tragswerksplanung'!J128</f>
        <v>0</v>
      </c>
      <c r="K288" s="741">
        <f>'Berechnung - Tragswerksplanung'!K128</f>
        <v>0</v>
      </c>
      <c r="L288" s="741">
        <f>'Berechnung - Tragswerksplanung'!L128</f>
        <v>0</v>
      </c>
      <c r="M288" s="741">
        <f>'Berechnung - Tragswerksplanung'!M128</f>
        <v>0</v>
      </c>
      <c r="N288" s="741">
        <f>'Berechnung - Tragswerksplanung'!N128</f>
        <v>0</v>
      </c>
      <c r="O288" s="741">
        <f>'Berechnung - Tragswerksplanung'!O128</f>
        <v>0</v>
      </c>
      <c r="P288" s="741">
        <f>'Berechnung - Tragswerksplanung'!P128</f>
        <v>0</v>
      </c>
      <c r="T288" s="735"/>
      <c r="U288" s="734"/>
      <c r="V288" s="736"/>
    </row>
    <row r="289" spans="3:22" ht="14.55" x14ac:dyDescent="0.3">
      <c r="C289" s="741">
        <f>'Berechnung - Tragswerksplanung'!C129</f>
        <v>0</v>
      </c>
      <c r="D289" s="741">
        <f>'Berechnung - Tragswerksplanung'!D129</f>
        <v>0</v>
      </c>
      <c r="E289" s="741">
        <f>'Berechnung - Tragswerksplanung'!E129</f>
        <v>0</v>
      </c>
      <c r="F289" s="741">
        <f>'Berechnung - Tragswerksplanung'!F129</f>
        <v>0</v>
      </c>
      <c r="G289" s="741">
        <f>'Berechnung - Tragswerksplanung'!G129</f>
        <v>0</v>
      </c>
      <c r="H289" s="741">
        <f>'Berechnung - Tragswerksplanung'!H129</f>
        <v>0</v>
      </c>
      <c r="I289" s="741">
        <f>'Berechnung - Tragswerksplanung'!I129</f>
        <v>0</v>
      </c>
      <c r="J289" s="741">
        <f>'Berechnung - Tragswerksplanung'!J129</f>
        <v>0</v>
      </c>
      <c r="K289" s="741">
        <f>'Berechnung - Tragswerksplanung'!K129</f>
        <v>0</v>
      </c>
      <c r="L289" s="741">
        <f>'Berechnung - Tragswerksplanung'!L129</f>
        <v>0</v>
      </c>
      <c r="M289" s="741">
        <f>'Berechnung - Tragswerksplanung'!M129</f>
        <v>0</v>
      </c>
      <c r="N289" s="741">
        <f>'Berechnung - Tragswerksplanung'!N129</f>
        <v>0</v>
      </c>
      <c r="O289" s="741">
        <f>'Berechnung - Tragswerksplanung'!O129</f>
        <v>0</v>
      </c>
      <c r="P289" s="741">
        <f>'Berechnung - Tragswerksplanung'!P129</f>
        <v>0</v>
      </c>
      <c r="T289" s="735"/>
      <c r="U289" s="734"/>
      <c r="V289" s="736"/>
    </row>
    <row r="290" spans="3:22" ht="14.55" x14ac:dyDescent="0.3">
      <c r="C290" s="741">
        <f>'Berechnung - Tragswerksplanung'!C130</f>
        <v>0</v>
      </c>
      <c r="D290" s="741">
        <f>'Berechnung - Tragswerksplanung'!D130</f>
        <v>0</v>
      </c>
      <c r="E290" s="741">
        <f>'Berechnung - Tragswerksplanung'!E130</f>
        <v>0</v>
      </c>
      <c r="F290" s="741">
        <f>'Berechnung - Tragswerksplanung'!F130</f>
        <v>0</v>
      </c>
      <c r="G290" s="741">
        <f>'Berechnung - Tragswerksplanung'!G130</f>
        <v>0</v>
      </c>
      <c r="H290" s="741">
        <f>'Berechnung - Tragswerksplanung'!H130</f>
        <v>0</v>
      </c>
      <c r="I290" s="741">
        <f>'Berechnung - Tragswerksplanung'!I130</f>
        <v>0</v>
      </c>
      <c r="J290" s="741">
        <f>'Berechnung - Tragswerksplanung'!J130</f>
        <v>0</v>
      </c>
      <c r="K290" s="741">
        <f>'Berechnung - Tragswerksplanung'!K130</f>
        <v>0</v>
      </c>
      <c r="L290" s="741">
        <f>'Berechnung - Tragswerksplanung'!L130</f>
        <v>0</v>
      </c>
      <c r="M290" s="741">
        <f>'Berechnung - Tragswerksplanung'!M130</f>
        <v>0</v>
      </c>
      <c r="N290" s="741">
        <f>'Berechnung - Tragswerksplanung'!N130</f>
        <v>0</v>
      </c>
      <c r="O290" s="741">
        <f>'Berechnung - Tragswerksplanung'!O130</f>
        <v>0</v>
      </c>
      <c r="P290" s="741">
        <f>'Berechnung - Tragswerksplanung'!P130</f>
        <v>0</v>
      </c>
      <c r="T290" s="735"/>
      <c r="U290" s="734"/>
      <c r="V290" s="736"/>
    </row>
    <row r="291" spans="3:22" ht="14.55" x14ac:dyDescent="0.3">
      <c r="C291" s="741">
        <f>'Berechnung - Tragswerksplanung'!C131</f>
        <v>0</v>
      </c>
      <c r="D291" s="741">
        <f>'Berechnung - Tragswerksplanung'!D131</f>
        <v>0</v>
      </c>
      <c r="E291" s="741">
        <f>'Berechnung - Tragswerksplanung'!E131</f>
        <v>0</v>
      </c>
      <c r="F291" s="741">
        <f>'Berechnung - Tragswerksplanung'!F131</f>
        <v>0</v>
      </c>
      <c r="G291" s="741">
        <f>'Berechnung - Tragswerksplanung'!G131</f>
        <v>0</v>
      </c>
      <c r="H291" s="741">
        <f>'Berechnung - Tragswerksplanung'!H131</f>
        <v>0</v>
      </c>
      <c r="I291" s="741">
        <f>'Berechnung - Tragswerksplanung'!I131</f>
        <v>0</v>
      </c>
      <c r="J291" s="741">
        <f>'Berechnung - Tragswerksplanung'!J131</f>
        <v>0</v>
      </c>
      <c r="K291" s="741">
        <f>'Berechnung - Tragswerksplanung'!K131</f>
        <v>0</v>
      </c>
      <c r="L291" s="741">
        <f>'Berechnung - Tragswerksplanung'!L131</f>
        <v>0</v>
      </c>
      <c r="M291" s="741">
        <f>'Berechnung - Tragswerksplanung'!M131</f>
        <v>0</v>
      </c>
      <c r="N291" s="741">
        <f>'Berechnung - Tragswerksplanung'!N131</f>
        <v>0</v>
      </c>
      <c r="O291" s="741">
        <f>'Berechnung - Tragswerksplanung'!O131</f>
        <v>0</v>
      </c>
      <c r="P291" s="741">
        <f>'Berechnung - Tragswerksplanung'!P131</f>
        <v>0</v>
      </c>
      <c r="T291" s="735"/>
      <c r="U291" s="734"/>
      <c r="V291" s="736"/>
    </row>
    <row r="292" spans="3:22" ht="14.55" x14ac:dyDescent="0.3">
      <c r="C292" s="741">
        <f>'Berechnung - Tragswerksplanung'!C132</f>
        <v>0</v>
      </c>
      <c r="D292" s="741">
        <f>'Berechnung - Tragswerksplanung'!D132</f>
        <v>0</v>
      </c>
      <c r="E292" s="741">
        <f>'Berechnung - Tragswerksplanung'!E132</f>
        <v>0</v>
      </c>
      <c r="F292" s="741">
        <f>'Berechnung - Tragswerksplanung'!F132</f>
        <v>0</v>
      </c>
      <c r="G292" s="741">
        <f>'Berechnung - Tragswerksplanung'!G132</f>
        <v>0</v>
      </c>
      <c r="H292" s="741">
        <f>'Berechnung - Tragswerksplanung'!H132</f>
        <v>0</v>
      </c>
      <c r="I292" s="741">
        <f>'Berechnung - Tragswerksplanung'!I132</f>
        <v>0</v>
      </c>
      <c r="J292" s="741">
        <f>'Berechnung - Tragswerksplanung'!J132</f>
        <v>0</v>
      </c>
      <c r="K292" s="741">
        <f>'Berechnung - Tragswerksplanung'!K132</f>
        <v>0</v>
      </c>
      <c r="L292" s="741">
        <f>'Berechnung - Tragswerksplanung'!L132</f>
        <v>0</v>
      </c>
      <c r="M292" s="741">
        <f>'Berechnung - Tragswerksplanung'!M132</f>
        <v>0</v>
      </c>
      <c r="N292" s="741">
        <f>'Berechnung - Tragswerksplanung'!N132</f>
        <v>0</v>
      </c>
      <c r="O292" s="741">
        <f>'Berechnung - Tragswerksplanung'!O132</f>
        <v>0</v>
      </c>
      <c r="P292" s="741">
        <f>'Berechnung - Tragswerksplanung'!P132</f>
        <v>0</v>
      </c>
      <c r="T292" s="735"/>
      <c r="U292" s="734"/>
      <c r="V292" s="736"/>
    </row>
    <row r="293" spans="3:22" ht="14.55" x14ac:dyDescent="0.3">
      <c r="C293" s="741">
        <f>'Berechnung - Tragswerksplanung'!C133</f>
        <v>0</v>
      </c>
      <c r="D293" s="741">
        <f>'Berechnung - Tragswerksplanung'!D133</f>
        <v>0</v>
      </c>
      <c r="E293" s="741">
        <f>'Berechnung - Tragswerksplanung'!E133</f>
        <v>0</v>
      </c>
      <c r="F293" s="741">
        <f>'Berechnung - Tragswerksplanung'!F133</f>
        <v>0</v>
      </c>
      <c r="G293" s="741">
        <f>'Berechnung - Tragswerksplanung'!G133</f>
        <v>0</v>
      </c>
      <c r="H293" s="741">
        <f>'Berechnung - Tragswerksplanung'!H133</f>
        <v>0</v>
      </c>
      <c r="I293" s="741">
        <f>'Berechnung - Tragswerksplanung'!I133</f>
        <v>0</v>
      </c>
      <c r="J293" s="741">
        <f>'Berechnung - Tragswerksplanung'!J133</f>
        <v>0</v>
      </c>
      <c r="K293" s="741">
        <f>'Berechnung - Tragswerksplanung'!K133</f>
        <v>0</v>
      </c>
      <c r="L293" s="741">
        <f>'Berechnung - Tragswerksplanung'!L133</f>
        <v>0</v>
      </c>
      <c r="M293" s="741">
        <f>'Berechnung - Tragswerksplanung'!M133</f>
        <v>0</v>
      </c>
      <c r="N293" s="741">
        <f>'Berechnung - Tragswerksplanung'!N133</f>
        <v>0</v>
      </c>
      <c r="O293" s="741">
        <f>'Berechnung - Tragswerksplanung'!O133</f>
        <v>0</v>
      </c>
      <c r="P293" s="741">
        <f>'Berechnung - Tragswerksplanung'!P133</f>
        <v>0</v>
      </c>
      <c r="T293" s="735"/>
      <c r="U293" s="734"/>
      <c r="V293" s="736"/>
    </row>
    <row r="294" spans="3:22" ht="14.55" x14ac:dyDescent="0.3">
      <c r="C294" s="741">
        <f>'Berechnung - Tragswerksplanung'!C134</f>
        <v>0</v>
      </c>
      <c r="D294" s="741">
        <f>'Berechnung - Tragswerksplanung'!D134</f>
        <v>0</v>
      </c>
      <c r="E294" s="741">
        <f>'Berechnung - Tragswerksplanung'!E134</f>
        <v>0</v>
      </c>
      <c r="F294" s="741">
        <f>'Berechnung - Tragswerksplanung'!F134</f>
        <v>0</v>
      </c>
      <c r="G294" s="741">
        <f>'Berechnung - Tragswerksplanung'!G134</f>
        <v>0</v>
      </c>
      <c r="H294" s="741">
        <f>'Berechnung - Tragswerksplanung'!H134</f>
        <v>0</v>
      </c>
      <c r="I294" s="741">
        <f>'Berechnung - Tragswerksplanung'!I134</f>
        <v>0</v>
      </c>
      <c r="J294" s="741">
        <f>'Berechnung - Tragswerksplanung'!J134</f>
        <v>0</v>
      </c>
      <c r="K294" s="741">
        <f>'Berechnung - Tragswerksplanung'!K134</f>
        <v>0</v>
      </c>
      <c r="L294" s="741">
        <f>'Berechnung - Tragswerksplanung'!L134</f>
        <v>0</v>
      </c>
      <c r="M294" s="741">
        <f>'Berechnung - Tragswerksplanung'!M134</f>
        <v>0</v>
      </c>
      <c r="N294" s="741">
        <f>'Berechnung - Tragswerksplanung'!N134</f>
        <v>0</v>
      </c>
      <c r="O294" s="741">
        <f>'Berechnung - Tragswerksplanung'!O134</f>
        <v>0</v>
      </c>
      <c r="P294" s="741">
        <f>'Berechnung - Tragswerksplanung'!P134</f>
        <v>0</v>
      </c>
      <c r="T294" s="735"/>
      <c r="U294" s="734"/>
      <c r="V294" s="736"/>
    </row>
    <row r="295" spans="3:22" ht="14.55" x14ac:dyDescent="0.3">
      <c r="T295" s="735"/>
      <c r="U295" s="734"/>
      <c r="V295" s="736"/>
    </row>
    <row r="296" spans="3:22" ht="14.55" x14ac:dyDescent="0.3">
      <c r="T296" s="735"/>
      <c r="U296" s="734"/>
      <c r="V296" s="736"/>
    </row>
    <row r="297" spans="3:22" ht="14.55" x14ac:dyDescent="0.3">
      <c r="T297" s="735"/>
      <c r="U297" s="734"/>
      <c r="V297" s="736"/>
    </row>
    <row r="298" spans="3:22" ht="14.55" x14ac:dyDescent="0.3">
      <c r="T298" s="735"/>
      <c r="U298" s="734"/>
      <c r="V298" s="736"/>
    </row>
    <row r="299" spans="3:22" ht="14.55" x14ac:dyDescent="0.3">
      <c r="T299" s="735"/>
      <c r="U299" s="734"/>
      <c r="V299" s="736"/>
    </row>
    <row r="300" spans="3:22" ht="14.55" x14ac:dyDescent="0.3">
      <c r="T300" s="735"/>
      <c r="U300" s="734"/>
      <c r="V300" s="736"/>
    </row>
    <row r="301" spans="3:22" ht="14.55" x14ac:dyDescent="0.3">
      <c r="T301" s="735"/>
      <c r="U301" s="734"/>
      <c r="V301" s="736"/>
    </row>
    <row r="302" spans="3:22" ht="14.55" x14ac:dyDescent="0.3">
      <c r="T302" s="735"/>
      <c r="U302" s="734"/>
      <c r="V302" s="736"/>
    </row>
    <row r="303" spans="3:22" ht="14.55" x14ac:dyDescent="0.3">
      <c r="T303" s="735"/>
      <c r="U303" s="734"/>
      <c r="V303" s="736"/>
    </row>
    <row r="304" spans="3:22" ht="14.55" x14ac:dyDescent="0.3">
      <c r="T304" s="735"/>
      <c r="U304" s="734"/>
      <c r="V304" s="736"/>
    </row>
    <row r="305" spans="20:22" ht="14.55" x14ac:dyDescent="0.3">
      <c r="T305" s="735"/>
      <c r="U305" s="734"/>
      <c r="V305" s="736"/>
    </row>
    <row r="306" spans="20:22" ht="14.55" x14ac:dyDescent="0.3">
      <c r="T306" s="735"/>
      <c r="U306" s="734"/>
      <c r="V306" s="736"/>
    </row>
    <row r="307" spans="20:22" ht="14.55" x14ac:dyDescent="0.3">
      <c r="T307" s="735"/>
      <c r="U307" s="734"/>
      <c r="V307" s="736"/>
    </row>
    <row r="308" spans="20:22" ht="14.55" x14ac:dyDescent="0.3">
      <c r="T308" s="735"/>
      <c r="U308" s="734"/>
      <c r="V308" s="736"/>
    </row>
    <row r="309" spans="20:22" ht="14.55" x14ac:dyDescent="0.3">
      <c r="T309" s="735"/>
      <c r="U309" s="734"/>
      <c r="V309" s="736"/>
    </row>
    <row r="310" spans="20:22" ht="14.55" x14ac:dyDescent="0.3">
      <c r="T310" s="735"/>
      <c r="U310" s="734"/>
      <c r="V310" s="736"/>
    </row>
    <row r="311" spans="20:22" ht="14.55" x14ac:dyDescent="0.3">
      <c r="T311" s="735"/>
      <c r="U311" s="734"/>
      <c r="V311" s="736"/>
    </row>
    <row r="312" spans="20:22" ht="14.55" x14ac:dyDescent="0.3">
      <c r="T312" s="735"/>
      <c r="U312" s="734"/>
      <c r="V312" s="736"/>
    </row>
    <row r="313" spans="20:22" ht="14.55" x14ac:dyDescent="0.3">
      <c r="T313" s="735"/>
      <c r="U313" s="734"/>
      <c r="V313" s="736"/>
    </row>
    <row r="314" spans="20:22" ht="14.55" x14ac:dyDescent="0.3">
      <c r="T314" s="735"/>
      <c r="U314" s="734"/>
      <c r="V314" s="736"/>
    </row>
    <row r="315" spans="20:22" ht="14.55" x14ac:dyDescent="0.3">
      <c r="T315" s="735"/>
      <c r="U315" s="734"/>
      <c r="V315" s="736"/>
    </row>
    <row r="316" spans="20:22" ht="14.55" x14ac:dyDescent="0.3">
      <c r="T316" s="735"/>
      <c r="U316" s="734"/>
      <c r="V316" s="736"/>
    </row>
    <row r="317" spans="20:22" ht="14.55" x14ac:dyDescent="0.3">
      <c r="T317" s="735"/>
      <c r="U317" s="734"/>
      <c r="V317" s="736"/>
    </row>
    <row r="318" spans="20:22" ht="14.55" x14ac:dyDescent="0.3">
      <c r="T318" s="735"/>
      <c r="U318" s="734"/>
      <c r="V318" s="736"/>
    </row>
    <row r="319" spans="20:22" ht="14.55" x14ac:dyDescent="0.3">
      <c r="T319" s="735"/>
      <c r="U319" s="734"/>
      <c r="V319" s="736"/>
    </row>
    <row r="320" spans="20:22" ht="14.55" x14ac:dyDescent="0.3">
      <c r="T320" s="735"/>
      <c r="U320" s="734"/>
      <c r="V320" s="736"/>
    </row>
    <row r="321" spans="20:22" ht="14.55" x14ac:dyDescent="0.3">
      <c r="T321" s="735"/>
      <c r="U321" s="734"/>
      <c r="V321" s="736"/>
    </row>
    <row r="322" spans="20:22" ht="14.55" x14ac:dyDescent="0.3">
      <c r="T322" s="735"/>
      <c r="U322" s="734"/>
      <c r="V322" s="736"/>
    </row>
    <row r="323" spans="20:22" ht="14.55" x14ac:dyDescent="0.3">
      <c r="T323" s="735"/>
      <c r="U323" s="734"/>
      <c r="V323" s="736"/>
    </row>
    <row r="324" spans="20:22" ht="14.55" x14ac:dyDescent="0.3">
      <c r="T324" s="735"/>
      <c r="U324" s="734"/>
      <c r="V324" s="736"/>
    </row>
    <row r="325" spans="20:22" ht="14.55" x14ac:dyDescent="0.3">
      <c r="T325" s="735"/>
      <c r="U325" s="734"/>
      <c r="V325" s="736"/>
    </row>
    <row r="326" spans="20:22" ht="14.55" x14ac:dyDescent="0.3">
      <c r="T326" s="735"/>
      <c r="U326" s="734"/>
      <c r="V326" s="736"/>
    </row>
    <row r="327" spans="20:22" ht="14.55" x14ac:dyDescent="0.3">
      <c r="T327" s="735"/>
      <c r="U327" s="734"/>
      <c r="V327" s="736"/>
    </row>
    <row r="328" spans="20:22" ht="14.55" x14ac:dyDescent="0.3">
      <c r="T328" s="735"/>
      <c r="U328" s="734"/>
      <c r="V328" s="736"/>
    </row>
    <row r="329" spans="20:22" ht="14.55" x14ac:dyDescent="0.3">
      <c r="T329" s="735"/>
      <c r="U329" s="734"/>
      <c r="V329" s="736"/>
    </row>
    <row r="330" spans="20:22" ht="14.55" x14ac:dyDescent="0.3">
      <c r="T330" s="735"/>
      <c r="U330" s="734"/>
      <c r="V330" s="736"/>
    </row>
    <row r="331" spans="20:22" ht="14.55" x14ac:dyDescent="0.3">
      <c r="T331" s="735"/>
      <c r="U331" s="734"/>
      <c r="V331" s="736"/>
    </row>
    <row r="332" spans="20:22" ht="14.55" x14ac:dyDescent="0.3">
      <c r="T332" s="735"/>
      <c r="U332" s="734"/>
      <c r="V332" s="736"/>
    </row>
    <row r="333" spans="20:22" ht="14.55" x14ac:dyDescent="0.3">
      <c r="T333" s="735"/>
      <c r="U333" s="734"/>
      <c r="V333" s="736"/>
    </row>
    <row r="334" spans="20:22" ht="14.55" x14ac:dyDescent="0.3">
      <c r="T334" s="735"/>
      <c r="U334" s="734"/>
      <c r="V334" s="736"/>
    </row>
    <row r="335" spans="20:22" ht="14.55" x14ac:dyDescent="0.3">
      <c r="T335" s="735"/>
      <c r="U335" s="734"/>
      <c r="V335" s="736"/>
    </row>
    <row r="336" spans="20:22" ht="14.55" x14ac:dyDescent="0.3">
      <c r="T336" s="735"/>
      <c r="U336" s="734"/>
      <c r="V336" s="736"/>
    </row>
    <row r="337" spans="20:22" ht="14.55" x14ac:dyDescent="0.3">
      <c r="T337" s="735"/>
      <c r="U337" s="734"/>
      <c r="V337" s="736"/>
    </row>
    <row r="338" spans="20:22" ht="14.55" x14ac:dyDescent="0.3">
      <c r="T338" s="735"/>
      <c r="U338" s="734"/>
      <c r="V338" s="736"/>
    </row>
    <row r="339" spans="20:22" ht="14.55" x14ac:dyDescent="0.3">
      <c r="T339" s="735"/>
      <c r="U339" s="734"/>
      <c r="V339" s="736"/>
    </row>
    <row r="340" spans="20:22" ht="14.55" x14ac:dyDescent="0.3">
      <c r="T340" s="735"/>
      <c r="U340" s="734"/>
      <c r="V340" s="736"/>
    </row>
    <row r="341" spans="20:22" ht="14.55" x14ac:dyDescent="0.3">
      <c r="T341" s="735"/>
      <c r="U341" s="734"/>
      <c r="V341" s="736"/>
    </row>
    <row r="342" spans="20:22" ht="14.55" x14ac:dyDescent="0.3">
      <c r="T342" s="735"/>
      <c r="U342" s="734"/>
      <c r="V342" s="736"/>
    </row>
    <row r="343" spans="20:22" ht="14.55" x14ac:dyDescent="0.3">
      <c r="T343" s="735"/>
      <c r="U343" s="734"/>
      <c r="V343" s="736"/>
    </row>
    <row r="344" spans="20:22" ht="14.55" x14ac:dyDescent="0.3">
      <c r="T344" s="735"/>
      <c r="U344" s="734"/>
      <c r="V344" s="736"/>
    </row>
    <row r="345" spans="20:22" ht="14.55" x14ac:dyDescent="0.3">
      <c r="T345" s="735"/>
      <c r="U345" s="734"/>
      <c r="V345" s="736"/>
    </row>
    <row r="346" spans="20:22" ht="14.55" x14ac:dyDescent="0.3">
      <c r="T346" s="735"/>
      <c r="U346" s="734"/>
      <c r="V346" s="736"/>
    </row>
    <row r="347" spans="20:22" ht="14.55" x14ac:dyDescent="0.3">
      <c r="T347" s="735"/>
      <c r="U347" s="734"/>
      <c r="V347" s="736"/>
    </row>
    <row r="348" spans="20:22" ht="14.55" x14ac:dyDescent="0.3">
      <c r="T348" s="735"/>
      <c r="U348" s="734"/>
      <c r="V348" s="736"/>
    </row>
    <row r="349" spans="20:22" ht="14.55" x14ac:dyDescent="0.3">
      <c r="T349" s="735"/>
      <c r="U349" s="734"/>
      <c r="V349" s="736"/>
    </row>
    <row r="350" spans="20:22" ht="14.55" x14ac:dyDescent="0.3">
      <c r="T350" s="735"/>
      <c r="U350" s="734"/>
      <c r="V350" s="736"/>
    </row>
    <row r="351" spans="20:22" ht="14.55" x14ac:dyDescent="0.3">
      <c r="T351" s="735"/>
      <c r="U351" s="734"/>
      <c r="V351" s="736"/>
    </row>
    <row r="352" spans="20:22" ht="14.55" x14ac:dyDescent="0.3">
      <c r="T352" s="735"/>
      <c r="U352" s="734"/>
      <c r="V352" s="736"/>
    </row>
    <row r="353" spans="20:22" ht="14.55" x14ac:dyDescent="0.3">
      <c r="T353" s="735"/>
      <c r="U353" s="734"/>
      <c r="V353" s="736"/>
    </row>
    <row r="354" spans="20:22" ht="14.55" x14ac:dyDescent="0.3">
      <c r="T354" s="735"/>
      <c r="U354" s="734"/>
      <c r="V354" s="736"/>
    </row>
    <row r="355" spans="20:22" ht="14.55" x14ac:dyDescent="0.3">
      <c r="T355" s="735"/>
      <c r="U355" s="734"/>
      <c r="V355" s="736"/>
    </row>
    <row r="356" spans="20:22" ht="14.55" x14ac:dyDescent="0.3">
      <c r="T356" s="735"/>
      <c r="U356" s="734"/>
      <c r="V356" s="736"/>
    </row>
    <row r="357" spans="20:22" ht="14.55" x14ac:dyDescent="0.3">
      <c r="T357" s="735"/>
      <c r="U357" s="734"/>
      <c r="V357" s="736"/>
    </row>
    <row r="358" spans="20:22" ht="14.55" x14ac:dyDescent="0.3">
      <c r="T358" s="735"/>
      <c r="U358" s="734"/>
      <c r="V358" s="736"/>
    </row>
    <row r="359" spans="20:22" ht="14.55" x14ac:dyDescent="0.3">
      <c r="T359" s="735"/>
      <c r="U359" s="734"/>
      <c r="V359" s="736"/>
    </row>
    <row r="360" spans="20:22" ht="14.55" x14ac:dyDescent="0.3">
      <c r="T360" s="735"/>
      <c r="U360" s="734"/>
      <c r="V360" s="736"/>
    </row>
    <row r="361" spans="20:22" ht="14.55" x14ac:dyDescent="0.3">
      <c r="T361" s="735"/>
      <c r="U361" s="734"/>
      <c r="V361" s="736"/>
    </row>
    <row r="362" spans="20:22" ht="14.55" x14ac:dyDescent="0.3">
      <c r="T362" s="735"/>
      <c r="U362" s="734"/>
      <c r="V362" s="736"/>
    </row>
    <row r="363" spans="20:22" ht="14.55" x14ac:dyDescent="0.3">
      <c r="T363" s="735"/>
      <c r="U363" s="734"/>
      <c r="V363" s="736"/>
    </row>
    <row r="364" spans="20:22" ht="14.55" x14ac:dyDescent="0.3">
      <c r="T364" s="735"/>
      <c r="U364" s="734"/>
      <c r="V364" s="736"/>
    </row>
    <row r="365" spans="20:22" ht="14.55" x14ac:dyDescent="0.3">
      <c r="T365" s="735"/>
      <c r="U365" s="734"/>
      <c r="V365" s="736"/>
    </row>
    <row r="366" spans="20:22" ht="14.55" x14ac:dyDescent="0.3">
      <c r="T366" s="735"/>
      <c r="U366" s="734"/>
      <c r="V366" s="736"/>
    </row>
    <row r="367" spans="20:22" ht="14.55" x14ac:dyDescent="0.3">
      <c r="T367" s="735"/>
      <c r="U367" s="734"/>
      <c r="V367" s="736"/>
    </row>
    <row r="368" spans="20:22" ht="14.55" x14ac:dyDescent="0.3">
      <c r="T368" s="735"/>
      <c r="U368" s="734"/>
      <c r="V368" s="736"/>
    </row>
    <row r="369" spans="20:22" ht="14.55" x14ac:dyDescent="0.3">
      <c r="T369" s="735"/>
      <c r="U369" s="734"/>
      <c r="V369" s="736"/>
    </row>
    <row r="370" spans="20:22" ht="14.55" x14ac:dyDescent="0.3">
      <c r="T370" s="735"/>
      <c r="U370" s="734"/>
      <c r="V370" s="736"/>
    </row>
    <row r="371" spans="20:22" ht="14.55" x14ac:dyDescent="0.3">
      <c r="T371" s="735"/>
      <c r="U371" s="734"/>
      <c r="V371" s="736"/>
    </row>
    <row r="372" spans="20:22" ht="14.55" x14ac:dyDescent="0.3">
      <c r="T372" s="735"/>
      <c r="U372" s="734"/>
      <c r="V372" s="736"/>
    </row>
    <row r="373" spans="20:22" ht="14.55" x14ac:dyDescent="0.3">
      <c r="T373" s="735"/>
      <c r="U373" s="734"/>
      <c r="V373" s="736"/>
    </row>
    <row r="374" spans="20:22" ht="14.55" x14ac:dyDescent="0.3">
      <c r="T374" s="735"/>
      <c r="U374" s="734"/>
      <c r="V374" s="736"/>
    </row>
    <row r="375" spans="20:22" ht="14.55" x14ac:dyDescent="0.3">
      <c r="T375" s="735"/>
      <c r="U375" s="734"/>
      <c r="V375" s="736"/>
    </row>
    <row r="376" spans="20:22" ht="14.55" x14ac:dyDescent="0.3">
      <c r="T376" s="735"/>
      <c r="U376" s="734"/>
      <c r="V376" s="736"/>
    </row>
    <row r="377" spans="20:22" ht="14.55" x14ac:dyDescent="0.3">
      <c r="T377" s="735"/>
      <c r="U377" s="734"/>
      <c r="V377" s="736"/>
    </row>
    <row r="378" spans="20:22" ht="14.55" x14ac:dyDescent="0.3">
      <c r="T378" s="735"/>
      <c r="U378" s="734"/>
      <c r="V378" s="736"/>
    </row>
    <row r="379" spans="20:22" ht="14.55" x14ac:dyDescent="0.3">
      <c r="T379" s="735"/>
      <c r="U379" s="734"/>
      <c r="V379" s="736"/>
    </row>
    <row r="380" spans="20:22" ht="14.55" x14ac:dyDescent="0.3">
      <c r="T380" s="735"/>
      <c r="U380" s="734"/>
      <c r="V380" s="736"/>
    </row>
    <row r="381" spans="20:22" ht="14.55" x14ac:dyDescent="0.3">
      <c r="T381" s="735"/>
      <c r="U381" s="734"/>
      <c r="V381" s="736"/>
    </row>
    <row r="382" spans="20:22" ht="14.55" x14ac:dyDescent="0.3">
      <c r="T382" s="735"/>
      <c r="U382" s="734"/>
      <c r="V382" s="736"/>
    </row>
    <row r="383" spans="20:22" ht="14.55" x14ac:dyDescent="0.3">
      <c r="T383" s="735"/>
      <c r="U383" s="734"/>
      <c r="V383" s="736"/>
    </row>
    <row r="384" spans="20:22" ht="14.55" x14ac:dyDescent="0.3">
      <c r="T384" s="735"/>
      <c r="U384" s="734"/>
      <c r="V384" s="736"/>
    </row>
    <row r="385" spans="20:22" ht="14.55" x14ac:dyDescent="0.3">
      <c r="T385" s="735"/>
      <c r="U385" s="734"/>
      <c r="V385" s="736"/>
    </row>
    <row r="386" spans="20:22" ht="14.55" x14ac:dyDescent="0.3">
      <c r="T386" s="735"/>
      <c r="U386" s="734"/>
      <c r="V386" s="736"/>
    </row>
    <row r="387" spans="20:22" ht="14.55" x14ac:dyDescent="0.3">
      <c r="T387" s="735"/>
      <c r="U387" s="734"/>
      <c r="V387" s="736"/>
    </row>
    <row r="388" spans="20:22" ht="14.55" x14ac:dyDescent="0.3">
      <c r="T388" s="735"/>
      <c r="U388" s="734"/>
      <c r="V388" s="736"/>
    </row>
    <row r="389" spans="20:22" ht="14.55" x14ac:dyDescent="0.3">
      <c r="T389" s="735"/>
      <c r="U389" s="734"/>
      <c r="V389" s="736"/>
    </row>
    <row r="390" spans="20:22" ht="14.55" x14ac:dyDescent="0.3">
      <c r="T390" s="735"/>
      <c r="U390" s="734"/>
      <c r="V390" s="736"/>
    </row>
    <row r="391" spans="20:22" ht="14.55" x14ac:dyDescent="0.3">
      <c r="T391" s="735"/>
      <c r="U391" s="734"/>
      <c r="V391" s="736"/>
    </row>
    <row r="392" spans="20:22" ht="14.55" x14ac:dyDescent="0.3">
      <c r="T392" s="735"/>
      <c r="U392" s="734"/>
      <c r="V392" s="736"/>
    </row>
    <row r="393" spans="20:22" ht="14.55" x14ac:dyDescent="0.3">
      <c r="T393" s="735"/>
      <c r="U393" s="734"/>
      <c r="V393" s="736"/>
    </row>
    <row r="394" spans="20:22" ht="14.55" x14ac:dyDescent="0.3">
      <c r="T394" s="735"/>
      <c r="U394" s="734"/>
      <c r="V394" s="736"/>
    </row>
    <row r="395" spans="20:22" ht="14.55" x14ac:dyDescent="0.3">
      <c r="T395" s="735"/>
      <c r="U395" s="734"/>
      <c r="V395" s="736"/>
    </row>
    <row r="396" spans="20:22" ht="14.55" x14ac:dyDescent="0.3">
      <c r="T396" s="735"/>
      <c r="U396" s="734"/>
      <c r="V396" s="736"/>
    </row>
    <row r="397" spans="20:22" ht="14.55" x14ac:dyDescent="0.3">
      <c r="T397" s="735"/>
      <c r="U397" s="734"/>
      <c r="V397" s="736"/>
    </row>
    <row r="398" spans="20:22" ht="14.55" x14ac:dyDescent="0.3">
      <c r="T398" s="735"/>
      <c r="U398" s="734"/>
      <c r="V398" s="736"/>
    </row>
    <row r="399" spans="20:22" ht="14.55" x14ac:dyDescent="0.3">
      <c r="T399" s="735"/>
      <c r="U399" s="734"/>
      <c r="V399" s="736"/>
    </row>
    <row r="400" spans="20:22" ht="14.55" x14ac:dyDescent="0.3">
      <c r="T400" s="735"/>
      <c r="U400" s="734"/>
      <c r="V400" s="736"/>
    </row>
    <row r="401" spans="20:22" ht="14.55" x14ac:dyDescent="0.3">
      <c r="T401" s="735"/>
      <c r="U401" s="734"/>
      <c r="V401" s="736"/>
    </row>
    <row r="402" spans="20:22" ht="14.55" x14ac:dyDescent="0.3">
      <c r="T402" s="735"/>
      <c r="U402" s="734"/>
      <c r="V402" s="736"/>
    </row>
    <row r="403" spans="20:22" ht="14.55" x14ac:dyDescent="0.3">
      <c r="T403" s="735"/>
      <c r="U403" s="734"/>
      <c r="V403" s="736"/>
    </row>
    <row r="404" spans="20:22" ht="14.55" x14ac:dyDescent="0.3">
      <c r="T404" s="735"/>
      <c r="U404" s="734"/>
      <c r="V404" s="736"/>
    </row>
    <row r="405" spans="20:22" ht="14.55" x14ac:dyDescent="0.3">
      <c r="T405" s="735"/>
      <c r="U405" s="734"/>
      <c r="V405" s="736"/>
    </row>
    <row r="406" spans="20:22" ht="14.55" x14ac:dyDescent="0.3">
      <c r="T406" s="735"/>
      <c r="U406" s="734"/>
      <c r="V406" s="736"/>
    </row>
    <row r="407" spans="20:22" ht="14.55" x14ac:dyDescent="0.3">
      <c r="T407" s="735"/>
      <c r="U407" s="734"/>
      <c r="V407" s="736"/>
    </row>
    <row r="408" spans="20:22" ht="14.55" x14ac:dyDescent="0.3">
      <c r="T408" s="735"/>
      <c r="U408" s="734"/>
      <c r="V408" s="736"/>
    </row>
    <row r="409" spans="20:22" ht="14.55" x14ac:dyDescent="0.3">
      <c r="T409" s="735"/>
      <c r="U409" s="734"/>
      <c r="V409" s="736"/>
    </row>
    <row r="410" spans="20:22" ht="14.55" x14ac:dyDescent="0.3">
      <c r="T410" s="735"/>
      <c r="U410" s="734"/>
      <c r="V410" s="736"/>
    </row>
    <row r="411" spans="20:22" ht="14.55" x14ac:dyDescent="0.3">
      <c r="T411" s="735"/>
      <c r="U411" s="734"/>
      <c r="V411" s="736"/>
    </row>
    <row r="412" spans="20:22" ht="14.55" x14ac:dyDescent="0.3">
      <c r="T412" s="735"/>
      <c r="U412" s="734"/>
      <c r="V412" s="736"/>
    </row>
    <row r="413" spans="20:22" ht="14.55" x14ac:dyDescent="0.3">
      <c r="T413" s="735"/>
      <c r="U413" s="734"/>
      <c r="V413" s="736"/>
    </row>
    <row r="414" spans="20:22" ht="14.55" x14ac:dyDescent="0.3">
      <c r="T414" s="735"/>
      <c r="U414" s="734"/>
      <c r="V414" s="736"/>
    </row>
    <row r="415" spans="20:22" ht="14.55" x14ac:dyDescent="0.3">
      <c r="T415" s="735"/>
      <c r="U415" s="734"/>
      <c r="V415" s="736"/>
    </row>
    <row r="416" spans="20:22" ht="14.55" x14ac:dyDescent="0.3">
      <c r="T416" s="735"/>
      <c r="U416" s="734"/>
      <c r="V416" s="736"/>
    </row>
    <row r="417" spans="20:22" ht="14.55" x14ac:dyDescent="0.3">
      <c r="T417" s="735"/>
      <c r="U417" s="734"/>
      <c r="V417" s="736"/>
    </row>
    <row r="418" spans="20:22" ht="14.55" x14ac:dyDescent="0.3">
      <c r="T418" s="735"/>
      <c r="U418" s="734"/>
      <c r="V418" s="736"/>
    </row>
    <row r="419" spans="20:22" ht="14.55" x14ac:dyDescent="0.3">
      <c r="T419" s="735"/>
      <c r="U419" s="734"/>
      <c r="V419" s="736"/>
    </row>
    <row r="420" spans="20:22" ht="14.55" x14ac:dyDescent="0.3">
      <c r="T420" s="735"/>
      <c r="U420" s="734"/>
      <c r="V420" s="736"/>
    </row>
    <row r="421" spans="20:22" ht="14.55" x14ac:dyDescent="0.3">
      <c r="T421" s="735"/>
      <c r="U421" s="734"/>
      <c r="V421" s="736"/>
    </row>
    <row r="422" spans="20:22" ht="14.55" x14ac:dyDescent="0.3">
      <c r="T422" s="735"/>
      <c r="U422" s="734"/>
      <c r="V422" s="736"/>
    </row>
    <row r="423" spans="20:22" ht="14.55" x14ac:dyDescent="0.3">
      <c r="T423" s="735"/>
      <c r="U423" s="734"/>
      <c r="V423" s="736"/>
    </row>
    <row r="424" spans="20:22" ht="14.55" x14ac:dyDescent="0.3">
      <c r="T424" s="735"/>
      <c r="U424" s="734"/>
      <c r="V424" s="736"/>
    </row>
    <row r="425" spans="20:22" ht="14.55" x14ac:dyDescent="0.3">
      <c r="T425" s="735"/>
      <c r="U425" s="734"/>
      <c r="V425" s="736"/>
    </row>
    <row r="426" spans="20:22" ht="14.55" x14ac:dyDescent="0.3">
      <c r="T426" s="735"/>
      <c r="U426" s="734"/>
      <c r="V426" s="736"/>
    </row>
    <row r="427" spans="20:22" ht="14.55" x14ac:dyDescent="0.3">
      <c r="T427" s="735"/>
      <c r="U427" s="734"/>
      <c r="V427" s="736"/>
    </row>
    <row r="428" spans="20:22" ht="14.55" x14ac:dyDescent="0.3">
      <c r="T428" s="735"/>
      <c r="U428" s="734"/>
      <c r="V428" s="736"/>
    </row>
    <row r="429" spans="20:22" ht="14.55" x14ac:dyDescent="0.3">
      <c r="T429" s="735"/>
      <c r="U429" s="734"/>
      <c r="V429" s="736"/>
    </row>
    <row r="430" spans="20:22" ht="14.55" x14ac:dyDescent="0.3">
      <c r="T430" s="735"/>
      <c r="U430" s="734"/>
      <c r="V430" s="736"/>
    </row>
    <row r="431" spans="20:22" ht="14.55" x14ac:dyDescent="0.3">
      <c r="T431" s="735"/>
      <c r="U431" s="734"/>
      <c r="V431" s="736"/>
    </row>
    <row r="432" spans="20:22" ht="14.55" x14ac:dyDescent="0.3">
      <c r="T432" s="735"/>
      <c r="U432" s="734"/>
      <c r="V432" s="736"/>
    </row>
    <row r="433" spans="20:22" ht="14.55" x14ac:dyDescent="0.3">
      <c r="T433" s="735"/>
      <c r="U433" s="734"/>
      <c r="V433" s="736"/>
    </row>
    <row r="434" spans="20:22" ht="14.55" x14ac:dyDescent="0.3">
      <c r="T434" s="735"/>
      <c r="U434" s="734"/>
      <c r="V434" s="736"/>
    </row>
    <row r="435" spans="20:22" ht="14.55" x14ac:dyDescent="0.3">
      <c r="T435" s="735"/>
      <c r="U435" s="734"/>
      <c r="V435" s="736"/>
    </row>
    <row r="436" spans="20:22" ht="14.55" x14ac:dyDescent="0.3">
      <c r="T436" s="735"/>
      <c r="U436" s="734"/>
      <c r="V436" s="736"/>
    </row>
    <row r="437" spans="20:22" ht="14.55" x14ac:dyDescent="0.3">
      <c r="T437" s="735"/>
      <c r="U437" s="734"/>
      <c r="V437" s="736"/>
    </row>
    <row r="438" spans="20:22" ht="14.55" x14ac:dyDescent="0.3">
      <c r="T438" s="735"/>
      <c r="U438" s="734"/>
      <c r="V438" s="736"/>
    </row>
    <row r="439" spans="20:22" ht="14.55" x14ac:dyDescent="0.3">
      <c r="T439" s="735"/>
      <c r="U439" s="734"/>
      <c r="V439" s="736"/>
    </row>
    <row r="440" spans="20:22" ht="14.55" x14ac:dyDescent="0.3">
      <c r="T440" s="735"/>
      <c r="U440" s="734"/>
      <c r="V440" s="736"/>
    </row>
    <row r="441" spans="20:22" ht="14.55" x14ac:dyDescent="0.3">
      <c r="T441" s="735"/>
      <c r="U441" s="734"/>
      <c r="V441" s="736"/>
    </row>
    <row r="442" spans="20:22" ht="14.55" x14ac:dyDescent="0.3">
      <c r="T442" s="735"/>
      <c r="U442" s="734"/>
      <c r="V442" s="736"/>
    </row>
    <row r="443" spans="20:22" ht="14.55" x14ac:dyDescent="0.3">
      <c r="T443" s="735"/>
      <c r="U443" s="734"/>
      <c r="V443" s="736"/>
    </row>
    <row r="444" spans="20:22" ht="14.55" x14ac:dyDescent="0.3">
      <c r="T444" s="735"/>
      <c r="U444" s="734"/>
      <c r="V444" s="736"/>
    </row>
    <row r="445" spans="20:22" ht="14.55" x14ac:dyDescent="0.3">
      <c r="T445" s="735"/>
      <c r="U445" s="734"/>
      <c r="V445" s="736"/>
    </row>
    <row r="446" spans="20:22" ht="14.55" x14ac:dyDescent="0.3">
      <c r="T446" s="735"/>
      <c r="U446" s="734"/>
      <c r="V446" s="736"/>
    </row>
    <row r="447" spans="20:22" ht="14.55" x14ac:dyDescent="0.3">
      <c r="T447" s="735"/>
      <c r="U447" s="734"/>
      <c r="V447" s="736"/>
    </row>
    <row r="448" spans="20:22" ht="14.55" x14ac:dyDescent="0.3">
      <c r="T448" s="735"/>
      <c r="U448" s="734"/>
      <c r="V448" s="736"/>
    </row>
    <row r="449" spans="20:22" ht="14.55" x14ac:dyDescent="0.3">
      <c r="T449" s="735"/>
      <c r="U449" s="734"/>
      <c r="V449" s="736"/>
    </row>
    <row r="450" spans="20:22" ht="14.55" x14ac:dyDescent="0.3">
      <c r="T450" s="735"/>
      <c r="U450" s="734"/>
      <c r="V450" s="736"/>
    </row>
    <row r="451" spans="20:22" ht="14.55" x14ac:dyDescent="0.3">
      <c r="T451" s="735"/>
      <c r="U451" s="734"/>
      <c r="V451" s="736"/>
    </row>
    <row r="452" spans="20:22" ht="14.55" x14ac:dyDescent="0.3">
      <c r="T452" s="735"/>
      <c r="U452" s="734"/>
      <c r="V452" s="736"/>
    </row>
    <row r="453" spans="20:22" ht="14.55" x14ac:dyDescent="0.3">
      <c r="T453" s="735"/>
      <c r="U453" s="734"/>
      <c r="V453" s="736"/>
    </row>
    <row r="454" spans="20:22" ht="14.55" x14ac:dyDescent="0.3">
      <c r="T454" s="735"/>
      <c r="U454" s="734"/>
      <c r="V454" s="736"/>
    </row>
    <row r="455" spans="20:22" ht="14.55" x14ac:dyDescent="0.3">
      <c r="T455" s="735"/>
      <c r="U455" s="734"/>
      <c r="V455" s="736"/>
    </row>
    <row r="456" spans="20:22" ht="14.55" x14ac:dyDescent="0.3">
      <c r="T456" s="735"/>
      <c r="U456" s="734"/>
      <c r="V456" s="736"/>
    </row>
    <row r="457" spans="20:22" ht="14.55" x14ac:dyDescent="0.3">
      <c r="T457" s="735"/>
      <c r="U457" s="734"/>
      <c r="V457" s="736"/>
    </row>
    <row r="458" spans="20:22" ht="14.55" x14ac:dyDescent="0.3">
      <c r="T458" s="735"/>
      <c r="U458" s="734"/>
      <c r="V458" s="736"/>
    </row>
    <row r="459" spans="20:22" ht="14.55" x14ac:dyDescent="0.3">
      <c r="T459" s="735"/>
      <c r="U459" s="734"/>
      <c r="V459" s="736"/>
    </row>
    <row r="460" spans="20:22" ht="14.55" x14ac:dyDescent="0.3">
      <c r="T460" s="735"/>
      <c r="U460" s="734"/>
      <c r="V460" s="736"/>
    </row>
    <row r="461" spans="20:22" ht="14.55" x14ac:dyDescent="0.3">
      <c r="T461" s="735"/>
      <c r="U461" s="734"/>
      <c r="V461" s="736"/>
    </row>
    <row r="462" spans="20:22" ht="14.55" x14ac:dyDescent="0.3">
      <c r="T462" s="735"/>
      <c r="U462" s="734"/>
      <c r="V462" s="736"/>
    </row>
    <row r="463" spans="20:22" ht="14.55" x14ac:dyDescent="0.3">
      <c r="T463" s="735"/>
      <c r="U463" s="734"/>
      <c r="V463" s="736"/>
    </row>
    <row r="464" spans="20:22" ht="14.55" x14ac:dyDescent="0.3">
      <c r="T464" s="735"/>
      <c r="U464" s="734"/>
      <c r="V464" s="736"/>
    </row>
    <row r="465" spans="20:22" ht="14.55" x14ac:dyDescent="0.3">
      <c r="T465" s="735"/>
      <c r="U465" s="734"/>
      <c r="V465" s="736"/>
    </row>
    <row r="466" spans="20:22" ht="14.55" x14ac:dyDescent="0.3">
      <c r="T466" s="735"/>
      <c r="U466" s="734"/>
      <c r="V466" s="736"/>
    </row>
    <row r="467" spans="20:22" ht="14.55" x14ac:dyDescent="0.3">
      <c r="T467" s="735"/>
      <c r="U467" s="734"/>
      <c r="V467" s="736"/>
    </row>
    <row r="468" spans="20:22" ht="14.55" x14ac:dyDescent="0.3">
      <c r="T468" s="735"/>
      <c r="U468" s="734"/>
      <c r="V468" s="736"/>
    </row>
    <row r="469" spans="20:22" ht="14.55" x14ac:dyDescent="0.3">
      <c r="T469" s="735"/>
      <c r="U469" s="734"/>
      <c r="V469" s="736"/>
    </row>
    <row r="470" spans="20:22" ht="14.55" x14ac:dyDescent="0.3">
      <c r="T470" s="735"/>
      <c r="U470" s="734"/>
      <c r="V470" s="736"/>
    </row>
    <row r="471" spans="20:22" ht="14.55" x14ac:dyDescent="0.3">
      <c r="T471" s="735"/>
      <c r="U471" s="734"/>
      <c r="V471" s="736"/>
    </row>
    <row r="472" spans="20:22" ht="14.55" x14ac:dyDescent="0.3">
      <c r="T472" s="735"/>
      <c r="U472" s="734"/>
      <c r="V472" s="736"/>
    </row>
    <row r="473" spans="20:22" ht="14.55" x14ac:dyDescent="0.3">
      <c r="T473" s="735"/>
      <c r="U473" s="734"/>
      <c r="V473" s="736"/>
    </row>
    <row r="474" spans="20:22" ht="14.55" x14ac:dyDescent="0.3">
      <c r="T474" s="735"/>
      <c r="U474" s="734"/>
      <c r="V474" s="736"/>
    </row>
    <row r="475" spans="20:22" ht="14.55" x14ac:dyDescent="0.3">
      <c r="T475" s="735"/>
      <c r="U475" s="734"/>
      <c r="V475" s="736"/>
    </row>
    <row r="476" spans="20:22" ht="14.55" x14ac:dyDescent="0.3">
      <c r="T476" s="735"/>
      <c r="U476" s="734"/>
      <c r="V476" s="736"/>
    </row>
    <row r="477" spans="20:22" ht="14.55" x14ac:dyDescent="0.3">
      <c r="T477" s="735"/>
      <c r="U477" s="734"/>
      <c r="V477" s="736"/>
    </row>
    <row r="478" spans="20:22" ht="14.55" x14ac:dyDescent="0.3">
      <c r="T478" s="735"/>
      <c r="U478" s="734"/>
      <c r="V478" s="736"/>
    </row>
    <row r="479" spans="20:22" ht="14.55" x14ac:dyDescent="0.3">
      <c r="T479" s="735"/>
      <c r="U479" s="734"/>
      <c r="V479" s="736"/>
    </row>
    <row r="480" spans="20:22" ht="14.55" x14ac:dyDescent="0.3">
      <c r="T480" s="735"/>
      <c r="U480" s="734"/>
      <c r="V480" s="736"/>
    </row>
    <row r="481" spans="20:22" ht="14.55" x14ac:dyDescent="0.3">
      <c r="T481" s="735"/>
      <c r="U481" s="734"/>
      <c r="V481" s="736"/>
    </row>
    <row r="482" spans="20:22" ht="14.55" x14ac:dyDescent="0.3">
      <c r="T482" s="735"/>
      <c r="U482" s="734"/>
      <c r="V482" s="736"/>
    </row>
    <row r="483" spans="20:22" ht="14.55" x14ac:dyDescent="0.3">
      <c r="T483" s="735"/>
      <c r="U483" s="734"/>
      <c r="V483" s="736"/>
    </row>
    <row r="484" spans="20:22" ht="14.55" x14ac:dyDescent="0.3">
      <c r="T484" s="735"/>
      <c r="U484" s="734"/>
      <c r="V484" s="736"/>
    </row>
    <row r="485" spans="20:22" ht="14.55" x14ac:dyDescent="0.3">
      <c r="T485" s="735"/>
      <c r="U485" s="734"/>
      <c r="V485" s="736"/>
    </row>
    <row r="486" spans="20:22" ht="14.55" x14ac:dyDescent="0.3">
      <c r="T486" s="735"/>
      <c r="U486" s="734"/>
      <c r="V486" s="736"/>
    </row>
    <row r="487" spans="20:22" ht="14.55" x14ac:dyDescent="0.3">
      <c r="T487" s="735"/>
      <c r="U487" s="734"/>
      <c r="V487" s="736"/>
    </row>
    <row r="488" spans="20:22" ht="14.55" x14ac:dyDescent="0.3">
      <c r="T488" s="735"/>
      <c r="U488" s="734"/>
      <c r="V488" s="736"/>
    </row>
    <row r="489" spans="20:22" ht="14.55" x14ac:dyDescent="0.3">
      <c r="T489" s="735"/>
      <c r="U489" s="734"/>
      <c r="V489" s="736"/>
    </row>
    <row r="490" spans="20:22" ht="14.55" x14ac:dyDescent="0.3">
      <c r="T490" s="735"/>
      <c r="U490" s="734"/>
      <c r="V490" s="736"/>
    </row>
    <row r="491" spans="20:22" ht="14.55" x14ac:dyDescent="0.3">
      <c r="T491" s="735"/>
      <c r="U491" s="734"/>
      <c r="V491" s="736"/>
    </row>
    <row r="492" spans="20:22" ht="14.55" x14ac:dyDescent="0.3">
      <c r="T492" s="735"/>
      <c r="U492" s="734"/>
      <c r="V492" s="736"/>
    </row>
    <row r="493" spans="20:22" ht="14.55" x14ac:dyDescent="0.3">
      <c r="T493" s="735"/>
      <c r="U493" s="734"/>
      <c r="V493" s="736"/>
    </row>
    <row r="494" spans="20:22" ht="14.55" x14ac:dyDescent="0.3">
      <c r="T494" s="735"/>
      <c r="U494" s="734"/>
      <c r="V494" s="736"/>
    </row>
    <row r="495" spans="20:22" ht="14.55" x14ac:dyDescent="0.3">
      <c r="T495" s="735"/>
      <c r="U495" s="734"/>
      <c r="V495" s="736"/>
    </row>
    <row r="496" spans="20:22" ht="14.55" x14ac:dyDescent="0.3">
      <c r="T496" s="735"/>
      <c r="U496" s="734"/>
      <c r="V496" s="736"/>
    </row>
    <row r="497" spans="20:22" ht="14.55" x14ac:dyDescent="0.3">
      <c r="T497" s="735"/>
      <c r="U497" s="734"/>
      <c r="V497" s="736"/>
    </row>
    <row r="498" spans="20:22" ht="14.55" x14ac:dyDescent="0.3">
      <c r="T498" s="735"/>
      <c r="U498" s="734"/>
      <c r="V498" s="736"/>
    </row>
    <row r="499" spans="20:22" ht="14.55" x14ac:dyDescent="0.3">
      <c r="T499" s="735"/>
      <c r="U499" s="734"/>
      <c r="V499" s="736"/>
    </row>
    <row r="500" spans="20:22" ht="14.55" x14ac:dyDescent="0.3">
      <c r="T500" s="735"/>
      <c r="U500" s="734"/>
      <c r="V500" s="736"/>
    </row>
    <row r="501" spans="20:22" ht="14.55" x14ac:dyDescent="0.3">
      <c r="T501" s="735"/>
      <c r="U501" s="734"/>
      <c r="V501" s="736"/>
    </row>
    <row r="502" spans="20:22" ht="14.55" x14ac:dyDescent="0.3">
      <c r="T502" s="735"/>
      <c r="U502" s="734"/>
      <c r="V502" s="736"/>
    </row>
    <row r="503" spans="20:22" ht="14.55" x14ac:dyDescent="0.3">
      <c r="T503" s="735"/>
      <c r="U503" s="734"/>
      <c r="V503" s="736"/>
    </row>
    <row r="504" spans="20:22" ht="14.55" x14ac:dyDescent="0.3">
      <c r="T504" s="735"/>
      <c r="U504" s="734"/>
      <c r="V504" s="736"/>
    </row>
    <row r="505" spans="20:22" ht="14.55" x14ac:dyDescent="0.3">
      <c r="T505" s="735"/>
      <c r="U505" s="734"/>
      <c r="V505" s="736"/>
    </row>
    <row r="506" spans="20:22" ht="14.55" x14ac:dyDescent="0.3">
      <c r="T506" s="735"/>
      <c r="U506" s="734"/>
      <c r="V506" s="736"/>
    </row>
    <row r="507" spans="20:22" ht="14.55" x14ac:dyDescent="0.3">
      <c r="T507" s="735"/>
      <c r="U507" s="734"/>
      <c r="V507" s="736"/>
    </row>
    <row r="508" spans="20:22" ht="14.55" x14ac:dyDescent="0.3">
      <c r="T508" s="735"/>
      <c r="U508" s="734"/>
      <c r="V508" s="736"/>
    </row>
    <row r="509" spans="20:22" ht="14.55" x14ac:dyDescent="0.3">
      <c r="T509" s="735"/>
      <c r="U509" s="734"/>
      <c r="V509" s="736"/>
    </row>
    <row r="510" spans="20:22" ht="14.55" x14ac:dyDescent="0.3">
      <c r="T510" s="735"/>
      <c r="U510" s="734"/>
      <c r="V510" s="736"/>
    </row>
    <row r="511" spans="20:22" ht="14.55" x14ac:dyDescent="0.3">
      <c r="T511" s="735"/>
      <c r="U511" s="734"/>
      <c r="V511" s="736"/>
    </row>
    <row r="512" spans="20:22" ht="14.55" x14ac:dyDescent="0.3">
      <c r="T512" s="735"/>
      <c r="U512" s="734"/>
      <c r="V512" s="736"/>
    </row>
    <row r="513" spans="20:22" ht="14.55" x14ac:dyDescent="0.3">
      <c r="T513" s="735"/>
      <c r="U513" s="734"/>
      <c r="V513" s="736"/>
    </row>
    <row r="514" spans="20:22" ht="14.55" x14ac:dyDescent="0.3">
      <c r="T514" s="735"/>
      <c r="U514" s="734"/>
      <c r="V514" s="736"/>
    </row>
    <row r="515" spans="20:22" ht="14.55" x14ac:dyDescent="0.3">
      <c r="T515" s="735"/>
      <c r="U515" s="734"/>
      <c r="V515" s="736"/>
    </row>
    <row r="516" spans="20:22" ht="14.55" x14ac:dyDescent="0.3">
      <c r="T516" s="735"/>
      <c r="U516" s="734"/>
      <c r="V516" s="736"/>
    </row>
    <row r="517" spans="20:22" ht="14.55" x14ac:dyDescent="0.3">
      <c r="T517" s="735"/>
      <c r="U517" s="734"/>
      <c r="V517" s="736"/>
    </row>
    <row r="518" spans="20:22" ht="14.55" x14ac:dyDescent="0.3">
      <c r="T518" s="735"/>
      <c r="U518" s="734"/>
      <c r="V518" s="736"/>
    </row>
    <row r="519" spans="20:22" ht="14.55" x14ac:dyDescent="0.3">
      <c r="T519" s="735"/>
      <c r="U519" s="734"/>
      <c r="V519" s="736"/>
    </row>
    <row r="520" spans="20:22" ht="14.55" x14ac:dyDescent="0.3">
      <c r="T520" s="735"/>
      <c r="U520" s="734"/>
      <c r="V520" s="736"/>
    </row>
    <row r="521" spans="20:22" ht="14.55" x14ac:dyDescent="0.3">
      <c r="T521" s="735"/>
      <c r="U521" s="734"/>
      <c r="V521" s="736"/>
    </row>
    <row r="522" spans="20:22" ht="14.55" x14ac:dyDescent="0.3">
      <c r="T522" s="735"/>
      <c r="U522" s="734"/>
      <c r="V522" s="736"/>
    </row>
    <row r="523" spans="20:22" ht="14.55" x14ac:dyDescent="0.3">
      <c r="T523" s="735"/>
      <c r="U523" s="734"/>
      <c r="V523" s="736"/>
    </row>
    <row r="524" spans="20:22" ht="14.55" x14ac:dyDescent="0.3">
      <c r="T524" s="735"/>
      <c r="U524" s="734"/>
      <c r="V524" s="736"/>
    </row>
    <row r="525" spans="20:22" ht="14.55" x14ac:dyDescent="0.3">
      <c r="T525" s="735"/>
      <c r="U525" s="734"/>
      <c r="V525" s="736"/>
    </row>
    <row r="526" spans="20:22" ht="14.55" x14ac:dyDescent="0.3">
      <c r="T526" s="735"/>
      <c r="U526" s="734"/>
      <c r="V526" s="736"/>
    </row>
    <row r="527" spans="20:22" ht="14.55" x14ac:dyDescent="0.3">
      <c r="T527" s="735"/>
      <c r="U527" s="734"/>
      <c r="V527" s="736"/>
    </row>
    <row r="528" spans="20:22" ht="14.55" x14ac:dyDescent="0.3">
      <c r="T528" s="735"/>
      <c r="U528" s="734"/>
      <c r="V528" s="736"/>
    </row>
    <row r="529" spans="20:22" ht="14.55" x14ac:dyDescent="0.3">
      <c r="T529" s="735"/>
      <c r="U529" s="734"/>
      <c r="V529" s="736"/>
    </row>
    <row r="530" spans="20:22" ht="14.55" x14ac:dyDescent="0.3">
      <c r="T530" s="735"/>
      <c r="U530" s="734"/>
      <c r="V530" s="736"/>
    </row>
    <row r="531" spans="20:22" ht="14.55" x14ac:dyDescent="0.3">
      <c r="T531" s="735"/>
      <c r="U531" s="734"/>
      <c r="V531" s="736"/>
    </row>
    <row r="532" spans="20:22" ht="14.55" x14ac:dyDescent="0.3">
      <c r="T532" s="735"/>
      <c r="U532" s="734"/>
      <c r="V532" s="736"/>
    </row>
    <row r="533" spans="20:22" ht="14.55" x14ac:dyDescent="0.3">
      <c r="T533" s="735"/>
      <c r="U533" s="734"/>
      <c r="V533" s="736"/>
    </row>
    <row r="534" spans="20:22" ht="14.55" x14ac:dyDescent="0.3">
      <c r="T534" s="735"/>
      <c r="U534" s="734"/>
      <c r="V534" s="736"/>
    </row>
    <row r="535" spans="20:22" ht="14.55" x14ac:dyDescent="0.3">
      <c r="T535" s="735"/>
      <c r="U535" s="734"/>
      <c r="V535" s="736"/>
    </row>
    <row r="536" spans="20:22" ht="14.55" x14ac:dyDescent="0.3">
      <c r="T536" s="735"/>
      <c r="U536" s="734"/>
      <c r="V536" s="736"/>
    </row>
    <row r="537" spans="20:22" ht="14.55" x14ac:dyDescent="0.3">
      <c r="T537" s="735"/>
      <c r="U537" s="734"/>
      <c r="V537" s="736"/>
    </row>
    <row r="538" spans="20:22" ht="14.55" x14ac:dyDescent="0.3">
      <c r="T538" s="735"/>
      <c r="U538" s="734"/>
      <c r="V538" s="736"/>
    </row>
    <row r="539" spans="20:22" ht="14.55" x14ac:dyDescent="0.3">
      <c r="T539" s="735"/>
      <c r="U539" s="734"/>
      <c r="V539" s="736"/>
    </row>
    <row r="540" spans="20:22" ht="14.55" x14ac:dyDescent="0.3">
      <c r="T540" s="735"/>
      <c r="U540" s="734"/>
      <c r="V540" s="736"/>
    </row>
    <row r="541" spans="20:22" ht="14.55" x14ac:dyDescent="0.3">
      <c r="T541" s="735"/>
      <c r="U541" s="734"/>
      <c r="V541" s="736"/>
    </row>
    <row r="542" spans="20:22" ht="14.55" x14ac:dyDescent="0.3">
      <c r="T542" s="735"/>
      <c r="U542" s="734"/>
      <c r="V542" s="736"/>
    </row>
    <row r="543" spans="20:22" ht="14.55" x14ac:dyDescent="0.3">
      <c r="T543" s="735"/>
      <c r="U543" s="734"/>
      <c r="V543" s="736"/>
    </row>
    <row r="544" spans="20:22" ht="14.55" x14ac:dyDescent="0.3">
      <c r="T544" s="735"/>
      <c r="U544" s="734"/>
      <c r="V544" s="736"/>
    </row>
    <row r="545" spans="20:22" ht="14.55" x14ac:dyDescent="0.3">
      <c r="T545" s="735"/>
      <c r="U545" s="734"/>
      <c r="V545" s="736"/>
    </row>
    <row r="546" spans="20:22" ht="14.55" x14ac:dyDescent="0.3">
      <c r="T546" s="735"/>
      <c r="U546" s="734"/>
      <c r="V546" s="736"/>
    </row>
    <row r="547" spans="20:22" ht="14.55" x14ac:dyDescent="0.3">
      <c r="T547" s="735"/>
      <c r="U547" s="734"/>
      <c r="V547" s="736"/>
    </row>
    <row r="548" spans="20:22" ht="14.55" x14ac:dyDescent="0.3">
      <c r="T548" s="735"/>
      <c r="U548" s="734"/>
      <c r="V548" s="736"/>
    </row>
    <row r="549" spans="20:22" ht="14.55" x14ac:dyDescent="0.3">
      <c r="T549" s="735"/>
      <c r="U549" s="734"/>
      <c r="V549" s="736"/>
    </row>
    <row r="550" spans="20:22" ht="14.55" x14ac:dyDescent="0.3">
      <c r="T550" s="735"/>
      <c r="U550" s="734"/>
      <c r="V550" s="736"/>
    </row>
    <row r="551" spans="20:22" ht="14.55" x14ac:dyDescent="0.3">
      <c r="T551" s="735"/>
      <c r="U551" s="734"/>
      <c r="V551" s="736"/>
    </row>
    <row r="552" spans="20:22" ht="14.55" x14ac:dyDescent="0.3">
      <c r="T552" s="735"/>
      <c r="U552" s="734"/>
      <c r="V552" s="736"/>
    </row>
    <row r="553" spans="20:22" ht="14.55" x14ac:dyDescent="0.3">
      <c r="T553" s="735"/>
      <c r="U553" s="734"/>
      <c r="V553" s="736"/>
    </row>
    <row r="554" spans="20:22" ht="14.55" x14ac:dyDescent="0.3">
      <c r="T554" s="735"/>
      <c r="U554" s="734"/>
      <c r="V554" s="736"/>
    </row>
    <row r="555" spans="20:22" ht="14.55" x14ac:dyDescent="0.3">
      <c r="T555" s="735"/>
      <c r="U555" s="734"/>
      <c r="V555" s="736"/>
    </row>
    <row r="556" spans="20:22" ht="14.55" x14ac:dyDescent="0.3">
      <c r="T556" s="735"/>
      <c r="U556" s="734"/>
      <c r="V556" s="736"/>
    </row>
    <row r="557" spans="20:22" ht="14.55" x14ac:dyDescent="0.3">
      <c r="T557" s="735"/>
      <c r="U557" s="734"/>
      <c r="V557" s="736"/>
    </row>
    <row r="558" spans="20:22" ht="14.55" x14ac:dyDescent="0.3">
      <c r="T558" s="735"/>
      <c r="U558" s="734"/>
      <c r="V558" s="736"/>
    </row>
    <row r="559" spans="20:22" ht="14.55" x14ac:dyDescent="0.3">
      <c r="T559" s="735"/>
      <c r="U559" s="734"/>
      <c r="V559" s="736"/>
    </row>
    <row r="560" spans="20:22" ht="14.55" x14ac:dyDescent="0.3">
      <c r="T560" s="735"/>
      <c r="U560" s="734"/>
      <c r="V560" s="736"/>
    </row>
    <row r="561" spans="20:22" ht="14.55" x14ac:dyDescent="0.3">
      <c r="T561" s="735"/>
      <c r="U561" s="734"/>
      <c r="V561" s="736"/>
    </row>
    <row r="562" spans="20:22" ht="14.55" x14ac:dyDescent="0.3">
      <c r="T562" s="735"/>
      <c r="U562" s="734"/>
      <c r="V562" s="736"/>
    </row>
    <row r="563" spans="20:22" ht="14.55" x14ac:dyDescent="0.3">
      <c r="T563" s="735"/>
      <c r="U563" s="734"/>
      <c r="V563" s="736"/>
    </row>
    <row r="564" spans="20:22" ht="14.55" x14ac:dyDescent="0.3">
      <c r="T564" s="735"/>
      <c r="U564" s="734"/>
      <c r="V564" s="736"/>
    </row>
    <row r="565" spans="20:22" ht="14.55" x14ac:dyDescent="0.3">
      <c r="T565" s="735"/>
      <c r="U565" s="734"/>
      <c r="V565" s="736"/>
    </row>
    <row r="566" spans="20:22" ht="14.55" x14ac:dyDescent="0.3">
      <c r="T566" s="735"/>
      <c r="U566" s="734"/>
      <c r="V566" s="736"/>
    </row>
    <row r="567" spans="20:22" ht="14.55" x14ac:dyDescent="0.3">
      <c r="T567" s="735"/>
      <c r="U567" s="734"/>
      <c r="V567" s="736"/>
    </row>
    <row r="568" spans="20:22" ht="14.55" x14ac:dyDescent="0.3">
      <c r="T568" s="735"/>
      <c r="U568" s="734"/>
      <c r="V568" s="736"/>
    </row>
    <row r="569" spans="20:22" ht="14.55" x14ac:dyDescent="0.3">
      <c r="T569" s="735"/>
      <c r="U569" s="734"/>
      <c r="V569" s="736"/>
    </row>
    <row r="570" spans="20:22" ht="14.55" x14ac:dyDescent="0.3">
      <c r="T570" s="735"/>
      <c r="U570" s="734"/>
      <c r="V570" s="736"/>
    </row>
    <row r="571" spans="20:22" ht="14.55" x14ac:dyDescent="0.3">
      <c r="T571" s="735"/>
      <c r="U571" s="734"/>
      <c r="V571" s="736"/>
    </row>
    <row r="572" spans="20:22" ht="14.55" x14ac:dyDescent="0.3">
      <c r="T572" s="735"/>
      <c r="U572" s="734"/>
      <c r="V572" s="736"/>
    </row>
    <row r="573" spans="20:22" ht="14.55" x14ac:dyDescent="0.3">
      <c r="T573" s="735"/>
      <c r="U573" s="734"/>
      <c r="V573" s="736"/>
    </row>
    <row r="574" spans="20:22" ht="14.55" x14ac:dyDescent="0.3">
      <c r="T574" s="735"/>
      <c r="U574" s="734"/>
      <c r="V574" s="736"/>
    </row>
    <row r="575" spans="20:22" ht="14.55" x14ac:dyDescent="0.3">
      <c r="T575" s="735"/>
      <c r="U575" s="734"/>
      <c r="V575" s="736"/>
    </row>
    <row r="576" spans="20:22" ht="14.55" x14ac:dyDescent="0.3">
      <c r="T576" s="735"/>
      <c r="U576" s="734"/>
      <c r="V576" s="736"/>
    </row>
    <row r="577" spans="20:22" ht="14.55" x14ac:dyDescent="0.3">
      <c r="T577" s="735"/>
      <c r="U577" s="734"/>
      <c r="V577" s="736"/>
    </row>
    <row r="578" spans="20:22" ht="14.55" x14ac:dyDescent="0.3">
      <c r="T578" s="735"/>
      <c r="U578" s="734"/>
      <c r="V578" s="736"/>
    </row>
    <row r="579" spans="20:22" ht="14.55" x14ac:dyDescent="0.3">
      <c r="T579" s="735"/>
      <c r="U579" s="734"/>
      <c r="V579" s="736"/>
    </row>
    <row r="580" spans="20:22" ht="14.55" x14ac:dyDescent="0.3">
      <c r="T580" s="735"/>
      <c r="U580" s="734"/>
      <c r="V580" s="736"/>
    </row>
    <row r="581" spans="20:22" ht="14.55" x14ac:dyDescent="0.3">
      <c r="T581" s="735"/>
      <c r="U581" s="734"/>
      <c r="V581" s="736"/>
    </row>
    <row r="582" spans="20:22" ht="14.55" x14ac:dyDescent="0.3">
      <c r="T582" s="735"/>
      <c r="U582" s="734"/>
      <c r="V582" s="736"/>
    </row>
    <row r="583" spans="20:22" ht="14.55" x14ac:dyDescent="0.3">
      <c r="T583" s="735"/>
      <c r="U583" s="734"/>
      <c r="V583" s="736"/>
    </row>
    <row r="584" spans="20:22" ht="14.55" x14ac:dyDescent="0.3">
      <c r="T584" s="735"/>
      <c r="U584" s="734"/>
      <c r="V584" s="736"/>
    </row>
    <row r="585" spans="20:22" ht="14.55" x14ac:dyDescent="0.3">
      <c r="T585" s="735"/>
      <c r="U585" s="734"/>
      <c r="V585" s="736"/>
    </row>
    <row r="586" spans="20:22" ht="14.55" x14ac:dyDescent="0.3">
      <c r="T586" s="735"/>
      <c r="U586" s="734"/>
      <c r="V586" s="736"/>
    </row>
    <row r="587" spans="20:22" ht="14.55" x14ac:dyDescent="0.3">
      <c r="T587" s="735"/>
      <c r="U587" s="734"/>
      <c r="V587" s="736"/>
    </row>
    <row r="588" spans="20:22" ht="14.55" x14ac:dyDescent="0.3">
      <c r="T588" s="735"/>
      <c r="U588" s="734"/>
      <c r="V588" s="736"/>
    </row>
    <row r="589" spans="20:22" ht="14.55" x14ac:dyDescent="0.3">
      <c r="T589" s="735"/>
      <c r="U589" s="734"/>
      <c r="V589" s="736"/>
    </row>
    <row r="590" spans="20:22" ht="14.55" x14ac:dyDescent="0.3">
      <c r="T590" s="735"/>
      <c r="U590" s="734"/>
      <c r="V590" s="736"/>
    </row>
    <row r="591" spans="20:22" ht="14.55" x14ac:dyDescent="0.3">
      <c r="T591" s="735"/>
      <c r="U591" s="734"/>
      <c r="V591" s="736"/>
    </row>
    <row r="592" spans="20:22" ht="14.55" x14ac:dyDescent="0.3">
      <c r="T592" s="735"/>
      <c r="U592" s="734"/>
      <c r="V592" s="736"/>
    </row>
    <row r="593" spans="20:22" ht="14.55" x14ac:dyDescent="0.3">
      <c r="T593" s="735"/>
      <c r="U593" s="734"/>
      <c r="V593" s="736"/>
    </row>
    <row r="594" spans="20:22" ht="14.55" x14ac:dyDescent="0.3">
      <c r="T594" s="735"/>
      <c r="U594" s="734"/>
      <c r="V594" s="736"/>
    </row>
    <row r="595" spans="20:22" ht="14.55" x14ac:dyDescent="0.3">
      <c r="T595" s="735"/>
      <c r="U595" s="734"/>
      <c r="V595" s="736"/>
    </row>
    <row r="596" spans="20:22" ht="14.55" x14ac:dyDescent="0.3">
      <c r="T596" s="735"/>
      <c r="U596" s="734"/>
      <c r="V596" s="736"/>
    </row>
    <row r="597" spans="20:22" ht="14.55" x14ac:dyDescent="0.3">
      <c r="T597" s="735"/>
      <c r="U597" s="734"/>
      <c r="V597" s="736"/>
    </row>
    <row r="598" spans="20:22" ht="14.55" x14ac:dyDescent="0.3">
      <c r="T598" s="735"/>
      <c r="U598" s="734"/>
      <c r="V598" s="736"/>
    </row>
    <row r="599" spans="20:22" ht="14.55" x14ac:dyDescent="0.3">
      <c r="T599" s="735"/>
      <c r="U599" s="734"/>
      <c r="V599" s="736"/>
    </row>
    <row r="600" spans="20:22" ht="14.55" x14ac:dyDescent="0.3">
      <c r="T600" s="735"/>
      <c r="U600" s="734"/>
      <c r="V600" s="736"/>
    </row>
    <row r="601" spans="20:22" ht="14.55" x14ac:dyDescent="0.3">
      <c r="T601" s="735"/>
      <c r="U601" s="734"/>
      <c r="V601" s="736"/>
    </row>
    <row r="602" spans="20:22" ht="14.55" x14ac:dyDescent="0.3">
      <c r="T602" s="735"/>
      <c r="U602" s="734"/>
      <c r="V602" s="736"/>
    </row>
  </sheetData>
  <sheetProtection selectLockedCells="1"/>
  <mergeCells count="111">
    <mergeCell ref="C28:C46"/>
    <mergeCell ref="F28:F46"/>
    <mergeCell ref="I28:I46"/>
    <mergeCell ref="L28:L46"/>
    <mergeCell ref="O28:O46"/>
    <mergeCell ref="P5:Q5"/>
    <mergeCell ref="D7:E7"/>
    <mergeCell ref="G7:H7"/>
    <mergeCell ref="J7:K7"/>
    <mergeCell ref="M7:N7"/>
    <mergeCell ref="P7:Q7"/>
    <mergeCell ref="B4:B7"/>
    <mergeCell ref="D4:E4"/>
    <mergeCell ref="G4:H4"/>
    <mergeCell ref="J4:K4"/>
    <mergeCell ref="M4:N4"/>
    <mergeCell ref="P4:Q4"/>
    <mergeCell ref="D5:E5"/>
    <mergeCell ref="G5:H5"/>
    <mergeCell ref="J5:K5"/>
    <mergeCell ref="M5:N5"/>
    <mergeCell ref="B58:E58"/>
    <mergeCell ref="G58:H58"/>
    <mergeCell ref="I58:J58"/>
    <mergeCell ref="K58:L58"/>
    <mergeCell ref="B62:E62"/>
    <mergeCell ref="G62:H62"/>
    <mergeCell ref="D50:H50"/>
    <mergeCell ref="D52:D56"/>
    <mergeCell ref="G52:G56"/>
    <mergeCell ref="G57:H57"/>
    <mergeCell ref="I57:J57"/>
    <mergeCell ref="K57:L57"/>
    <mergeCell ref="B63:E63"/>
    <mergeCell ref="G63:H63"/>
    <mergeCell ref="G67:H67"/>
    <mergeCell ref="I67:J67"/>
    <mergeCell ref="K67:M67"/>
    <mergeCell ref="E68:E69"/>
    <mergeCell ref="L68:M68"/>
    <mergeCell ref="L69:M69"/>
    <mergeCell ref="L70:M70"/>
    <mergeCell ref="L80:M80"/>
    <mergeCell ref="L81:M81"/>
    <mergeCell ref="L82:M82"/>
    <mergeCell ref="L86:M86"/>
    <mergeCell ref="B87:E87"/>
    <mergeCell ref="L87:M87"/>
    <mergeCell ref="L71:M71"/>
    <mergeCell ref="L72:M72"/>
    <mergeCell ref="L73:M73"/>
    <mergeCell ref="L74:M74"/>
    <mergeCell ref="E76:E77"/>
    <mergeCell ref="L76:M76"/>
    <mergeCell ref="L77:M77"/>
    <mergeCell ref="L78:M78"/>
    <mergeCell ref="L79:M79"/>
    <mergeCell ref="D68:D74"/>
    <mergeCell ref="D76:D82"/>
    <mergeCell ref="L95:M95"/>
    <mergeCell ref="B96:E96"/>
    <mergeCell ref="L96:M96"/>
    <mergeCell ref="B97:E97"/>
    <mergeCell ref="L97:M97"/>
    <mergeCell ref="B98:E98"/>
    <mergeCell ref="L98:M98"/>
    <mergeCell ref="B88:E88"/>
    <mergeCell ref="L88:M88"/>
    <mergeCell ref="B89:E89"/>
    <mergeCell ref="L89:M89"/>
    <mergeCell ref="B90:E90"/>
    <mergeCell ref="L90:M90"/>
    <mergeCell ref="G107:H107"/>
    <mergeCell ref="I107:J107"/>
    <mergeCell ref="K107:M107"/>
    <mergeCell ref="B108:E108"/>
    <mergeCell ref="L108:M108"/>
    <mergeCell ref="H110:K110"/>
    <mergeCell ref="B99:E99"/>
    <mergeCell ref="L99:M99"/>
    <mergeCell ref="C101:C105"/>
    <mergeCell ref="L101:M101"/>
    <mergeCell ref="L102:M102"/>
    <mergeCell ref="L103:M103"/>
    <mergeCell ref="L104:M104"/>
    <mergeCell ref="L105:M105"/>
    <mergeCell ref="H114:I114"/>
    <mergeCell ref="J114:K114"/>
    <mergeCell ref="H115:I115"/>
    <mergeCell ref="J115:K115"/>
    <mergeCell ref="H116:I116"/>
    <mergeCell ref="J116:K116"/>
    <mergeCell ref="H111:I111"/>
    <mergeCell ref="J111:K111"/>
    <mergeCell ref="H112:I112"/>
    <mergeCell ref="J112:K112"/>
    <mergeCell ref="H113:I113"/>
    <mergeCell ref="J113:K113"/>
    <mergeCell ref="H122:I122"/>
    <mergeCell ref="J122:K122"/>
    <mergeCell ref="H123:I123"/>
    <mergeCell ref="H120:I120"/>
    <mergeCell ref="J120:K120"/>
    <mergeCell ref="H121:I121"/>
    <mergeCell ref="J121:K121"/>
    <mergeCell ref="H117:I117"/>
    <mergeCell ref="J117:K117"/>
    <mergeCell ref="H118:I118"/>
    <mergeCell ref="J118:K118"/>
    <mergeCell ref="H119:I119"/>
    <mergeCell ref="J119:K119"/>
  </mergeCells>
  <conditionalFormatting sqref="C127:P135">
    <cfRule type="cellIs" dxfId="701" priority="12" operator="greaterThan">
      <formula>0</formula>
    </cfRule>
  </conditionalFormatting>
  <conditionalFormatting sqref="B8:B46">
    <cfRule type="colorScale" priority="11">
      <colorScale>
        <cfvo type="min"/>
        <cfvo type="percentile" val="50"/>
        <cfvo type="max"/>
        <color rgb="FF63BE7B"/>
        <color rgb="FFFFEB84"/>
        <color rgb="FFF8696B"/>
      </colorScale>
    </cfRule>
  </conditionalFormatting>
  <conditionalFormatting sqref="D8:D46">
    <cfRule type="colorScale" priority="10">
      <colorScale>
        <cfvo type="min"/>
        <cfvo type="percentile" val="50"/>
        <cfvo type="max"/>
        <color rgb="FF63BE7B"/>
        <color rgb="FFFFEB84"/>
        <color rgb="FFF8696B"/>
      </colorScale>
    </cfRule>
  </conditionalFormatting>
  <conditionalFormatting sqref="E8:E46">
    <cfRule type="colorScale" priority="9">
      <colorScale>
        <cfvo type="min"/>
        <cfvo type="percentile" val="50"/>
        <cfvo type="max"/>
        <color rgb="FF63BE7B"/>
        <color rgb="FFFFEB84"/>
        <color rgb="FFF8696B"/>
      </colorScale>
    </cfRule>
  </conditionalFormatting>
  <conditionalFormatting sqref="G8:G46">
    <cfRule type="colorScale" priority="8">
      <colorScale>
        <cfvo type="min"/>
        <cfvo type="percentile" val="50"/>
        <cfvo type="max"/>
        <color rgb="FF63BE7B"/>
        <color rgb="FFFFEB84"/>
        <color rgb="FFF8696B"/>
      </colorScale>
    </cfRule>
  </conditionalFormatting>
  <conditionalFormatting sqref="H8:H46">
    <cfRule type="colorScale" priority="7">
      <colorScale>
        <cfvo type="min"/>
        <cfvo type="percentile" val="50"/>
        <cfvo type="max"/>
        <color rgb="FF63BE7B"/>
        <color rgb="FFFFEB84"/>
        <color rgb="FFF8696B"/>
      </colorScale>
    </cfRule>
  </conditionalFormatting>
  <conditionalFormatting sqref="J8:J46">
    <cfRule type="colorScale" priority="6">
      <colorScale>
        <cfvo type="min"/>
        <cfvo type="percentile" val="50"/>
        <cfvo type="max"/>
        <color rgb="FF63BE7B"/>
        <color rgb="FFFFEB84"/>
        <color rgb="FFF8696B"/>
      </colorScale>
    </cfRule>
  </conditionalFormatting>
  <conditionalFormatting sqref="K8:K46">
    <cfRule type="colorScale" priority="5">
      <colorScale>
        <cfvo type="min"/>
        <cfvo type="percentile" val="50"/>
        <cfvo type="max"/>
        <color rgb="FF63BE7B"/>
        <color rgb="FFFFEB84"/>
        <color rgb="FFF8696B"/>
      </colorScale>
    </cfRule>
  </conditionalFormatting>
  <conditionalFormatting sqref="M8:M46">
    <cfRule type="colorScale" priority="4">
      <colorScale>
        <cfvo type="min"/>
        <cfvo type="percentile" val="50"/>
        <cfvo type="max"/>
        <color rgb="FF63BE7B"/>
        <color rgb="FFFFEB84"/>
        <color rgb="FFF8696B"/>
      </colorScale>
    </cfRule>
  </conditionalFormatting>
  <conditionalFormatting sqref="N8:N46">
    <cfRule type="colorScale" priority="3">
      <colorScale>
        <cfvo type="min"/>
        <cfvo type="percentile" val="50"/>
        <cfvo type="max"/>
        <color rgb="FF63BE7B"/>
        <color rgb="FFFFEB84"/>
        <color rgb="FFF8696B"/>
      </colorScale>
    </cfRule>
  </conditionalFormatting>
  <conditionalFormatting sqref="P8:P46">
    <cfRule type="colorScale" priority="2">
      <colorScale>
        <cfvo type="min"/>
        <cfvo type="percentile" val="50"/>
        <cfvo type="max"/>
        <color rgb="FF63BE7B"/>
        <color rgb="FFFFEB84"/>
        <color rgb="FFF8696B"/>
      </colorScale>
    </cfRule>
  </conditionalFormatting>
  <conditionalFormatting sqref="Q8:Q46">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D6ADD-1DF4-4F16-BA1A-79F579937430}">
  <sheetPr codeName="Tabelle21">
    <tabColor rgb="FFFFC000"/>
  </sheetPr>
  <dimension ref="A1:AP265"/>
  <sheetViews>
    <sheetView workbookViewId="0">
      <selection activeCell="H9" sqref="H9:I9"/>
    </sheetView>
  </sheetViews>
  <sheetFormatPr baseColWidth="10" defaultColWidth="11.44140625" defaultRowHeight="13.9" x14ac:dyDescent="0.25"/>
  <cols>
    <col min="1" max="1" width="7.21875" style="491" customWidth="1"/>
    <col min="2" max="7" width="9.21875" style="39" customWidth="1"/>
    <col min="8" max="8" width="9.44140625" style="39" customWidth="1"/>
    <col min="9" max="13" width="9.21875" style="39" customWidth="1"/>
    <col min="14" max="14" width="9.44140625" style="39" customWidth="1"/>
    <col min="15" max="21" width="9.21875" style="39" customWidth="1"/>
    <col min="22" max="23" width="9.21875" style="72" customWidth="1"/>
    <col min="24" max="24" width="11" style="72" customWidth="1"/>
    <col min="25" max="26" width="8.21875" style="72" bestFit="1" customWidth="1"/>
    <col min="27" max="28" width="11.44140625" style="72"/>
    <col min="29" max="29" width="11.44140625" style="68"/>
    <col min="30" max="16384" width="11.44140625" style="39"/>
  </cols>
  <sheetData>
    <row r="1" spans="1:30" x14ac:dyDescent="0.25">
      <c r="A1" s="493" t="str">
        <f>Überblick!X113</f>
        <v/>
      </c>
      <c r="B1" s="188" t="str">
        <f>IF(Überblick!B2=Überblick!L4,Freianlagen!V1,Freianlagen!V2)</f>
        <v>Honorarangebot HOAI - Freianlagenplanung</v>
      </c>
      <c r="R1" s="72"/>
      <c r="S1" s="72"/>
      <c r="T1" s="963" t="str">
        <f>'Hochbauplanung '!T1</f>
        <v>Version: 27.06.2023</v>
      </c>
      <c r="U1" s="963"/>
      <c r="V1" s="72" t="s">
        <v>588</v>
      </c>
    </row>
    <row r="2" spans="1:30" x14ac:dyDescent="0.25">
      <c r="R2" s="535" t="s">
        <v>110</v>
      </c>
      <c r="S2" s="1389" t="str">
        <f>IF(Überblick!Q2=0,"",Überblick!Q2)</f>
        <v/>
      </c>
      <c r="T2" s="1389"/>
      <c r="U2" s="1389"/>
      <c r="V2" s="72" t="s">
        <v>589</v>
      </c>
    </row>
    <row r="3" spans="1:30" x14ac:dyDescent="0.25">
      <c r="A3" s="491" t="s">
        <v>112</v>
      </c>
      <c r="B3" s="40" t="s">
        <v>365</v>
      </c>
      <c r="R3" s="535" t="s">
        <v>24</v>
      </c>
      <c r="S3" s="1389" t="str">
        <f>IF(Überblick!G29=0,"",Überblick!G29)</f>
        <v>Breite Strasse, 10178 Berlin-Mitte, zw. Neumannsgasse und Scharrenstrasse</v>
      </c>
      <c r="T3" s="1389"/>
      <c r="U3" s="1389"/>
      <c r="AD3" s="68"/>
    </row>
    <row r="4" spans="1:30" ht="14.55" thickBot="1" x14ac:dyDescent="0.3">
      <c r="R4" s="535" t="s">
        <v>17</v>
      </c>
      <c r="S4" s="1389" t="str">
        <f>IF(Überblick!D19=0,"",Überblick!D19)</f>
        <v/>
      </c>
      <c r="T4" s="1389"/>
      <c r="U4" s="1389"/>
    </row>
    <row r="5" spans="1:30" ht="32.25" customHeight="1" thickBot="1" x14ac:dyDescent="0.3">
      <c r="B5" s="107"/>
      <c r="C5" s="144"/>
      <c r="D5" s="144"/>
      <c r="E5" s="488"/>
      <c r="F5" s="1198" t="s">
        <v>116</v>
      </c>
      <c r="G5" s="1199"/>
      <c r="H5" s="1199"/>
      <c r="I5" s="1200"/>
      <c r="J5" s="1198" t="s">
        <v>117</v>
      </c>
      <c r="K5" s="1199"/>
      <c r="L5" s="1199"/>
      <c r="M5" s="1200"/>
      <c r="N5" s="1198" t="s">
        <v>118</v>
      </c>
      <c r="O5" s="1199"/>
      <c r="P5" s="1199"/>
      <c r="Q5" s="1200"/>
      <c r="R5" s="87"/>
      <c r="S5" s="87"/>
      <c r="T5" s="87"/>
      <c r="U5" s="87"/>
      <c r="V5" s="87" t="s">
        <v>119</v>
      </c>
      <c r="W5" s="87"/>
      <c r="X5" s="87"/>
    </row>
    <row r="6" spans="1:30" ht="15.95" customHeight="1" thickBot="1" x14ac:dyDescent="0.3">
      <c r="B6" s="107"/>
      <c r="C6" s="144"/>
      <c r="D6" s="144"/>
      <c r="E6" s="488"/>
      <c r="F6" s="1215" t="s">
        <v>120</v>
      </c>
      <c r="G6" s="1216"/>
      <c r="H6" s="1217"/>
      <c r="I6" s="1218"/>
      <c r="J6" s="1213" t="s">
        <v>120</v>
      </c>
      <c r="K6" s="1214"/>
      <c r="L6" s="1217"/>
      <c r="M6" s="1218"/>
      <c r="N6" s="1213" t="s">
        <v>120</v>
      </c>
      <c r="O6" s="1214"/>
      <c r="P6" s="1217"/>
      <c r="Q6" s="1218"/>
      <c r="R6" s="87"/>
      <c r="S6" s="87"/>
      <c r="T6" s="87"/>
      <c r="U6" s="87"/>
      <c r="V6" s="87"/>
      <c r="W6" s="87"/>
      <c r="X6" s="87"/>
    </row>
    <row r="7" spans="1:30" ht="15.95" customHeight="1" thickBot="1" x14ac:dyDescent="0.3">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30" ht="15" customHeight="1" thickBot="1" x14ac:dyDescent="0.3">
      <c r="B8" s="1232" t="s">
        <v>366</v>
      </c>
      <c r="C8" s="1233"/>
      <c r="D8" s="1233"/>
      <c r="E8" s="1234"/>
      <c r="F8" s="1235">
        <f>H8*Überblick!G98+H8</f>
        <v>0</v>
      </c>
      <c r="G8" s="1236"/>
      <c r="H8" s="1219"/>
      <c r="I8" s="1220"/>
      <c r="J8" s="1201">
        <f>L8*1.19</f>
        <v>0</v>
      </c>
      <c r="K8" s="1202"/>
      <c r="L8" s="1203"/>
      <c r="M8" s="1204"/>
      <c r="N8" s="1201">
        <f>P8*1.19</f>
        <v>0</v>
      </c>
      <c r="O8" s="1202"/>
      <c r="P8" s="1203"/>
      <c r="Q8" s="1204"/>
      <c r="R8" s="96">
        <f>SUM(H8,L8,P8)</f>
        <v>0</v>
      </c>
      <c r="S8" s="72">
        <f>IF((R8+AB215)&gt;0,1,0)</f>
        <v>0</v>
      </c>
      <c r="T8" s="96"/>
      <c r="U8" s="96"/>
      <c r="V8" s="96"/>
      <c r="W8" s="96"/>
      <c r="X8" s="96"/>
    </row>
    <row r="9" spans="1:30" ht="15.95" customHeight="1" x14ac:dyDescent="0.25">
      <c r="B9" s="49"/>
      <c r="C9" s="49"/>
      <c r="D9" s="49"/>
      <c r="E9" s="49"/>
      <c r="F9" s="294"/>
      <c r="G9" s="294"/>
      <c r="H9" s="294"/>
      <c r="I9" s="294"/>
      <c r="J9" s="294"/>
      <c r="K9" s="294"/>
      <c r="L9" s="294"/>
      <c r="M9" s="294"/>
      <c r="N9" s="294"/>
      <c r="O9" s="294"/>
      <c r="P9" s="294"/>
      <c r="Q9" s="294"/>
      <c r="R9" s="96"/>
      <c r="S9" s="96"/>
      <c r="T9" s="96"/>
      <c r="U9" s="96"/>
      <c r="V9" s="96"/>
      <c r="W9" s="96"/>
      <c r="X9" s="96"/>
    </row>
    <row r="10" spans="1:30" x14ac:dyDescent="0.25">
      <c r="B10" s="39" t="s">
        <v>130</v>
      </c>
      <c r="R10" s="72"/>
      <c r="S10" s="72"/>
      <c r="T10" s="72"/>
      <c r="U10" s="72"/>
    </row>
    <row r="11" spans="1:30" x14ac:dyDescent="0.25">
      <c r="B11" s="39" t="s">
        <v>131</v>
      </c>
      <c r="R11" s="72"/>
      <c r="S11" s="72"/>
      <c r="T11" s="72"/>
      <c r="U11" s="72"/>
    </row>
    <row r="12" spans="1:30" ht="14.55" thickBot="1" x14ac:dyDescent="0.3">
      <c r="B12" s="40"/>
      <c r="G12" s="54"/>
      <c r="H12" s="41"/>
      <c r="I12" s="57"/>
      <c r="J12" s="54"/>
      <c r="K12" s="54"/>
      <c r="L12" s="57"/>
      <c r="M12" s="58"/>
      <c r="N12" s="58"/>
      <c r="O12" s="59"/>
      <c r="R12" s="72"/>
      <c r="S12" s="351"/>
      <c r="T12" s="96"/>
      <c r="U12" s="72"/>
    </row>
    <row r="13" spans="1:30" ht="15" customHeight="1" x14ac:dyDescent="0.25">
      <c r="B13" s="1221" t="s">
        <v>132</v>
      </c>
      <c r="C13" s="1222"/>
      <c r="D13" s="1222"/>
      <c r="E13" s="1223"/>
      <c r="F13" s="1164">
        <v>1</v>
      </c>
      <c r="G13" s="1165"/>
      <c r="H13" s="1165"/>
      <c r="I13" s="1165"/>
      <c r="J13" s="1165"/>
      <c r="K13" s="1165"/>
      <c r="L13" s="1165"/>
      <c r="M13" s="1165"/>
      <c r="N13" s="1165"/>
      <c r="O13" s="1165"/>
      <c r="P13" s="1165"/>
      <c r="Q13" s="1166"/>
      <c r="R13" s="72"/>
      <c r="S13" s="351"/>
      <c r="T13" s="96"/>
      <c r="U13" s="72" t="s">
        <v>133</v>
      </c>
      <c r="V13" s="72">
        <v>1</v>
      </c>
    </row>
    <row r="14" spans="1:30" ht="15.95" customHeight="1" thickBot="1" x14ac:dyDescent="0.3">
      <c r="B14" s="1224" t="s">
        <v>134</v>
      </c>
      <c r="C14" s="1225"/>
      <c r="D14" s="1225"/>
      <c r="E14" s="1226"/>
      <c r="F14" s="1167" t="s">
        <v>135</v>
      </c>
      <c r="G14" s="1168"/>
      <c r="H14" s="1168"/>
      <c r="I14" s="1168"/>
      <c r="J14" s="1168"/>
      <c r="K14" s="1168"/>
      <c r="L14" s="1168"/>
      <c r="M14" s="1168"/>
      <c r="N14" s="1168"/>
      <c r="O14" s="1168"/>
      <c r="P14" s="1168"/>
      <c r="Q14" s="1169"/>
      <c r="R14" s="72"/>
      <c r="S14" s="351"/>
      <c r="T14" s="96"/>
      <c r="U14" s="72"/>
      <c r="V14" s="72">
        <v>2</v>
      </c>
    </row>
    <row r="15" spans="1:30" ht="15.95" customHeight="1" x14ac:dyDescent="0.25">
      <c r="B15" s="60"/>
      <c r="C15" s="60"/>
      <c r="D15" s="60"/>
      <c r="E15" s="60"/>
      <c r="F15" s="1241" t="s">
        <v>136</v>
      </c>
      <c r="G15" s="1241"/>
      <c r="H15" s="1241"/>
      <c r="I15" s="1241"/>
      <c r="J15" s="1241" t="s">
        <v>137</v>
      </c>
      <c r="K15" s="1241"/>
      <c r="L15" s="1241"/>
      <c r="M15" s="1241"/>
      <c r="N15" s="1241" t="s">
        <v>367</v>
      </c>
      <c r="O15" s="1241"/>
      <c r="P15" s="1241"/>
      <c r="Q15" s="1241"/>
      <c r="R15" s="72"/>
      <c r="S15" s="351"/>
      <c r="T15" s="96"/>
      <c r="U15" s="72"/>
      <c r="V15" s="72">
        <v>3</v>
      </c>
    </row>
    <row r="16" spans="1:30" ht="15.95" customHeight="1" thickBot="1" x14ac:dyDescent="0.3">
      <c r="B16" s="60"/>
      <c r="C16" s="60"/>
      <c r="D16" s="60"/>
      <c r="E16" s="60"/>
      <c r="F16" s="1242"/>
      <c r="G16" s="1242"/>
      <c r="H16" s="1242"/>
      <c r="I16" s="1242"/>
      <c r="J16" s="1242"/>
      <c r="K16" s="1242"/>
      <c r="L16" s="1242"/>
      <c r="M16" s="1242"/>
      <c r="N16" s="1242"/>
      <c r="O16" s="1242"/>
      <c r="P16" s="1242"/>
      <c r="Q16" s="1242"/>
      <c r="R16" s="72"/>
      <c r="S16" s="351"/>
      <c r="T16" s="96"/>
      <c r="U16" s="72"/>
      <c r="V16" s="72">
        <v>4</v>
      </c>
    </row>
    <row r="17" spans="1:32" ht="15.95" customHeight="1" thickBot="1" x14ac:dyDescent="0.3">
      <c r="B17" s="40"/>
      <c r="C17" s="40"/>
      <c r="D17" s="40"/>
      <c r="E17" s="69"/>
      <c r="F17" s="1721">
        <f>'Berechnung - Freianlagen'!H108</f>
        <v>0</v>
      </c>
      <c r="G17" s="1722"/>
      <c r="H17" s="1722"/>
      <c r="I17" s="1723"/>
      <c r="J17" s="1721" t="str">
        <f>IF('Berechnung - Freianlagen'!J108=0,"Kostenschätzung liegt noch nicht vor",'Berechnung - Freianlagen'!J108)</f>
        <v>Kostenschätzung liegt noch nicht vor</v>
      </c>
      <c r="K17" s="1722"/>
      <c r="L17" s="1722"/>
      <c r="M17" s="1723"/>
      <c r="N17" s="1721" t="str">
        <f>IF('Berechnung - Freianlagen'!L108=0,"Kostenberechnung liegt noch nicht vor",'Berechnung - Freianlagen'!L108)</f>
        <v>Kostenberechnung liegt noch nicht vor</v>
      </c>
      <c r="O17" s="1722"/>
      <c r="P17" s="1722"/>
      <c r="Q17" s="1723"/>
      <c r="R17" s="96">
        <f>SUM(F17:Q17)</f>
        <v>0</v>
      </c>
      <c r="S17" s="351"/>
      <c r="T17" s="96"/>
      <c r="U17" s="72"/>
      <c r="V17" s="72">
        <v>5</v>
      </c>
    </row>
    <row r="18" spans="1:32" x14ac:dyDescent="0.25">
      <c r="B18" s="40"/>
      <c r="G18" s="54"/>
      <c r="H18" s="41"/>
      <c r="I18" s="57"/>
      <c r="J18" s="54"/>
      <c r="K18" s="54"/>
      <c r="L18" s="57"/>
      <c r="M18" s="58"/>
      <c r="N18" s="58"/>
      <c r="O18" s="59"/>
      <c r="R18" s="72"/>
      <c r="S18" s="351"/>
      <c r="T18" s="96"/>
      <c r="U18" s="72"/>
    </row>
    <row r="19" spans="1:32" x14ac:dyDescent="0.25">
      <c r="A19" s="492" t="s">
        <v>139</v>
      </c>
      <c r="B19" s="42" t="s">
        <v>140</v>
      </c>
      <c r="C19" s="43"/>
      <c r="D19" s="43"/>
      <c r="E19" s="61"/>
      <c r="F19" s="43"/>
      <c r="G19" s="43"/>
      <c r="H19" s="44"/>
      <c r="I19" s="44"/>
      <c r="R19" s="72"/>
      <c r="S19" s="72"/>
      <c r="T19" s="72"/>
      <c r="U19" s="72"/>
    </row>
    <row r="20" spans="1:32" ht="14.55" thickBot="1" x14ac:dyDescent="0.3">
      <c r="A20" s="492"/>
      <c r="B20" s="43"/>
      <c r="C20" s="43"/>
      <c r="D20" s="43"/>
      <c r="E20" s="61"/>
      <c r="F20" s="43"/>
      <c r="G20" s="43"/>
      <c r="H20" s="62"/>
      <c r="I20" s="62"/>
      <c r="R20" s="72"/>
      <c r="S20" s="178"/>
      <c r="T20" s="178"/>
      <c r="U20" s="178"/>
    </row>
    <row r="21" spans="1:32" ht="52.1" customHeight="1" thickBot="1" x14ac:dyDescent="0.3">
      <c r="A21" s="492"/>
      <c r="B21" s="1586" t="s">
        <v>142</v>
      </c>
      <c r="C21" s="1587"/>
      <c r="D21" s="1587"/>
      <c r="E21" s="1588"/>
      <c r="F21" s="1589"/>
      <c r="G21" s="1590"/>
      <c r="H21" s="1590"/>
      <c r="I21" s="1590"/>
      <c r="J21" s="1590"/>
      <c r="K21" s="1590"/>
      <c r="L21" s="1590"/>
      <c r="M21" s="1590"/>
      <c r="N21" s="1590"/>
      <c r="O21" s="1590"/>
      <c r="P21" s="1590"/>
      <c r="Q21" s="1591"/>
      <c r="R21" s="183">
        <f>IF(AND(R8&gt;0,F21=""),1,0)</f>
        <v>0</v>
      </c>
      <c r="S21" s="352"/>
      <c r="T21" s="352"/>
      <c r="U21" s="352"/>
      <c r="V21" s="352"/>
      <c r="W21" s="352"/>
      <c r="X21" s="352"/>
    </row>
    <row r="22" spans="1:32" x14ac:dyDescent="0.25">
      <c r="B22" s="40"/>
      <c r="G22" s="54"/>
      <c r="H22" s="41"/>
      <c r="I22" s="57"/>
      <c r="J22" s="54"/>
      <c r="K22" s="54"/>
      <c r="L22" s="57"/>
      <c r="M22" s="58"/>
      <c r="N22" s="58"/>
      <c r="O22" s="59"/>
      <c r="R22" s="72"/>
      <c r="S22" s="351"/>
      <c r="T22" s="96"/>
      <c r="U22" s="72"/>
    </row>
    <row r="23" spans="1:32" x14ac:dyDescent="0.25">
      <c r="B23" s="39" t="s">
        <v>506</v>
      </c>
      <c r="G23" s="54"/>
      <c r="H23" s="41"/>
      <c r="I23" s="57"/>
      <c r="J23" s="54"/>
      <c r="K23" s="54"/>
      <c r="L23" s="57"/>
      <c r="M23" s="58"/>
      <c r="N23" s="58"/>
      <c r="O23" s="59"/>
      <c r="R23" s="72"/>
      <c r="S23" s="351"/>
      <c r="T23" s="96"/>
      <c r="U23" s="72"/>
    </row>
    <row r="24" spans="1:32" x14ac:dyDescent="0.25">
      <c r="B24" s="40"/>
      <c r="G24" s="54"/>
      <c r="H24" s="41"/>
      <c r="I24" s="57"/>
      <c r="J24" s="54"/>
      <c r="K24" s="54"/>
      <c r="L24" s="57"/>
      <c r="M24" s="58"/>
      <c r="N24" s="58"/>
      <c r="O24" s="59"/>
      <c r="R24" s="72"/>
      <c r="S24" s="351"/>
      <c r="T24" s="96"/>
      <c r="U24" s="72"/>
    </row>
    <row r="25" spans="1:32" x14ac:dyDescent="0.25">
      <c r="A25" s="491" t="s">
        <v>144</v>
      </c>
      <c r="B25" s="40" t="s">
        <v>145</v>
      </c>
      <c r="G25" s="48"/>
      <c r="I25" s="48"/>
      <c r="R25" s="72"/>
      <c r="S25" s="72"/>
      <c r="T25" s="72"/>
      <c r="U25" s="72"/>
    </row>
    <row r="26" spans="1:32" x14ac:dyDescent="0.25">
      <c r="B26" s="40"/>
      <c r="R26" s="72"/>
      <c r="S26" s="72"/>
      <c r="T26" s="72"/>
      <c r="U26" s="72"/>
    </row>
    <row r="27" spans="1:32" ht="15.95" customHeight="1" x14ac:dyDescent="0.25">
      <c r="B27" s="39" t="s">
        <v>369</v>
      </c>
      <c r="R27" s="72"/>
      <c r="S27" s="72"/>
      <c r="T27" s="72"/>
      <c r="U27" s="72" t="s">
        <v>115</v>
      </c>
      <c r="V27" s="72" t="s">
        <v>100</v>
      </c>
    </row>
    <row r="28" spans="1:32" ht="15.95" customHeight="1" x14ac:dyDescent="0.25">
      <c r="B28" s="39" t="s">
        <v>147</v>
      </c>
      <c r="R28" s="72"/>
      <c r="S28" s="72"/>
      <c r="T28" s="72"/>
      <c r="U28" s="72"/>
      <c r="V28" s="72" t="s">
        <v>99</v>
      </c>
      <c r="AA28" s="72" t="s">
        <v>148</v>
      </c>
    </row>
    <row r="29" spans="1:32" ht="15.95" customHeight="1" thickBot="1" x14ac:dyDescent="0.3">
      <c r="S29" s="72"/>
      <c r="T29" s="72"/>
      <c r="U29" s="72"/>
    </row>
    <row r="30" spans="1:32" ht="15.95" customHeight="1" x14ac:dyDescent="0.25">
      <c r="A30" s="1864" t="s">
        <v>590</v>
      </c>
      <c r="B30" s="1125" t="s">
        <v>150</v>
      </c>
      <c r="C30" s="1126"/>
      <c r="D30" s="1126"/>
      <c r="E30" s="1126"/>
      <c r="F30" s="1126"/>
      <c r="G30" s="1126"/>
      <c r="H30" s="1731" t="s">
        <v>151</v>
      </c>
      <c r="I30" s="1134" t="s">
        <v>152</v>
      </c>
      <c r="J30" s="995" t="s">
        <v>153</v>
      </c>
      <c r="K30" s="996"/>
      <c r="L30" s="142"/>
      <c r="M30" s="114"/>
      <c r="N30" s="114"/>
      <c r="O30" s="114"/>
      <c r="P30" s="70"/>
      <c r="Q30" s="70"/>
      <c r="R30" s="70"/>
      <c r="S30" s="73"/>
      <c r="T30" s="117"/>
      <c r="U30" s="117"/>
      <c r="AD30" s="68"/>
    </row>
    <row r="31" spans="1:32" ht="15.95" customHeight="1" x14ac:dyDescent="0.25">
      <c r="A31" s="1864"/>
      <c r="B31" s="1127"/>
      <c r="C31" s="1128"/>
      <c r="D31" s="1128"/>
      <c r="E31" s="1128"/>
      <c r="F31" s="1128"/>
      <c r="G31" s="1128"/>
      <c r="H31" s="1732"/>
      <c r="I31" s="1135"/>
      <c r="J31" s="997"/>
      <c r="K31" s="998"/>
      <c r="L31" s="142"/>
      <c r="M31" s="114"/>
      <c r="N31" s="114"/>
      <c r="O31" s="114"/>
      <c r="P31" s="70"/>
      <c r="Q31" s="70"/>
      <c r="R31" s="70"/>
      <c r="S31" s="73"/>
      <c r="T31" s="73"/>
      <c r="U31" s="81" t="s">
        <v>372</v>
      </c>
      <c r="AD31" s="68"/>
    </row>
    <row r="32" spans="1:32" ht="15" customHeight="1" thickBot="1" x14ac:dyDescent="0.3">
      <c r="A32" s="1864"/>
      <c r="B32" s="1129"/>
      <c r="C32" s="1130"/>
      <c r="D32" s="1130"/>
      <c r="E32" s="1130"/>
      <c r="F32" s="1130"/>
      <c r="G32" s="1130"/>
      <c r="H32" s="1733"/>
      <c r="I32" s="1136"/>
      <c r="J32" s="999"/>
      <c r="K32" s="1000"/>
      <c r="L32" s="143"/>
      <c r="M32" s="115"/>
      <c r="N32" s="115"/>
      <c r="O32" s="115"/>
      <c r="P32" s="116"/>
      <c r="Q32" s="116"/>
      <c r="R32" s="116"/>
      <c r="S32" s="73"/>
      <c r="T32" s="73"/>
      <c r="U32" s="81"/>
      <c r="AD32" s="68"/>
      <c r="AE32" s="68"/>
      <c r="AF32" s="68"/>
    </row>
    <row r="33" spans="1:32" ht="15" customHeight="1" thickBot="1" x14ac:dyDescent="0.3">
      <c r="A33" s="1864"/>
      <c r="B33" s="1035" t="s">
        <v>154</v>
      </c>
      <c r="C33" s="1036"/>
      <c r="D33" s="1036"/>
      <c r="E33" s="1036"/>
      <c r="F33" s="1036"/>
      <c r="G33" s="1036"/>
      <c r="H33" s="1161"/>
      <c r="I33" s="1344">
        <f>F17</f>
        <v>0</v>
      </c>
      <c r="J33" s="1345"/>
      <c r="K33" s="1346"/>
      <c r="L33" s="1019" t="s">
        <v>155</v>
      </c>
      <c r="M33" s="1020"/>
      <c r="N33" s="1020"/>
      <c r="O33" s="1020"/>
      <c r="P33" s="1629"/>
      <c r="Q33" s="905" t="s">
        <v>151</v>
      </c>
      <c r="R33" s="1263" t="str">
        <f>IF(B1=V2,"Honorar für die Besonderen Leistungen","Honorarangebot für die Besonderen Leistungen")</f>
        <v>Honorarangebot für die Besonderen Leistungen</v>
      </c>
      <c r="S33" s="1264"/>
      <c r="T33" s="1254" t="s">
        <v>156</v>
      </c>
      <c r="U33" s="1336" t="s">
        <v>157</v>
      </c>
      <c r="V33" s="184"/>
      <c r="AD33" s="68"/>
      <c r="AE33" s="68"/>
      <c r="AF33" s="68"/>
    </row>
    <row r="34" spans="1:32" ht="15" customHeight="1" thickBot="1" x14ac:dyDescent="0.3">
      <c r="A34" s="1864"/>
      <c r="B34" s="1038"/>
      <c r="C34" s="1039"/>
      <c r="D34" s="1039"/>
      <c r="E34" s="1039"/>
      <c r="F34" s="1039"/>
      <c r="G34" s="1039"/>
      <c r="H34" s="1162"/>
      <c r="I34" s="1347"/>
      <c r="J34" s="1348"/>
      <c r="K34" s="1349"/>
      <c r="L34" s="1021"/>
      <c r="M34" s="1022"/>
      <c r="N34" s="1022"/>
      <c r="O34" s="1022"/>
      <c r="P34" s="1630"/>
      <c r="Q34" s="1857"/>
      <c r="R34" s="1265"/>
      <c r="S34" s="1266"/>
      <c r="T34" s="1255"/>
      <c r="U34" s="1336"/>
      <c r="V34" s="184"/>
      <c r="AD34" s="68"/>
      <c r="AE34" s="68"/>
      <c r="AF34" s="68"/>
    </row>
    <row r="35" spans="1:32" ht="15.95" customHeight="1" thickBot="1" x14ac:dyDescent="0.3">
      <c r="A35" s="1864"/>
      <c r="B35" s="1041"/>
      <c r="C35" s="1042"/>
      <c r="D35" s="1042"/>
      <c r="E35" s="1042"/>
      <c r="F35" s="1042"/>
      <c r="G35" s="1042"/>
      <c r="H35" s="1163"/>
      <c r="I35" s="1350"/>
      <c r="J35" s="1351"/>
      <c r="K35" s="1352"/>
      <c r="L35" s="1023"/>
      <c r="M35" s="1024"/>
      <c r="N35" s="1024"/>
      <c r="O35" s="1024"/>
      <c r="P35" s="1631"/>
      <c r="Q35" s="907"/>
      <c r="R35" s="1267"/>
      <c r="S35" s="1268"/>
      <c r="T35" s="1256"/>
      <c r="U35" s="1336"/>
      <c r="V35" s="184"/>
      <c r="AD35" s="68"/>
      <c r="AE35" s="68"/>
      <c r="AF35" s="68"/>
    </row>
    <row r="36" spans="1:32" ht="15.95" customHeight="1" thickBot="1" x14ac:dyDescent="0.3">
      <c r="A36" s="1864"/>
      <c r="B36" s="1082" t="s">
        <v>159</v>
      </c>
      <c r="C36" s="1083"/>
      <c r="D36" s="1083"/>
      <c r="E36" s="1083"/>
      <c r="F36" s="1083"/>
      <c r="G36" s="1084"/>
      <c r="H36" s="246"/>
      <c r="I36" s="1378"/>
      <c r="J36" s="1379"/>
      <c r="K36" s="1379"/>
      <c r="L36" s="196"/>
      <c r="M36" s="197"/>
      <c r="N36" s="197"/>
      <c r="O36" s="197"/>
      <c r="P36" s="197"/>
      <c r="R36" s="196"/>
      <c r="S36" s="200"/>
      <c r="T36" s="71"/>
      <c r="U36" s="154"/>
      <c r="V36" s="149" t="s">
        <v>158</v>
      </c>
      <c r="AD36" s="68"/>
      <c r="AE36" s="68"/>
      <c r="AF36" s="68"/>
    </row>
    <row r="37" spans="1:32" ht="14.25" customHeight="1" thickBot="1" x14ac:dyDescent="0.3">
      <c r="A37" s="1864"/>
      <c r="B37" s="1383" t="s">
        <v>591</v>
      </c>
      <c r="C37" s="1384"/>
      <c r="D37" s="1384"/>
      <c r="E37" s="1384"/>
      <c r="F37" s="1384"/>
      <c r="G37" s="1384"/>
      <c r="H37" s="1137" t="s">
        <v>100</v>
      </c>
      <c r="I37" s="1016">
        <f>W47</f>
        <v>0</v>
      </c>
      <c r="J37" s="1027">
        <f>$I$33*I37</f>
        <v>0</v>
      </c>
      <c r="K37" s="1028"/>
      <c r="L37" s="1905" t="s">
        <v>592</v>
      </c>
      <c r="M37" s="1906"/>
      <c r="N37" s="1906"/>
      <c r="O37" s="1906"/>
      <c r="P37" s="1907"/>
      <c r="Q37" s="1088" t="s">
        <v>100</v>
      </c>
      <c r="R37" s="1808"/>
      <c r="S37" s="1729"/>
      <c r="T37" s="1341" t="str">
        <f>IFERROR(IF((VLOOKUP(U37,Überblick!$M$125:$N$133,2))="ja","ja","nein"),"")</f>
        <v/>
      </c>
      <c r="U37" s="1337"/>
      <c r="V37" s="72">
        <f>IF(AND(Q37="ja",R37=""),1,0)</f>
        <v>0</v>
      </c>
      <c r="W37" s="74">
        <f>IF(H37="ja",X37,0)</f>
        <v>0</v>
      </c>
      <c r="X37" s="74">
        <v>1.4999999999999999E-2</v>
      </c>
      <c r="Z37" s="77"/>
      <c r="AA37" s="77"/>
      <c r="AB37" s="72">
        <f>IF(Q37="ja",1,0)</f>
        <v>0</v>
      </c>
      <c r="AD37" s="68"/>
      <c r="AE37" s="68"/>
      <c r="AF37" s="68"/>
    </row>
    <row r="38" spans="1:32" ht="15" customHeight="1" thickBot="1" x14ac:dyDescent="0.3">
      <c r="A38" s="1864"/>
      <c r="B38" s="1098"/>
      <c r="C38" s="1099"/>
      <c r="D38" s="1099"/>
      <c r="E38" s="1099"/>
      <c r="F38" s="1099"/>
      <c r="G38" s="1099"/>
      <c r="H38" s="1013"/>
      <c r="I38" s="1017"/>
      <c r="J38" s="1029"/>
      <c r="K38" s="1030"/>
      <c r="L38" s="1741"/>
      <c r="M38" s="1742"/>
      <c r="N38" s="1742"/>
      <c r="O38" s="1742"/>
      <c r="P38" s="1839"/>
      <c r="Q38" s="986"/>
      <c r="R38" s="1821"/>
      <c r="S38" s="1725"/>
      <c r="T38" s="1342"/>
      <c r="U38" s="1337"/>
      <c r="V38" s="72">
        <f t="shared" ref="V38:V101" si="0">IF(AND(Q38="ja",R38=""),1,0)</f>
        <v>0</v>
      </c>
      <c r="W38" s="74"/>
      <c r="X38" s="74"/>
      <c r="AB38" s="72">
        <f t="shared" ref="AB38:AB101" si="1">IF(Q38="ja",1,0)</f>
        <v>0</v>
      </c>
      <c r="AD38" s="68"/>
      <c r="AE38" s="68"/>
      <c r="AF38" s="68"/>
    </row>
    <row r="39" spans="1:32" ht="14.25" customHeight="1" thickBot="1" x14ac:dyDescent="0.3">
      <c r="A39" s="1864"/>
      <c r="B39" s="1098"/>
      <c r="C39" s="1099"/>
      <c r="D39" s="1099"/>
      <c r="E39" s="1099"/>
      <c r="F39" s="1099"/>
      <c r="G39" s="1099"/>
      <c r="H39" s="1013"/>
      <c r="I39" s="1017"/>
      <c r="J39" s="1029"/>
      <c r="K39" s="1030"/>
      <c r="L39" s="1170" t="s">
        <v>593</v>
      </c>
      <c r="M39" s="1171"/>
      <c r="N39" s="1171"/>
      <c r="O39" s="1171"/>
      <c r="P39" s="1171"/>
      <c r="Q39" s="986" t="s">
        <v>100</v>
      </c>
      <c r="R39" s="1821"/>
      <c r="S39" s="1725"/>
      <c r="T39" s="1342"/>
      <c r="U39" s="1337"/>
      <c r="V39" s="72">
        <f t="shared" si="0"/>
        <v>0</v>
      </c>
      <c r="W39" s="74"/>
      <c r="X39" s="74"/>
      <c r="Z39" s="77"/>
      <c r="AA39" s="77"/>
      <c r="AB39" s="72">
        <f t="shared" si="1"/>
        <v>0</v>
      </c>
      <c r="AD39" s="68"/>
      <c r="AE39" s="68"/>
      <c r="AF39" s="68"/>
    </row>
    <row r="40" spans="1:32" ht="13.6" customHeight="1" thickBot="1" x14ac:dyDescent="0.3">
      <c r="A40" s="1864"/>
      <c r="B40" s="1098" t="s">
        <v>164</v>
      </c>
      <c r="C40" s="1099"/>
      <c r="D40" s="1099"/>
      <c r="E40" s="1099"/>
      <c r="F40" s="1099"/>
      <c r="G40" s="1099"/>
      <c r="H40" s="314" t="s">
        <v>100</v>
      </c>
      <c r="I40" s="1017"/>
      <c r="J40" s="1029"/>
      <c r="K40" s="1030"/>
      <c r="L40" s="1170"/>
      <c r="M40" s="1171"/>
      <c r="N40" s="1171"/>
      <c r="O40" s="1171"/>
      <c r="P40" s="1171"/>
      <c r="Q40" s="986"/>
      <c r="R40" s="1821"/>
      <c r="S40" s="1725"/>
      <c r="T40" s="1342"/>
      <c r="U40" s="1337"/>
      <c r="V40" s="72">
        <f t="shared" si="0"/>
        <v>0</v>
      </c>
      <c r="W40" s="74">
        <f>IF(H40="ja",X40,0)</f>
        <v>0</v>
      </c>
      <c r="X40" s="74">
        <v>2E-3</v>
      </c>
      <c r="Z40" s="77"/>
      <c r="AA40" s="77"/>
      <c r="AB40" s="72">
        <f t="shared" si="1"/>
        <v>0</v>
      </c>
      <c r="AD40" s="68"/>
      <c r="AE40" s="68"/>
      <c r="AF40" s="68"/>
    </row>
    <row r="41" spans="1:32" ht="13.6" customHeight="1" thickBot="1" x14ac:dyDescent="0.3">
      <c r="A41" s="1864"/>
      <c r="B41" s="1098" t="s">
        <v>166</v>
      </c>
      <c r="C41" s="1099"/>
      <c r="D41" s="1099"/>
      <c r="E41" s="1099"/>
      <c r="F41" s="1099"/>
      <c r="G41" s="1099"/>
      <c r="H41" s="1013" t="s">
        <v>100</v>
      </c>
      <c r="I41" s="1017"/>
      <c r="J41" s="1029"/>
      <c r="K41" s="1030"/>
      <c r="L41" s="984"/>
      <c r="M41" s="985"/>
      <c r="N41" s="985"/>
      <c r="O41" s="985"/>
      <c r="P41" s="985"/>
      <c r="Q41" s="986" t="s">
        <v>100</v>
      </c>
      <c r="R41" s="1843"/>
      <c r="S41" s="973"/>
      <c r="T41" s="1342"/>
      <c r="U41" s="1337"/>
      <c r="V41" s="72">
        <f t="shared" si="0"/>
        <v>0</v>
      </c>
      <c r="W41" s="74">
        <f>IF(H41="ja",X41,0)</f>
        <v>0</v>
      </c>
      <c r="X41" s="74">
        <v>5.0000000000000001E-3</v>
      </c>
      <c r="Z41" s="77"/>
      <c r="AA41" s="77"/>
      <c r="AB41" s="72">
        <f t="shared" si="1"/>
        <v>0</v>
      </c>
      <c r="AD41" s="68"/>
      <c r="AE41" s="68"/>
      <c r="AF41" s="68"/>
    </row>
    <row r="42" spans="1:32" ht="15" customHeight="1" thickBot="1" x14ac:dyDescent="0.3">
      <c r="A42" s="1864"/>
      <c r="B42" s="1098"/>
      <c r="C42" s="1099"/>
      <c r="D42" s="1099"/>
      <c r="E42" s="1099"/>
      <c r="F42" s="1099"/>
      <c r="G42" s="1099"/>
      <c r="H42" s="1013"/>
      <c r="I42" s="1017"/>
      <c r="J42" s="1029"/>
      <c r="K42" s="1030"/>
      <c r="L42" s="984"/>
      <c r="M42" s="985"/>
      <c r="N42" s="985"/>
      <c r="O42" s="985"/>
      <c r="P42" s="985"/>
      <c r="Q42" s="986"/>
      <c r="R42" s="1843"/>
      <c r="S42" s="973"/>
      <c r="T42" s="1342"/>
      <c r="U42" s="1337"/>
      <c r="V42" s="72">
        <f t="shared" si="0"/>
        <v>0</v>
      </c>
      <c r="W42" s="74"/>
      <c r="X42" s="74"/>
      <c r="AB42" s="72">
        <f t="shared" si="1"/>
        <v>0</v>
      </c>
      <c r="AD42" s="68"/>
      <c r="AE42" s="68"/>
      <c r="AF42" s="68"/>
    </row>
    <row r="43" spans="1:32" ht="15.95" customHeight="1" thickBot="1" x14ac:dyDescent="0.3">
      <c r="A43" s="1864"/>
      <c r="B43" s="1098" t="s">
        <v>169</v>
      </c>
      <c r="C43" s="1099"/>
      <c r="D43" s="1099"/>
      <c r="E43" s="1099"/>
      <c r="F43" s="1099"/>
      <c r="G43" s="1099"/>
      <c r="H43" s="1013" t="s">
        <v>100</v>
      </c>
      <c r="I43" s="1017"/>
      <c r="J43" s="1029"/>
      <c r="K43" s="1030"/>
      <c r="L43" s="984"/>
      <c r="M43" s="985"/>
      <c r="N43" s="985"/>
      <c r="O43" s="985"/>
      <c r="P43" s="985"/>
      <c r="Q43" s="986"/>
      <c r="R43" s="1843"/>
      <c r="S43" s="973"/>
      <c r="T43" s="1342"/>
      <c r="U43" s="1337"/>
      <c r="V43" s="72">
        <f t="shared" si="0"/>
        <v>0</v>
      </c>
      <c r="W43" s="74">
        <f>IF(H43="ja",X43,0)</f>
        <v>0</v>
      </c>
      <c r="X43" s="74">
        <v>5.0000000000000001E-3</v>
      </c>
      <c r="AB43" s="72">
        <f t="shared" si="1"/>
        <v>0</v>
      </c>
      <c r="AD43" s="68"/>
      <c r="AE43" s="68"/>
      <c r="AF43" s="68"/>
    </row>
    <row r="44" spans="1:32" ht="15.95" customHeight="1" thickBot="1" x14ac:dyDescent="0.3">
      <c r="A44" s="1864"/>
      <c r="B44" s="1098"/>
      <c r="C44" s="1099"/>
      <c r="D44" s="1099"/>
      <c r="E44" s="1099"/>
      <c r="F44" s="1099"/>
      <c r="G44" s="1099"/>
      <c r="H44" s="1013"/>
      <c r="I44" s="1017"/>
      <c r="J44" s="1029"/>
      <c r="K44" s="1030"/>
      <c r="L44" s="984"/>
      <c r="M44" s="985"/>
      <c r="N44" s="985"/>
      <c r="O44" s="985"/>
      <c r="P44" s="985"/>
      <c r="Q44" s="986" t="s">
        <v>100</v>
      </c>
      <c r="R44" s="1843"/>
      <c r="S44" s="973"/>
      <c r="T44" s="1342"/>
      <c r="U44" s="1337"/>
      <c r="V44" s="72">
        <f t="shared" si="0"/>
        <v>0</v>
      </c>
      <c r="W44" s="74"/>
      <c r="X44" s="74"/>
      <c r="AB44" s="72">
        <f t="shared" si="1"/>
        <v>0</v>
      </c>
      <c r="AD44" s="68"/>
      <c r="AE44" s="68"/>
      <c r="AF44" s="68"/>
    </row>
    <row r="45" spans="1:32" ht="15.95" customHeight="1" thickBot="1" x14ac:dyDescent="0.3">
      <c r="A45" s="1864"/>
      <c r="B45" s="1098" t="s">
        <v>171</v>
      </c>
      <c r="C45" s="1099"/>
      <c r="D45" s="1099"/>
      <c r="E45" s="1099"/>
      <c r="F45" s="1099"/>
      <c r="G45" s="1099"/>
      <c r="H45" s="1013" t="s">
        <v>100</v>
      </c>
      <c r="I45" s="1017"/>
      <c r="J45" s="1029"/>
      <c r="K45" s="1030"/>
      <c r="L45" s="984"/>
      <c r="M45" s="985"/>
      <c r="N45" s="985"/>
      <c r="O45" s="985"/>
      <c r="P45" s="985"/>
      <c r="Q45" s="986"/>
      <c r="R45" s="1843"/>
      <c r="S45" s="973"/>
      <c r="T45" s="1342"/>
      <c r="U45" s="1337"/>
      <c r="V45" s="72">
        <f t="shared" si="0"/>
        <v>0</v>
      </c>
      <c r="W45" s="74">
        <f>IF(H45="ja",X45,0)</f>
        <v>0</v>
      </c>
      <c r="X45" s="74">
        <v>3.0000000000000001E-3</v>
      </c>
      <c r="AB45" s="72">
        <f t="shared" si="1"/>
        <v>0</v>
      </c>
      <c r="AD45" s="68"/>
      <c r="AE45" s="68"/>
      <c r="AF45" s="68"/>
    </row>
    <row r="46" spans="1:32" ht="15.95" customHeight="1" thickBot="1" x14ac:dyDescent="0.3">
      <c r="A46" s="1864"/>
      <c r="B46" s="1098"/>
      <c r="C46" s="1099"/>
      <c r="D46" s="1099"/>
      <c r="E46" s="1099"/>
      <c r="F46" s="1099"/>
      <c r="G46" s="1099"/>
      <c r="H46" s="1013"/>
      <c r="I46" s="1018"/>
      <c r="J46" s="1031"/>
      <c r="K46" s="1032"/>
      <c r="L46" s="1182"/>
      <c r="M46" s="1183"/>
      <c r="N46" s="1183"/>
      <c r="O46" s="1183"/>
      <c r="P46" s="1183"/>
      <c r="Q46" s="1015"/>
      <c r="R46" s="1844"/>
      <c r="S46" s="977"/>
      <c r="T46" s="1342"/>
      <c r="U46" s="1337"/>
      <c r="V46" s="72">
        <f t="shared" si="0"/>
        <v>0</v>
      </c>
      <c r="W46" s="74"/>
      <c r="X46" s="74"/>
      <c r="AB46" s="72">
        <f t="shared" si="1"/>
        <v>0</v>
      </c>
      <c r="AD46" s="68"/>
      <c r="AE46" s="68"/>
      <c r="AF46" s="68"/>
    </row>
    <row r="47" spans="1:32" ht="14.25" customHeight="1" thickBot="1" x14ac:dyDescent="0.3">
      <c r="A47" s="1864"/>
      <c r="B47" s="1082" t="s">
        <v>172</v>
      </c>
      <c r="C47" s="1083"/>
      <c r="D47" s="1083"/>
      <c r="E47" s="1083"/>
      <c r="F47" s="1083"/>
      <c r="G47" s="1084"/>
      <c r="H47" s="145"/>
      <c r="I47" s="1744"/>
      <c r="J47" s="1745"/>
      <c r="K47" s="1746"/>
      <c r="L47" s="1180">
        <f>SUM(R37:S46)</f>
        <v>0</v>
      </c>
      <c r="M47" s="1181"/>
      <c r="N47" s="1181"/>
      <c r="O47" s="1181"/>
      <c r="P47" s="1181"/>
      <c r="Q47" s="1181"/>
      <c r="R47" s="1181"/>
      <c r="S47" s="1272"/>
      <c r="T47" s="334"/>
      <c r="U47" s="335" t="s">
        <v>157</v>
      </c>
      <c r="V47" s="72">
        <f t="shared" si="0"/>
        <v>0</v>
      </c>
      <c r="W47" s="74">
        <f>SUM(W37:W46)</f>
        <v>0</v>
      </c>
      <c r="X47" s="75"/>
      <c r="Y47" s="75"/>
      <c r="Z47" s="75"/>
      <c r="AA47" s="75"/>
      <c r="AB47" s="72">
        <f t="shared" si="1"/>
        <v>0</v>
      </c>
      <c r="AD47" s="68"/>
      <c r="AE47" s="68"/>
      <c r="AF47" s="68"/>
    </row>
    <row r="48" spans="1:32" ht="14.25" customHeight="1" x14ac:dyDescent="0.25">
      <c r="A48" s="1864"/>
      <c r="B48" s="1394" t="s">
        <v>174</v>
      </c>
      <c r="C48" s="1395"/>
      <c r="D48" s="1395"/>
      <c r="E48" s="1395"/>
      <c r="F48" s="1395"/>
      <c r="G48" s="1396"/>
      <c r="H48" s="1033" t="s">
        <v>100</v>
      </c>
      <c r="I48" s="1016">
        <f>W72</f>
        <v>0</v>
      </c>
      <c r="J48" s="1044">
        <f>I33*I48</f>
        <v>0</v>
      </c>
      <c r="K48" s="1045"/>
      <c r="L48" s="987" t="s">
        <v>594</v>
      </c>
      <c r="M48" s="988"/>
      <c r="N48" s="988"/>
      <c r="O48" s="988"/>
      <c r="P48" s="988"/>
      <c r="Q48" s="313" t="s">
        <v>100</v>
      </c>
      <c r="R48" s="1900"/>
      <c r="S48" s="1026"/>
      <c r="T48" s="1257" t="str">
        <f>IFERROR(IF((VLOOKUP(U48,Überblick!$M$125:$N$133,2))="ja","ja","nein"),"")</f>
        <v/>
      </c>
      <c r="U48" s="1338"/>
      <c r="V48" s="72">
        <f t="shared" si="0"/>
        <v>0</v>
      </c>
      <c r="W48" s="74">
        <f>IF(H48="ja",X48,0)</f>
        <v>0</v>
      </c>
      <c r="X48" s="74">
        <v>5.0000000000000001E-3</v>
      </c>
      <c r="Z48" s="77"/>
      <c r="AA48" s="77"/>
      <c r="AB48" s="72">
        <f t="shared" si="1"/>
        <v>0</v>
      </c>
      <c r="AD48" s="68"/>
      <c r="AE48" s="68"/>
      <c r="AF48" s="68"/>
    </row>
    <row r="49" spans="1:32" ht="14.25" customHeight="1" x14ac:dyDescent="0.25">
      <c r="A49" s="1864"/>
      <c r="B49" s="1103"/>
      <c r="C49" s="1104"/>
      <c r="D49" s="1104"/>
      <c r="E49" s="1104"/>
      <c r="F49" s="1104"/>
      <c r="G49" s="1105"/>
      <c r="H49" s="1034"/>
      <c r="I49" s="1017"/>
      <c r="J49" s="1046"/>
      <c r="K49" s="1047"/>
      <c r="L49" s="984" t="s">
        <v>595</v>
      </c>
      <c r="M49" s="985"/>
      <c r="N49" s="985"/>
      <c r="O49" s="985"/>
      <c r="P49" s="985"/>
      <c r="Q49" s="314" t="s">
        <v>100</v>
      </c>
      <c r="R49" s="1843"/>
      <c r="S49" s="973"/>
      <c r="T49" s="1258"/>
      <c r="U49" s="1339"/>
      <c r="V49" s="72">
        <f t="shared" si="0"/>
        <v>0</v>
      </c>
      <c r="W49" s="74"/>
      <c r="X49" s="74"/>
      <c r="AB49" s="72">
        <f t="shared" si="1"/>
        <v>0</v>
      </c>
      <c r="AD49" s="68"/>
      <c r="AE49" s="68"/>
      <c r="AF49" s="68"/>
    </row>
    <row r="50" spans="1:32" ht="14.25" customHeight="1" x14ac:dyDescent="0.25">
      <c r="A50" s="1864"/>
      <c r="B50" s="1103" t="s">
        <v>596</v>
      </c>
      <c r="C50" s="1104"/>
      <c r="D50" s="1104"/>
      <c r="E50" s="1104"/>
      <c r="F50" s="1104"/>
      <c r="G50" s="1105"/>
      <c r="H50" s="312" t="s">
        <v>100</v>
      </c>
      <c r="I50" s="1017"/>
      <c r="J50" s="1046"/>
      <c r="K50" s="1047"/>
      <c r="L50" s="984" t="s">
        <v>597</v>
      </c>
      <c r="M50" s="985"/>
      <c r="N50" s="985"/>
      <c r="O50" s="985"/>
      <c r="P50" s="985"/>
      <c r="Q50" s="314" t="s">
        <v>100</v>
      </c>
      <c r="R50" s="1843"/>
      <c r="S50" s="973"/>
      <c r="T50" s="1258"/>
      <c r="U50" s="1339"/>
      <c r="V50" s="72">
        <f t="shared" si="0"/>
        <v>0</v>
      </c>
      <c r="W50" s="74">
        <f>IF(H50="ja",X50,0)</f>
        <v>0</v>
      </c>
      <c r="X50" s="74">
        <v>2.5000000000000001E-3</v>
      </c>
      <c r="Z50" s="77"/>
      <c r="AA50" s="77"/>
      <c r="AB50" s="72">
        <f t="shared" si="1"/>
        <v>0</v>
      </c>
      <c r="AD50" s="68"/>
      <c r="AE50" s="68"/>
      <c r="AF50" s="68"/>
    </row>
    <row r="51" spans="1:32" ht="14.25" customHeight="1" x14ac:dyDescent="0.25">
      <c r="A51" s="1864"/>
      <c r="B51" s="1103" t="s">
        <v>598</v>
      </c>
      <c r="C51" s="1104"/>
      <c r="D51" s="1104"/>
      <c r="E51" s="1104"/>
      <c r="F51" s="1104"/>
      <c r="G51" s="1105"/>
      <c r="H51" s="981" t="s">
        <v>100</v>
      </c>
      <c r="I51" s="1017"/>
      <c r="J51" s="1046"/>
      <c r="K51" s="1047"/>
      <c r="L51" s="984" t="s">
        <v>599</v>
      </c>
      <c r="M51" s="985"/>
      <c r="N51" s="985"/>
      <c r="O51" s="985"/>
      <c r="P51" s="985"/>
      <c r="Q51" s="1013" t="s">
        <v>100</v>
      </c>
      <c r="R51" s="1821"/>
      <c r="S51" s="1725"/>
      <c r="T51" s="1258"/>
      <c r="U51" s="1339"/>
      <c r="V51" s="72">
        <f t="shared" si="0"/>
        <v>0</v>
      </c>
      <c r="W51" s="74">
        <f>IF(H51="ja",X51,0)</f>
        <v>0</v>
      </c>
      <c r="X51" s="74">
        <v>0.01</v>
      </c>
      <c r="AB51" s="72">
        <f t="shared" si="1"/>
        <v>0</v>
      </c>
      <c r="AD51" s="68"/>
      <c r="AE51" s="68"/>
      <c r="AF51" s="68"/>
    </row>
    <row r="52" spans="1:32" ht="14.25" customHeight="1" x14ac:dyDescent="0.25">
      <c r="A52" s="1864"/>
      <c r="B52" s="1103"/>
      <c r="C52" s="1104"/>
      <c r="D52" s="1104"/>
      <c r="E52" s="1104"/>
      <c r="F52" s="1104"/>
      <c r="G52" s="1105"/>
      <c r="H52" s="982"/>
      <c r="I52" s="1017"/>
      <c r="J52" s="1046"/>
      <c r="K52" s="1047"/>
      <c r="L52" s="984"/>
      <c r="M52" s="985"/>
      <c r="N52" s="985"/>
      <c r="O52" s="985"/>
      <c r="P52" s="985"/>
      <c r="Q52" s="1013"/>
      <c r="R52" s="1821"/>
      <c r="S52" s="1725"/>
      <c r="T52" s="1258"/>
      <c r="U52" s="1339"/>
      <c r="V52" s="72">
        <f t="shared" si="0"/>
        <v>0</v>
      </c>
      <c r="W52" s="74"/>
      <c r="X52" s="74"/>
      <c r="AB52" s="72">
        <f t="shared" si="1"/>
        <v>0</v>
      </c>
      <c r="AD52" s="68"/>
      <c r="AE52" s="68"/>
      <c r="AF52" s="68"/>
    </row>
    <row r="53" spans="1:32" ht="14.25" customHeight="1" x14ac:dyDescent="0.25">
      <c r="A53" s="1864"/>
      <c r="B53" s="1103" t="s">
        <v>600</v>
      </c>
      <c r="C53" s="1104"/>
      <c r="D53" s="1104"/>
      <c r="E53" s="1104"/>
      <c r="F53" s="1104"/>
      <c r="G53" s="1105"/>
      <c r="H53" s="1190" t="s">
        <v>100</v>
      </c>
      <c r="I53" s="1017"/>
      <c r="J53" s="1046"/>
      <c r="K53" s="1047"/>
      <c r="L53" s="984" t="s">
        <v>601</v>
      </c>
      <c r="M53" s="985"/>
      <c r="N53" s="985"/>
      <c r="O53" s="985"/>
      <c r="P53" s="985"/>
      <c r="Q53" s="1013" t="s">
        <v>100</v>
      </c>
      <c r="R53" s="1821"/>
      <c r="S53" s="1725"/>
      <c r="T53" s="1258"/>
      <c r="U53" s="1339"/>
      <c r="V53" s="72">
        <f t="shared" si="0"/>
        <v>0</v>
      </c>
      <c r="W53" s="74">
        <f>IF(H53="ja",X53,0)</f>
        <v>0</v>
      </c>
      <c r="X53" s="74">
        <v>4.2500000000000003E-2</v>
      </c>
      <c r="AB53" s="72">
        <f t="shared" si="1"/>
        <v>0</v>
      </c>
      <c r="AD53" s="68"/>
      <c r="AE53" s="68"/>
      <c r="AF53" s="68"/>
    </row>
    <row r="54" spans="1:32" ht="14.25" customHeight="1" x14ac:dyDescent="0.25">
      <c r="A54" s="1864"/>
      <c r="B54" s="1103"/>
      <c r="C54" s="1104"/>
      <c r="D54" s="1104"/>
      <c r="E54" s="1104"/>
      <c r="F54" s="1104"/>
      <c r="G54" s="1105"/>
      <c r="H54" s="1191"/>
      <c r="I54" s="1017"/>
      <c r="J54" s="1046"/>
      <c r="K54" s="1047"/>
      <c r="L54" s="984"/>
      <c r="M54" s="985"/>
      <c r="N54" s="985"/>
      <c r="O54" s="985"/>
      <c r="P54" s="985"/>
      <c r="Q54" s="1013"/>
      <c r="R54" s="1821"/>
      <c r="S54" s="1725"/>
      <c r="T54" s="1258"/>
      <c r="U54" s="1339"/>
      <c r="V54" s="72">
        <f t="shared" si="0"/>
        <v>0</v>
      </c>
      <c r="W54" s="74"/>
      <c r="X54" s="74"/>
      <c r="AB54" s="72">
        <f t="shared" si="1"/>
        <v>0</v>
      </c>
      <c r="AD54" s="68"/>
      <c r="AE54" s="68"/>
      <c r="AF54" s="68"/>
    </row>
    <row r="55" spans="1:32" ht="14.25" customHeight="1" x14ac:dyDescent="0.25">
      <c r="A55" s="1864"/>
      <c r="B55" s="1103"/>
      <c r="C55" s="1104"/>
      <c r="D55" s="1104"/>
      <c r="E55" s="1104"/>
      <c r="F55" s="1104"/>
      <c r="G55" s="1105"/>
      <c r="H55" s="1191"/>
      <c r="I55" s="1017"/>
      <c r="J55" s="1046"/>
      <c r="K55" s="1047"/>
      <c r="L55" s="984" t="s">
        <v>602</v>
      </c>
      <c r="M55" s="985"/>
      <c r="N55" s="985"/>
      <c r="O55" s="985"/>
      <c r="P55" s="985"/>
      <c r="Q55" s="1013" t="s">
        <v>100</v>
      </c>
      <c r="R55" s="1821"/>
      <c r="S55" s="1725"/>
      <c r="T55" s="1258"/>
      <c r="U55" s="1339"/>
      <c r="V55" s="72">
        <f t="shared" si="0"/>
        <v>0</v>
      </c>
      <c r="W55" s="74"/>
      <c r="X55" s="74"/>
      <c r="AB55" s="72">
        <f t="shared" si="1"/>
        <v>0</v>
      </c>
      <c r="AD55" s="68"/>
      <c r="AE55" s="68"/>
      <c r="AF55" s="68"/>
    </row>
    <row r="56" spans="1:32" ht="14.25" customHeight="1" x14ac:dyDescent="0.25">
      <c r="A56" s="1864"/>
      <c r="B56" s="1103"/>
      <c r="C56" s="1104"/>
      <c r="D56" s="1104"/>
      <c r="E56" s="1104"/>
      <c r="F56" s="1104"/>
      <c r="G56" s="1105"/>
      <c r="H56" s="1191"/>
      <c r="I56" s="1017"/>
      <c r="J56" s="1046"/>
      <c r="K56" s="1047"/>
      <c r="L56" s="984"/>
      <c r="M56" s="985"/>
      <c r="N56" s="985"/>
      <c r="O56" s="985"/>
      <c r="P56" s="985"/>
      <c r="Q56" s="1013"/>
      <c r="R56" s="1821"/>
      <c r="S56" s="1725"/>
      <c r="T56" s="1258"/>
      <c r="U56" s="1339"/>
      <c r="V56" s="72">
        <f t="shared" si="0"/>
        <v>0</v>
      </c>
      <c r="W56" s="74"/>
      <c r="X56" s="74"/>
      <c r="AB56" s="72">
        <f t="shared" si="1"/>
        <v>0</v>
      </c>
      <c r="AD56" s="68"/>
      <c r="AE56" s="68"/>
      <c r="AF56" s="68"/>
    </row>
    <row r="57" spans="1:32" ht="14.25" customHeight="1" x14ac:dyDescent="0.25">
      <c r="A57" s="1864"/>
      <c r="B57" s="1103"/>
      <c r="C57" s="1104"/>
      <c r="D57" s="1104"/>
      <c r="E57" s="1104"/>
      <c r="F57" s="1104"/>
      <c r="G57" s="1105"/>
      <c r="H57" s="1191"/>
      <c r="I57" s="1017"/>
      <c r="J57" s="1046"/>
      <c r="K57" s="1047"/>
      <c r="L57" s="984"/>
      <c r="M57" s="985"/>
      <c r="N57" s="985"/>
      <c r="O57" s="985"/>
      <c r="P57" s="985"/>
      <c r="Q57" s="1013"/>
      <c r="R57" s="1821"/>
      <c r="S57" s="1725"/>
      <c r="T57" s="1258"/>
      <c r="U57" s="1339"/>
      <c r="V57" s="72">
        <f t="shared" si="0"/>
        <v>0</v>
      </c>
      <c r="W57" s="74"/>
      <c r="X57" s="74"/>
      <c r="AB57" s="72">
        <f t="shared" si="1"/>
        <v>0</v>
      </c>
      <c r="AD57" s="68"/>
      <c r="AE57" s="68"/>
      <c r="AF57" s="68"/>
    </row>
    <row r="58" spans="1:32" ht="14.25" customHeight="1" x14ac:dyDescent="0.25">
      <c r="A58" s="1864"/>
      <c r="B58" s="1103"/>
      <c r="C58" s="1104"/>
      <c r="D58" s="1104"/>
      <c r="E58" s="1104"/>
      <c r="F58" s="1104"/>
      <c r="G58" s="1105"/>
      <c r="H58" s="1191"/>
      <c r="I58" s="1017"/>
      <c r="J58" s="1046"/>
      <c r="K58" s="1047"/>
      <c r="L58" s="984"/>
      <c r="M58" s="985"/>
      <c r="N58" s="985"/>
      <c r="O58" s="985"/>
      <c r="P58" s="985"/>
      <c r="Q58" s="1013"/>
      <c r="R58" s="1821"/>
      <c r="S58" s="1725"/>
      <c r="T58" s="1258"/>
      <c r="U58" s="1339"/>
      <c r="V58" s="72">
        <f t="shared" si="0"/>
        <v>0</v>
      </c>
      <c r="W58" s="74"/>
      <c r="X58" s="74"/>
      <c r="AB58" s="72">
        <f t="shared" si="1"/>
        <v>0</v>
      </c>
      <c r="AD58" s="68"/>
      <c r="AE58" s="68"/>
      <c r="AF58" s="68"/>
    </row>
    <row r="59" spans="1:32" ht="14.25" customHeight="1" x14ac:dyDescent="0.25">
      <c r="A59" s="1864"/>
      <c r="B59" s="1103"/>
      <c r="C59" s="1104"/>
      <c r="D59" s="1104"/>
      <c r="E59" s="1104"/>
      <c r="F59" s="1104"/>
      <c r="G59" s="1105"/>
      <c r="H59" s="1191"/>
      <c r="I59" s="1017"/>
      <c r="J59" s="1046"/>
      <c r="K59" s="1047"/>
      <c r="L59" s="984"/>
      <c r="M59" s="985"/>
      <c r="N59" s="985"/>
      <c r="O59" s="985"/>
      <c r="P59" s="985"/>
      <c r="Q59" s="1013" t="s">
        <v>100</v>
      </c>
      <c r="R59" s="1843"/>
      <c r="S59" s="973"/>
      <c r="T59" s="1258"/>
      <c r="U59" s="1339"/>
      <c r="V59" s="72">
        <f t="shared" si="0"/>
        <v>0</v>
      </c>
      <c r="W59" s="74"/>
      <c r="X59" s="74"/>
      <c r="AB59" s="72">
        <f t="shared" si="1"/>
        <v>0</v>
      </c>
      <c r="AD59" s="68"/>
      <c r="AE59" s="68"/>
      <c r="AF59" s="68"/>
    </row>
    <row r="60" spans="1:32" ht="14.25" customHeight="1" x14ac:dyDescent="0.25">
      <c r="A60" s="1864"/>
      <c r="B60" s="1103"/>
      <c r="C60" s="1104"/>
      <c r="D60" s="1104"/>
      <c r="E60" s="1104"/>
      <c r="F60" s="1104"/>
      <c r="G60" s="1105"/>
      <c r="H60" s="1191"/>
      <c r="I60" s="1017"/>
      <c r="J60" s="1046"/>
      <c r="K60" s="1047"/>
      <c r="L60" s="984"/>
      <c r="M60" s="985"/>
      <c r="N60" s="985"/>
      <c r="O60" s="985"/>
      <c r="P60" s="985"/>
      <c r="Q60" s="1013"/>
      <c r="R60" s="1843"/>
      <c r="S60" s="973"/>
      <c r="T60" s="1258"/>
      <c r="U60" s="1339"/>
      <c r="V60" s="72">
        <f t="shared" si="0"/>
        <v>0</v>
      </c>
      <c r="W60" s="74"/>
      <c r="X60" s="74"/>
      <c r="AB60" s="72">
        <f t="shared" si="1"/>
        <v>0</v>
      </c>
      <c r="AD60" s="68"/>
      <c r="AE60" s="68"/>
      <c r="AF60" s="68"/>
    </row>
    <row r="61" spans="1:32" ht="14.25" customHeight="1" x14ac:dyDescent="0.25">
      <c r="A61" s="1864"/>
      <c r="B61" s="1103"/>
      <c r="C61" s="1104"/>
      <c r="D61" s="1104"/>
      <c r="E61" s="1104"/>
      <c r="F61" s="1104"/>
      <c r="G61" s="1105"/>
      <c r="H61" s="1191"/>
      <c r="I61" s="1017"/>
      <c r="J61" s="1046"/>
      <c r="K61" s="1047"/>
      <c r="L61" s="984"/>
      <c r="M61" s="985"/>
      <c r="N61" s="985"/>
      <c r="O61" s="985"/>
      <c r="P61" s="985"/>
      <c r="Q61" s="1013"/>
      <c r="R61" s="1843"/>
      <c r="S61" s="973"/>
      <c r="T61" s="1258"/>
      <c r="U61" s="1339"/>
      <c r="V61" s="72">
        <f t="shared" si="0"/>
        <v>0</v>
      </c>
      <c r="W61" s="74"/>
      <c r="X61" s="74"/>
      <c r="AB61" s="72">
        <f t="shared" si="1"/>
        <v>0</v>
      </c>
      <c r="AD61" s="68"/>
      <c r="AE61" s="68"/>
      <c r="AF61" s="68"/>
    </row>
    <row r="62" spans="1:32" ht="14.25" customHeight="1" x14ac:dyDescent="0.25">
      <c r="A62" s="1864"/>
      <c r="B62" s="1103"/>
      <c r="C62" s="1104"/>
      <c r="D62" s="1104"/>
      <c r="E62" s="1104"/>
      <c r="F62" s="1104"/>
      <c r="G62" s="1105"/>
      <c r="H62" s="1191"/>
      <c r="I62" s="1017"/>
      <c r="J62" s="1046"/>
      <c r="K62" s="1047"/>
      <c r="L62" s="984"/>
      <c r="M62" s="985"/>
      <c r="N62" s="985"/>
      <c r="O62" s="985"/>
      <c r="P62" s="985"/>
      <c r="Q62" s="1013" t="s">
        <v>100</v>
      </c>
      <c r="R62" s="1843"/>
      <c r="S62" s="973"/>
      <c r="T62" s="1258"/>
      <c r="U62" s="1339"/>
      <c r="V62" s="72">
        <f t="shared" si="0"/>
        <v>0</v>
      </c>
      <c r="W62" s="74"/>
      <c r="X62" s="74"/>
      <c r="AB62" s="72">
        <f t="shared" si="1"/>
        <v>0</v>
      </c>
      <c r="AD62" s="68"/>
      <c r="AE62" s="68"/>
      <c r="AF62" s="68"/>
    </row>
    <row r="63" spans="1:32" ht="14.25" customHeight="1" x14ac:dyDescent="0.25">
      <c r="A63" s="1864"/>
      <c r="B63" s="1103"/>
      <c r="C63" s="1104"/>
      <c r="D63" s="1104"/>
      <c r="E63" s="1104"/>
      <c r="F63" s="1104"/>
      <c r="G63" s="1105"/>
      <c r="H63" s="1191"/>
      <c r="I63" s="1017"/>
      <c r="J63" s="1046"/>
      <c r="K63" s="1047"/>
      <c r="L63" s="984"/>
      <c r="M63" s="985"/>
      <c r="N63" s="985"/>
      <c r="O63" s="985"/>
      <c r="P63" s="985"/>
      <c r="Q63" s="1013"/>
      <c r="R63" s="1843"/>
      <c r="S63" s="973"/>
      <c r="T63" s="1258"/>
      <c r="U63" s="1339"/>
      <c r="V63" s="72">
        <f t="shared" si="0"/>
        <v>0</v>
      </c>
      <c r="W63" s="74"/>
      <c r="X63" s="74"/>
      <c r="AB63" s="72">
        <f t="shared" si="1"/>
        <v>0</v>
      </c>
      <c r="AD63" s="68"/>
      <c r="AE63" s="68"/>
      <c r="AF63" s="68"/>
    </row>
    <row r="64" spans="1:32" ht="14.25" customHeight="1" x14ac:dyDescent="0.25">
      <c r="A64" s="1864"/>
      <c r="B64" s="1103"/>
      <c r="C64" s="1104"/>
      <c r="D64" s="1104"/>
      <c r="E64" s="1104"/>
      <c r="F64" s="1104"/>
      <c r="G64" s="1105"/>
      <c r="H64" s="1191"/>
      <c r="I64" s="1017"/>
      <c r="J64" s="1046"/>
      <c r="K64" s="1047"/>
      <c r="L64" s="984"/>
      <c r="M64" s="985"/>
      <c r="N64" s="985"/>
      <c r="O64" s="985"/>
      <c r="P64" s="985"/>
      <c r="Q64" s="1013"/>
      <c r="R64" s="1843"/>
      <c r="S64" s="973"/>
      <c r="T64" s="1258"/>
      <c r="U64" s="1339"/>
      <c r="V64" s="72">
        <f t="shared" si="0"/>
        <v>0</v>
      </c>
      <c r="W64" s="74"/>
      <c r="X64" s="74"/>
      <c r="AB64" s="72">
        <f t="shared" si="1"/>
        <v>0</v>
      </c>
      <c r="AD64" s="68"/>
      <c r="AE64" s="68"/>
      <c r="AF64" s="68"/>
    </row>
    <row r="65" spans="1:42" ht="14.25" customHeight="1" x14ac:dyDescent="0.25">
      <c r="A65" s="1864"/>
      <c r="B65" s="1103"/>
      <c r="C65" s="1104"/>
      <c r="D65" s="1104"/>
      <c r="E65" s="1104"/>
      <c r="F65" s="1104"/>
      <c r="G65" s="1105"/>
      <c r="H65" s="1193"/>
      <c r="I65" s="1017"/>
      <c r="J65" s="1046"/>
      <c r="K65" s="1047"/>
      <c r="L65" s="984"/>
      <c r="M65" s="985"/>
      <c r="N65" s="985"/>
      <c r="O65" s="985"/>
      <c r="P65" s="985"/>
      <c r="Q65" s="1013" t="s">
        <v>100</v>
      </c>
      <c r="R65" s="1843"/>
      <c r="S65" s="973"/>
      <c r="T65" s="1258"/>
      <c r="U65" s="1339"/>
      <c r="V65" s="72">
        <f t="shared" si="0"/>
        <v>0</v>
      </c>
      <c r="W65" s="74"/>
      <c r="X65" s="74"/>
      <c r="Z65" s="77"/>
      <c r="AA65" s="77"/>
      <c r="AB65" s="72">
        <f t="shared" si="1"/>
        <v>0</v>
      </c>
      <c r="AD65" s="68"/>
      <c r="AE65" s="68"/>
      <c r="AF65" s="68"/>
    </row>
    <row r="66" spans="1:42" ht="14.25" customHeight="1" x14ac:dyDescent="0.25">
      <c r="A66" s="1864"/>
      <c r="B66" s="1103" t="s">
        <v>603</v>
      </c>
      <c r="C66" s="1104"/>
      <c r="D66" s="1104"/>
      <c r="E66" s="1104"/>
      <c r="F66" s="1104"/>
      <c r="G66" s="1105"/>
      <c r="H66" s="1190" t="s">
        <v>100</v>
      </c>
      <c r="I66" s="1017"/>
      <c r="J66" s="1046"/>
      <c r="K66" s="1047"/>
      <c r="L66" s="984"/>
      <c r="M66" s="985"/>
      <c r="N66" s="985"/>
      <c r="O66" s="985"/>
      <c r="P66" s="985"/>
      <c r="Q66" s="1013"/>
      <c r="R66" s="1843"/>
      <c r="S66" s="973"/>
      <c r="T66" s="1258"/>
      <c r="U66" s="1339"/>
      <c r="V66" s="72">
        <f t="shared" si="0"/>
        <v>0</v>
      </c>
      <c r="W66" s="74">
        <f>IF(H66="ja",X66,0)</f>
        <v>0</v>
      </c>
      <c r="X66" s="74">
        <v>2.75E-2</v>
      </c>
      <c r="AB66" s="72">
        <f t="shared" si="1"/>
        <v>0</v>
      </c>
      <c r="AD66" s="68"/>
      <c r="AE66" s="68"/>
      <c r="AF66" s="68"/>
    </row>
    <row r="67" spans="1:42" ht="14.25" customHeight="1" x14ac:dyDescent="0.25">
      <c r="A67" s="1864"/>
      <c r="B67" s="1103"/>
      <c r="C67" s="1104"/>
      <c r="D67" s="1104"/>
      <c r="E67" s="1104"/>
      <c r="F67" s="1104"/>
      <c r="G67" s="1105"/>
      <c r="H67" s="1193"/>
      <c r="I67" s="1017"/>
      <c r="J67" s="1046"/>
      <c r="K67" s="1047"/>
      <c r="L67" s="984"/>
      <c r="M67" s="985"/>
      <c r="N67" s="985"/>
      <c r="O67" s="985"/>
      <c r="P67" s="985"/>
      <c r="Q67" s="1013"/>
      <c r="R67" s="1843"/>
      <c r="S67" s="973"/>
      <c r="T67" s="1258"/>
      <c r="U67" s="1339"/>
      <c r="V67" s="72">
        <f t="shared" si="0"/>
        <v>0</v>
      </c>
      <c r="W67" s="74"/>
      <c r="X67" s="74"/>
      <c r="Z67" s="77"/>
      <c r="AA67" s="77"/>
      <c r="AB67" s="72">
        <f t="shared" si="1"/>
        <v>0</v>
      </c>
      <c r="AD67" s="68"/>
      <c r="AE67" s="68"/>
      <c r="AF67" s="68"/>
    </row>
    <row r="68" spans="1:42" ht="14.25" customHeight="1" x14ac:dyDescent="0.25">
      <c r="A68" s="1864"/>
      <c r="B68" s="1103" t="s">
        <v>604</v>
      </c>
      <c r="C68" s="1104"/>
      <c r="D68" s="1104"/>
      <c r="E68" s="1104"/>
      <c r="F68" s="1104"/>
      <c r="G68" s="1105"/>
      <c r="H68" s="1190" t="s">
        <v>100</v>
      </c>
      <c r="I68" s="1017"/>
      <c r="J68" s="1046"/>
      <c r="K68" s="1047"/>
      <c r="L68" s="984"/>
      <c r="M68" s="985"/>
      <c r="N68" s="985"/>
      <c r="O68" s="985"/>
      <c r="P68" s="985"/>
      <c r="Q68" s="1013" t="s">
        <v>100</v>
      </c>
      <c r="R68" s="1843"/>
      <c r="S68" s="973"/>
      <c r="T68" s="1258"/>
      <c r="U68" s="1339"/>
      <c r="V68" s="72">
        <f t="shared" si="0"/>
        <v>0</v>
      </c>
      <c r="W68" s="74">
        <f>IF(H68="ja",X68,0)</f>
        <v>0</v>
      </c>
      <c r="X68" s="74">
        <v>0.01</v>
      </c>
      <c r="AB68" s="72">
        <f t="shared" si="1"/>
        <v>0</v>
      </c>
      <c r="AD68" s="68"/>
      <c r="AE68" s="68"/>
      <c r="AF68" s="68"/>
    </row>
    <row r="69" spans="1:42" ht="14.25" customHeight="1" x14ac:dyDescent="0.25">
      <c r="A69" s="1864"/>
      <c r="B69" s="1103"/>
      <c r="C69" s="1104"/>
      <c r="D69" s="1104"/>
      <c r="E69" s="1104"/>
      <c r="F69" s="1104"/>
      <c r="G69" s="1105"/>
      <c r="H69" s="1191"/>
      <c r="I69" s="1017"/>
      <c r="J69" s="1046"/>
      <c r="K69" s="1047"/>
      <c r="L69" s="984"/>
      <c r="M69" s="985"/>
      <c r="N69" s="985"/>
      <c r="O69" s="985"/>
      <c r="P69" s="985"/>
      <c r="Q69" s="1013"/>
      <c r="R69" s="1843"/>
      <c r="S69" s="973"/>
      <c r="T69" s="1258"/>
      <c r="U69" s="1339"/>
      <c r="V69" s="72">
        <f t="shared" si="0"/>
        <v>0</v>
      </c>
      <c r="W69" s="74"/>
      <c r="X69" s="74"/>
      <c r="Z69" s="77"/>
      <c r="AA69" s="77"/>
      <c r="AB69" s="72">
        <f t="shared" si="1"/>
        <v>0</v>
      </c>
      <c r="AD69" s="68"/>
      <c r="AE69" s="68"/>
      <c r="AF69" s="68"/>
    </row>
    <row r="70" spans="1:42" ht="14.25" customHeight="1" x14ac:dyDescent="0.25">
      <c r="A70" s="1864"/>
      <c r="B70" s="1103" t="s">
        <v>605</v>
      </c>
      <c r="C70" s="1104"/>
      <c r="D70" s="1104"/>
      <c r="E70" s="1104"/>
      <c r="F70" s="1104"/>
      <c r="G70" s="1105"/>
      <c r="H70" s="1190" t="s">
        <v>100</v>
      </c>
      <c r="I70" s="1017"/>
      <c r="J70" s="1046"/>
      <c r="K70" s="1047"/>
      <c r="L70" s="984"/>
      <c r="M70" s="985"/>
      <c r="N70" s="985"/>
      <c r="O70" s="985"/>
      <c r="P70" s="985"/>
      <c r="Q70" s="1013"/>
      <c r="R70" s="1843"/>
      <c r="S70" s="973"/>
      <c r="T70" s="1258"/>
      <c r="U70" s="1339"/>
      <c r="V70" s="72">
        <f t="shared" si="0"/>
        <v>0</v>
      </c>
      <c r="W70" s="74">
        <f>IF(H70="ja",X70,0)</f>
        <v>0</v>
      </c>
      <c r="X70" s="74">
        <v>2.5000000000000001E-3</v>
      </c>
      <c r="Z70" s="77"/>
      <c r="AA70" s="77"/>
      <c r="AB70" s="72">
        <f t="shared" si="1"/>
        <v>0</v>
      </c>
      <c r="AD70" s="68"/>
      <c r="AE70" s="68"/>
      <c r="AF70" s="68"/>
    </row>
    <row r="71" spans="1:42" ht="14.25" customHeight="1" thickBot="1" x14ac:dyDescent="0.3">
      <c r="A71" s="1864"/>
      <c r="B71" s="1103"/>
      <c r="C71" s="1104"/>
      <c r="D71" s="1104"/>
      <c r="E71" s="1104"/>
      <c r="F71" s="1104"/>
      <c r="G71" s="1105"/>
      <c r="H71" s="1191"/>
      <c r="I71" s="1018"/>
      <c r="J71" s="1048"/>
      <c r="K71" s="1049"/>
      <c r="L71" s="1369"/>
      <c r="M71" s="1370"/>
      <c r="N71" s="1370"/>
      <c r="O71" s="1370"/>
      <c r="P71" s="1370"/>
      <c r="Q71" s="312" t="s">
        <v>100</v>
      </c>
      <c r="R71" s="1844"/>
      <c r="S71" s="977"/>
      <c r="T71" s="1258"/>
      <c r="U71" s="1339"/>
      <c r="V71" s="72">
        <f t="shared" si="0"/>
        <v>0</v>
      </c>
      <c r="W71" s="74"/>
      <c r="X71" s="74"/>
      <c r="Z71" s="77"/>
      <c r="AA71" s="77"/>
      <c r="AB71" s="72">
        <f t="shared" si="1"/>
        <v>0</v>
      </c>
      <c r="AD71" s="68"/>
      <c r="AE71" s="68"/>
      <c r="AF71" s="68"/>
    </row>
    <row r="72" spans="1:42" ht="14.25" customHeight="1" x14ac:dyDescent="0.25">
      <c r="A72" s="1864"/>
      <c r="B72" s="1035" t="s">
        <v>154</v>
      </c>
      <c r="C72" s="1036"/>
      <c r="D72" s="1036"/>
      <c r="E72" s="1036"/>
      <c r="F72" s="1036"/>
      <c r="G72" s="1036"/>
      <c r="H72" s="1161"/>
      <c r="I72" s="1035">
        <f>IF(J17="Kostenschätzung liegt noch nicht vor",I33,J17)</f>
        <v>0</v>
      </c>
      <c r="J72" s="1036"/>
      <c r="K72" s="1037"/>
      <c r="L72" s="1323">
        <f>SUM(R48:S71)</f>
        <v>0</v>
      </c>
      <c r="M72" s="1323"/>
      <c r="N72" s="1323"/>
      <c r="O72" s="1323"/>
      <c r="P72" s="1323"/>
      <c r="Q72" s="1323"/>
      <c r="R72" s="1323"/>
      <c r="S72" s="1323"/>
      <c r="T72" s="1260"/>
      <c r="U72" s="1257"/>
      <c r="V72" s="72">
        <f t="shared" si="0"/>
        <v>0</v>
      </c>
      <c r="W72" s="74">
        <f>SUM(W48:W71)</f>
        <v>0</v>
      </c>
      <c r="X72" s="75"/>
      <c r="Y72" s="75"/>
      <c r="AB72" s="72">
        <f t="shared" si="1"/>
        <v>0</v>
      </c>
      <c r="AD72" s="68"/>
      <c r="AE72" s="68"/>
      <c r="AF72" s="68"/>
    </row>
    <row r="73" spans="1:42" ht="14.25" customHeight="1" x14ac:dyDescent="0.25">
      <c r="A73" s="1864"/>
      <c r="B73" s="1038"/>
      <c r="C73" s="1039"/>
      <c r="D73" s="1039"/>
      <c r="E73" s="1039"/>
      <c r="F73" s="1039"/>
      <c r="G73" s="1039"/>
      <c r="H73" s="1162"/>
      <c r="I73" s="1038"/>
      <c r="J73" s="1039"/>
      <c r="K73" s="1040"/>
      <c r="L73" s="1899"/>
      <c r="M73" s="1899"/>
      <c r="N73" s="1899"/>
      <c r="O73" s="1899"/>
      <c r="P73" s="1899"/>
      <c r="Q73" s="1899"/>
      <c r="R73" s="1899"/>
      <c r="S73" s="1899"/>
      <c r="T73" s="1261"/>
      <c r="U73" s="1258"/>
      <c r="V73" s="72">
        <f t="shared" si="0"/>
        <v>0</v>
      </c>
      <c r="W73" s="76"/>
      <c r="X73" s="74"/>
      <c r="AB73" s="72">
        <f t="shared" si="1"/>
        <v>0</v>
      </c>
      <c r="AD73" s="68"/>
      <c r="AE73" s="68"/>
      <c r="AF73" s="68"/>
    </row>
    <row r="74" spans="1:42" ht="14.25" customHeight="1" thickBot="1" x14ac:dyDescent="0.3">
      <c r="A74" s="1864"/>
      <c r="B74" s="1041"/>
      <c r="C74" s="1042"/>
      <c r="D74" s="1042"/>
      <c r="E74" s="1042"/>
      <c r="F74" s="1042"/>
      <c r="G74" s="1042"/>
      <c r="H74" s="1163"/>
      <c r="I74" s="1041"/>
      <c r="J74" s="1042"/>
      <c r="K74" s="1043"/>
      <c r="L74" s="1325"/>
      <c r="M74" s="1325"/>
      <c r="N74" s="1325"/>
      <c r="O74" s="1325"/>
      <c r="P74" s="1325"/>
      <c r="Q74" s="1325"/>
      <c r="R74" s="1325"/>
      <c r="S74" s="1325"/>
      <c r="T74" s="1262"/>
      <c r="U74" s="1259"/>
      <c r="V74" s="72">
        <f t="shared" si="0"/>
        <v>0</v>
      </c>
      <c r="W74" s="76"/>
      <c r="X74" s="74"/>
      <c r="AB74" s="72">
        <f t="shared" si="1"/>
        <v>0</v>
      </c>
      <c r="AD74" s="68"/>
      <c r="AE74" s="68"/>
      <c r="AF74" s="68"/>
    </row>
    <row r="75" spans="1:42" ht="14.25" customHeight="1" thickBot="1" x14ac:dyDescent="0.3">
      <c r="A75" s="1864"/>
      <c r="B75" s="1082" t="s">
        <v>186</v>
      </c>
      <c r="C75" s="1083"/>
      <c r="D75" s="1083"/>
      <c r="E75" s="1083"/>
      <c r="F75" s="1083"/>
      <c r="G75" s="1084"/>
      <c r="H75" s="144"/>
      <c r="I75" s="1361"/>
      <c r="J75" s="1362"/>
      <c r="K75" s="1576"/>
      <c r="L75" s="1361"/>
      <c r="M75" s="1362"/>
      <c r="N75" s="1362"/>
      <c r="O75" s="1362"/>
      <c r="P75" s="1362"/>
      <c r="Q75" s="1362"/>
      <c r="R75" s="1362"/>
      <c r="S75" s="1576"/>
      <c r="U75" s="335" t="s">
        <v>157</v>
      </c>
      <c r="V75" s="72">
        <f t="shared" si="0"/>
        <v>0</v>
      </c>
      <c r="W75" s="74"/>
      <c r="X75" s="150"/>
      <c r="Y75" s="150"/>
      <c r="Z75" s="150"/>
      <c r="AB75" s="72">
        <f t="shared" si="1"/>
        <v>0</v>
      </c>
      <c r="AD75" s="68"/>
      <c r="AE75" s="68"/>
      <c r="AF75" s="68"/>
    </row>
    <row r="76" spans="1:42" ht="14.25" customHeight="1" thickBot="1" x14ac:dyDescent="0.3">
      <c r="A76" s="1864"/>
      <c r="B76" s="1106" t="s">
        <v>606</v>
      </c>
      <c r="C76" s="1107"/>
      <c r="D76" s="1107"/>
      <c r="E76" s="1107"/>
      <c r="F76" s="1107"/>
      <c r="G76" s="1108"/>
      <c r="H76" s="1088" t="s">
        <v>100</v>
      </c>
      <c r="I76" s="1016">
        <f>X99</f>
        <v>0</v>
      </c>
      <c r="J76" s="1044">
        <f>I76*I72</f>
        <v>0</v>
      </c>
      <c r="K76" s="1045"/>
      <c r="L76" s="1570" t="s">
        <v>607</v>
      </c>
      <c r="M76" s="1571"/>
      <c r="N76" s="1571"/>
      <c r="O76" s="1571"/>
      <c r="P76" s="1807"/>
      <c r="Q76" s="1137" t="s">
        <v>100</v>
      </c>
      <c r="R76" s="1821"/>
      <c r="S76" s="1725"/>
      <c r="T76" s="1257" t="str">
        <f>IFERROR(IF((VLOOKUP(U76,Überblick!$M$125:$N$133,2))="ja","ja","nein"),"")</f>
        <v/>
      </c>
      <c r="U76" s="1337"/>
      <c r="V76" s="72">
        <f t="shared" si="0"/>
        <v>0</v>
      </c>
      <c r="W76" s="74">
        <f>IF(H76="ja",X76,0)</f>
        <v>0</v>
      </c>
      <c r="X76" s="74">
        <v>6.7500000000000004E-2</v>
      </c>
      <c r="AB76" s="72">
        <f t="shared" si="1"/>
        <v>0</v>
      </c>
      <c r="AI76" s="192"/>
      <c r="AJ76" s="192"/>
      <c r="AK76" s="68"/>
      <c r="AL76" s="68"/>
      <c r="AM76" s="68"/>
      <c r="AN76" s="68"/>
      <c r="AO76" s="68"/>
      <c r="AP76" s="68"/>
    </row>
    <row r="77" spans="1:42" ht="14.25" customHeight="1" thickBot="1" x14ac:dyDescent="0.3">
      <c r="A77" s="1864"/>
      <c r="B77" s="1109"/>
      <c r="C77" s="1110"/>
      <c r="D77" s="1110"/>
      <c r="E77" s="1110"/>
      <c r="F77" s="1110"/>
      <c r="G77" s="1111"/>
      <c r="H77" s="986"/>
      <c r="I77" s="1017"/>
      <c r="J77" s="1046"/>
      <c r="K77" s="1047"/>
      <c r="L77" s="1544"/>
      <c r="M77" s="1545"/>
      <c r="N77" s="1545"/>
      <c r="O77" s="1545"/>
      <c r="P77" s="1824"/>
      <c r="Q77" s="1013"/>
      <c r="R77" s="1821"/>
      <c r="S77" s="1725"/>
      <c r="T77" s="1258"/>
      <c r="U77" s="1337"/>
      <c r="V77" s="72">
        <f t="shared" si="0"/>
        <v>0</v>
      </c>
      <c r="W77" s="74"/>
      <c r="X77" s="74"/>
      <c r="AB77" s="72">
        <f t="shared" si="1"/>
        <v>0</v>
      </c>
      <c r="AI77" s="68"/>
      <c r="AJ77" s="68"/>
      <c r="AK77" s="68"/>
      <c r="AL77" s="68"/>
      <c r="AM77" s="68"/>
      <c r="AN77" s="68"/>
      <c r="AO77" s="68"/>
      <c r="AP77" s="68"/>
    </row>
    <row r="78" spans="1:42" ht="15" customHeight="1" thickBot="1" x14ac:dyDescent="0.3">
      <c r="A78" s="1864"/>
      <c r="B78" s="1109"/>
      <c r="C78" s="1110"/>
      <c r="D78" s="1110"/>
      <c r="E78" s="1110"/>
      <c r="F78" s="1110"/>
      <c r="G78" s="1111"/>
      <c r="H78" s="986"/>
      <c r="I78" s="1017"/>
      <c r="J78" s="1046"/>
      <c r="K78" s="1047"/>
      <c r="L78" s="1544" t="s">
        <v>608</v>
      </c>
      <c r="M78" s="1545"/>
      <c r="N78" s="1545"/>
      <c r="O78" s="1545"/>
      <c r="P78" s="1824"/>
      <c r="Q78" s="1013" t="s">
        <v>100</v>
      </c>
      <c r="R78" s="1821"/>
      <c r="S78" s="1725"/>
      <c r="T78" s="1258"/>
      <c r="U78" s="1337"/>
      <c r="V78" s="72">
        <f t="shared" si="0"/>
        <v>0</v>
      </c>
      <c r="W78" s="74"/>
      <c r="X78" s="74"/>
      <c r="AB78" s="72">
        <f t="shared" si="1"/>
        <v>0</v>
      </c>
      <c r="AI78" s="68"/>
      <c r="AJ78" s="68"/>
      <c r="AK78" s="68"/>
      <c r="AL78" s="68"/>
      <c r="AM78" s="68"/>
      <c r="AN78" s="68"/>
      <c r="AO78" s="68"/>
      <c r="AP78" s="68"/>
    </row>
    <row r="79" spans="1:42" ht="14.25" customHeight="1" thickBot="1" x14ac:dyDescent="0.3">
      <c r="A79" s="1864"/>
      <c r="B79" s="1109"/>
      <c r="C79" s="1110"/>
      <c r="D79" s="1110"/>
      <c r="E79" s="1110"/>
      <c r="F79" s="1110"/>
      <c r="G79" s="1111"/>
      <c r="H79" s="986"/>
      <c r="I79" s="1017"/>
      <c r="J79" s="1046"/>
      <c r="K79" s="1047"/>
      <c r="L79" s="1544"/>
      <c r="M79" s="1545"/>
      <c r="N79" s="1545"/>
      <c r="O79" s="1545"/>
      <c r="P79" s="1824"/>
      <c r="Q79" s="1013"/>
      <c r="R79" s="1821"/>
      <c r="S79" s="1725"/>
      <c r="T79" s="1258"/>
      <c r="U79" s="1337"/>
      <c r="V79" s="72">
        <f t="shared" si="0"/>
        <v>0</v>
      </c>
      <c r="W79" s="74"/>
      <c r="X79" s="74"/>
      <c r="AB79" s="72">
        <f t="shared" si="1"/>
        <v>0</v>
      </c>
      <c r="AI79" s="68"/>
      <c r="AJ79" s="68"/>
      <c r="AK79" s="68"/>
      <c r="AL79" s="68"/>
      <c r="AM79" s="68"/>
      <c r="AN79" s="68"/>
      <c r="AO79" s="68"/>
      <c r="AP79" s="68"/>
    </row>
    <row r="80" spans="1:42" ht="14.25" customHeight="1" thickBot="1" x14ac:dyDescent="0.3">
      <c r="A80" s="1864"/>
      <c r="B80" s="1109"/>
      <c r="C80" s="1110"/>
      <c r="D80" s="1110"/>
      <c r="E80" s="1110"/>
      <c r="F80" s="1110"/>
      <c r="G80" s="1111"/>
      <c r="H80" s="986"/>
      <c r="I80" s="1017"/>
      <c r="J80" s="1046"/>
      <c r="K80" s="1047"/>
      <c r="L80" s="1544" t="s">
        <v>609</v>
      </c>
      <c r="M80" s="1545"/>
      <c r="N80" s="1545"/>
      <c r="O80" s="1545"/>
      <c r="P80" s="1824"/>
      <c r="Q80" s="1013" t="s">
        <v>100</v>
      </c>
      <c r="R80" s="1821"/>
      <c r="S80" s="1725"/>
      <c r="T80" s="1258"/>
      <c r="U80" s="1337"/>
      <c r="V80" s="72">
        <f t="shared" si="0"/>
        <v>0</v>
      </c>
      <c r="W80" s="74"/>
      <c r="X80" s="74"/>
      <c r="AB80" s="72">
        <f t="shared" si="1"/>
        <v>0</v>
      </c>
      <c r="AI80" s="68"/>
      <c r="AJ80" s="68"/>
      <c r="AK80" s="68"/>
      <c r="AL80" s="68"/>
      <c r="AM80" s="68"/>
      <c r="AN80" s="68"/>
      <c r="AO80" s="68"/>
      <c r="AP80" s="68"/>
    </row>
    <row r="81" spans="1:42" ht="14.25" customHeight="1" thickBot="1" x14ac:dyDescent="0.3">
      <c r="A81" s="1864"/>
      <c r="B81" s="1109"/>
      <c r="C81" s="1110"/>
      <c r="D81" s="1110"/>
      <c r="E81" s="1110"/>
      <c r="F81" s="1110"/>
      <c r="G81" s="1111"/>
      <c r="H81" s="986"/>
      <c r="I81" s="1017"/>
      <c r="J81" s="1046"/>
      <c r="K81" s="1047"/>
      <c r="L81" s="1544"/>
      <c r="M81" s="1545"/>
      <c r="N81" s="1545"/>
      <c r="O81" s="1545"/>
      <c r="P81" s="1824"/>
      <c r="Q81" s="1013"/>
      <c r="R81" s="1821"/>
      <c r="S81" s="1725"/>
      <c r="T81" s="1258"/>
      <c r="U81" s="1337"/>
      <c r="V81" s="72">
        <f t="shared" si="0"/>
        <v>0</v>
      </c>
      <c r="W81" s="74"/>
      <c r="X81" s="74"/>
      <c r="AB81" s="72">
        <f t="shared" si="1"/>
        <v>0</v>
      </c>
      <c r="AI81" s="68"/>
      <c r="AJ81" s="68"/>
      <c r="AK81" s="68"/>
      <c r="AL81" s="68"/>
      <c r="AM81" s="68"/>
      <c r="AN81" s="68"/>
      <c r="AO81" s="68"/>
      <c r="AP81" s="68"/>
    </row>
    <row r="82" spans="1:42" ht="14.25" customHeight="1" thickBot="1" x14ac:dyDescent="0.3">
      <c r="A82" s="1864"/>
      <c r="B82" s="1109"/>
      <c r="C82" s="1110"/>
      <c r="D82" s="1110"/>
      <c r="E82" s="1110"/>
      <c r="F82" s="1110"/>
      <c r="G82" s="1111"/>
      <c r="H82" s="986"/>
      <c r="I82" s="1017"/>
      <c r="J82" s="1046"/>
      <c r="K82" s="1047"/>
      <c r="L82" s="1544" t="s">
        <v>610</v>
      </c>
      <c r="M82" s="1545"/>
      <c r="N82" s="1545"/>
      <c r="O82" s="1545"/>
      <c r="P82" s="1824"/>
      <c r="Q82" s="312" t="s">
        <v>100</v>
      </c>
      <c r="R82" s="1843"/>
      <c r="S82" s="973"/>
      <c r="T82" s="1258"/>
      <c r="U82" s="1337"/>
      <c r="V82" s="72">
        <f t="shared" si="0"/>
        <v>0</v>
      </c>
      <c r="W82" s="74"/>
      <c r="X82" s="74"/>
      <c r="AB82" s="72">
        <f t="shared" si="1"/>
        <v>0</v>
      </c>
      <c r="AI82" s="68"/>
      <c r="AJ82" s="68"/>
      <c r="AK82" s="68"/>
      <c r="AL82" s="68"/>
      <c r="AM82" s="68"/>
      <c r="AN82" s="68"/>
      <c r="AO82" s="68"/>
      <c r="AP82" s="68"/>
    </row>
    <row r="83" spans="1:42" ht="14.25" customHeight="1" thickBot="1" x14ac:dyDescent="0.3">
      <c r="A83" s="1864"/>
      <c r="B83" s="1092" t="s">
        <v>611</v>
      </c>
      <c r="C83" s="1093"/>
      <c r="D83" s="1093"/>
      <c r="E83" s="1093"/>
      <c r="F83" s="1093"/>
      <c r="G83" s="1094"/>
      <c r="H83" s="986" t="s">
        <v>100</v>
      </c>
      <c r="I83" s="1017"/>
      <c r="J83" s="1046"/>
      <c r="K83" s="1047"/>
      <c r="L83" s="1484" t="s">
        <v>612</v>
      </c>
      <c r="M83" s="1485"/>
      <c r="N83" s="1485"/>
      <c r="O83" s="1485"/>
      <c r="P83" s="1486"/>
      <c r="Q83" s="981" t="s">
        <v>100</v>
      </c>
      <c r="R83" s="1812"/>
      <c r="S83" s="1006"/>
      <c r="T83" s="1258"/>
      <c r="U83" s="1337"/>
      <c r="V83" s="72">
        <f t="shared" si="0"/>
        <v>0</v>
      </c>
      <c r="W83" s="74">
        <f>IF(H83="ja",X83,0)</f>
        <v>0</v>
      </c>
      <c r="X83" s="74">
        <v>5.0000000000000001E-3</v>
      </c>
      <c r="AB83" s="72">
        <f t="shared" si="1"/>
        <v>0</v>
      </c>
      <c r="AI83" s="192"/>
      <c r="AJ83" s="192"/>
      <c r="AK83" s="68"/>
      <c r="AL83" s="68"/>
      <c r="AM83" s="68"/>
      <c r="AN83" s="68"/>
      <c r="AO83" s="68"/>
      <c r="AP83" s="68"/>
    </row>
    <row r="84" spans="1:42" ht="14.25" customHeight="1" thickBot="1" x14ac:dyDescent="0.3">
      <c r="A84" s="1864"/>
      <c r="B84" s="1109"/>
      <c r="C84" s="1110"/>
      <c r="D84" s="1110"/>
      <c r="E84" s="1110"/>
      <c r="F84" s="1110"/>
      <c r="G84" s="1111"/>
      <c r="H84" s="986"/>
      <c r="I84" s="1017"/>
      <c r="J84" s="1046"/>
      <c r="K84" s="1047"/>
      <c r="L84" s="1288"/>
      <c r="M84" s="1289"/>
      <c r="N84" s="1289"/>
      <c r="O84" s="1289"/>
      <c r="P84" s="1290"/>
      <c r="Q84" s="982"/>
      <c r="R84" s="1813"/>
      <c r="S84" s="1008"/>
      <c r="T84" s="1258"/>
      <c r="U84" s="1337"/>
      <c r="V84" s="72">
        <f t="shared" si="0"/>
        <v>0</v>
      </c>
      <c r="W84" s="74"/>
      <c r="X84" s="74"/>
      <c r="AB84" s="72">
        <f t="shared" si="1"/>
        <v>0</v>
      </c>
      <c r="AI84" s="68"/>
      <c r="AJ84" s="68"/>
      <c r="AK84" s="68"/>
      <c r="AL84" s="68"/>
      <c r="AM84" s="68"/>
      <c r="AN84" s="68"/>
      <c r="AO84" s="68"/>
      <c r="AP84" s="68"/>
    </row>
    <row r="85" spans="1:42" ht="14.25" customHeight="1" thickBot="1" x14ac:dyDescent="0.3">
      <c r="A85" s="1864"/>
      <c r="B85" s="1077" t="s">
        <v>613</v>
      </c>
      <c r="C85" s="1078"/>
      <c r="D85" s="1078"/>
      <c r="E85" s="1078"/>
      <c r="F85" s="1078"/>
      <c r="G85" s="1079"/>
      <c r="H85" s="981" t="s">
        <v>100</v>
      </c>
      <c r="I85" s="1017"/>
      <c r="J85" s="1046"/>
      <c r="K85" s="1047"/>
      <c r="L85" s="1288"/>
      <c r="M85" s="1289"/>
      <c r="N85" s="1289"/>
      <c r="O85" s="1289"/>
      <c r="P85" s="1290"/>
      <c r="Q85" s="982"/>
      <c r="R85" s="1813"/>
      <c r="S85" s="1008"/>
      <c r="T85" s="1258"/>
      <c r="U85" s="1337"/>
      <c r="V85" s="72">
        <f t="shared" si="0"/>
        <v>0</v>
      </c>
      <c r="W85" s="74">
        <f>IF(H85="ja",X85,0)</f>
        <v>0</v>
      </c>
      <c r="X85" s="74">
        <v>5.5E-2</v>
      </c>
      <c r="AB85" s="72">
        <f t="shared" si="1"/>
        <v>0</v>
      </c>
      <c r="AI85" s="192"/>
      <c r="AJ85" s="192"/>
      <c r="AK85" s="68"/>
      <c r="AL85" s="68"/>
      <c r="AM85" s="68"/>
      <c r="AN85" s="68"/>
      <c r="AO85" s="68"/>
      <c r="AP85" s="68"/>
    </row>
    <row r="86" spans="1:42" ht="14.25" customHeight="1" thickBot="1" x14ac:dyDescent="0.3">
      <c r="A86" s="1864"/>
      <c r="B86" s="1072"/>
      <c r="C86" s="913"/>
      <c r="D86" s="913"/>
      <c r="E86" s="913"/>
      <c r="F86" s="913"/>
      <c r="G86" s="1073"/>
      <c r="H86" s="982"/>
      <c r="I86" s="1017"/>
      <c r="J86" s="1046"/>
      <c r="K86" s="1047"/>
      <c r="L86" s="1288"/>
      <c r="M86" s="1289"/>
      <c r="N86" s="1289"/>
      <c r="O86" s="1289"/>
      <c r="P86" s="1290"/>
      <c r="Q86" s="982"/>
      <c r="R86" s="1813"/>
      <c r="S86" s="1008"/>
      <c r="T86" s="1258"/>
      <c r="U86" s="1337"/>
      <c r="V86" s="72">
        <f t="shared" si="0"/>
        <v>0</v>
      </c>
      <c r="W86" s="74"/>
      <c r="X86" s="74"/>
      <c r="AB86" s="72">
        <f t="shared" si="1"/>
        <v>0</v>
      </c>
      <c r="AI86" s="192"/>
      <c r="AJ86" s="192"/>
      <c r="AK86" s="68"/>
      <c r="AL86" s="68"/>
      <c r="AM86" s="68"/>
      <c r="AN86" s="68"/>
      <c r="AO86" s="68"/>
      <c r="AP86" s="68"/>
    </row>
    <row r="87" spans="1:42" ht="14.25" customHeight="1" thickBot="1" x14ac:dyDescent="0.3">
      <c r="A87" s="1864"/>
      <c r="B87" s="1072"/>
      <c r="C87" s="913"/>
      <c r="D87" s="913"/>
      <c r="E87" s="913"/>
      <c r="F87" s="913"/>
      <c r="G87" s="1073"/>
      <c r="H87" s="982"/>
      <c r="I87" s="1017"/>
      <c r="J87" s="1046"/>
      <c r="K87" s="1047"/>
      <c r="L87" s="1288"/>
      <c r="M87" s="1289"/>
      <c r="N87" s="1289"/>
      <c r="O87" s="1289"/>
      <c r="P87" s="1290"/>
      <c r="Q87" s="982"/>
      <c r="R87" s="1813"/>
      <c r="S87" s="1008"/>
      <c r="T87" s="1258"/>
      <c r="U87" s="1337"/>
      <c r="V87" s="72">
        <f t="shared" si="0"/>
        <v>0</v>
      </c>
      <c r="W87" s="74"/>
      <c r="X87" s="74"/>
      <c r="AB87" s="72">
        <f t="shared" si="1"/>
        <v>0</v>
      </c>
      <c r="AI87" s="192"/>
      <c r="AJ87" s="192"/>
      <c r="AK87" s="68"/>
      <c r="AL87" s="68"/>
      <c r="AM87" s="68"/>
      <c r="AN87" s="68"/>
      <c r="AO87" s="68"/>
      <c r="AP87" s="68"/>
    </row>
    <row r="88" spans="1:42" ht="14.25" customHeight="1" thickBot="1" x14ac:dyDescent="0.3">
      <c r="A88" s="1864"/>
      <c r="B88" s="1072"/>
      <c r="C88" s="913"/>
      <c r="D88" s="913"/>
      <c r="E88" s="913"/>
      <c r="F88" s="913"/>
      <c r="G88" s="1073"/>
      <c r="H88" s="982"/>
      <c r="I88" s="1017"/>
      <c r="J88" s="1046"/>
      <c r="K88" s="1047"/>
      <c r="L88" s="1291"/>
      <c r="M88" s="1292"/>
      <c r="N88" s="1292"/>
      <c r="O88" s="1292"/>
      <c r="P88" s="1293"/>
      <c r="Q88" s="982"/>
      <c r="R88" s="1813"/>
      <c r="S88" s="1008"/>
      <c r="T88" s="1258"/>
      <c r="U88" s="1337"/>
      <c r="V88" s="72">
        <f t="shared" si="0"/>
        <v>0</v>
      </c>
      <c r="W88" s="74"/>
      <c r="X88" s="74"/>
      <c r="AB88" s="72">
        <f t="shared" si="1"/>
        <v>0</v>
      </c>
      <c r="AI88" s="192"/>
      <c r="AJ88" s="192"/>
      <c r="AK88" s="68"/>
      <c r="AL88" s="68"/>
      <c r="AM88" s="68"/>
      <c r="AN88" s="68"/>
      <c r="AO88" s="68"/>
      <c r="AP88" s="68"/>
    </row>
    <row r="89" spans="1:42" ht="14.25" customHeight="1" thickBot="1" x14ac:dyDescent="0.3">
      <c r="A89" s="1864"/>
      <c r="B89" s="1072"/>
      <c r="C89" s="913"/>
      <c r="D89" s="913"/>
      <c r="E89" s="913"/>
      <c r="F89" s="913"/>
      <c r="G89" s="1073"/>
      <c r="H89" s="982"/>
      <c r="I89" s="1017"/>
      <c r="J89" s="1046"/>
      <c r="K89" s="1047"/>
      <c r="L89" s="1288" t="s">
        <v>614</v>
      </c>
      <c r="M89" s="1289"/>
      <c r="N89" s="1289"/>
      <c r="O89" s="1289"/>
      <c r="P89" s="1290"/>
      <c r="Q89" s="982"/>
      <c r="R89" s="1813"/>
      <c r="S89" s="1008"/>
      <c r="T89" s="1258"/>
      <c r="U89" s="1337"/>
      <c r="V89" s="72">
        <f t="shared" si="0"/>
        <v>0</v>
      </c>
      <c r="W89" s="74"/>
      <c r="X89" s="74"/>
      <c r="AB89" s="72">
        <f t="shared" si="1"/>
        <v>0</v>
      </c>
      <c r="AI89" s="192"/>
      <c r="AJ89" s="192"/>
      <c r="AK89" s="68"/>
      <c r="AL89" s="68"/>
      <c r="AM89" s="68"/>
      <c r="AN89" s="68"/>
      <c r="AO89" s="68"/>
      <c r="AP89" s="68"/>
    </row>
    <row r="90" spans="1:42" ht="14.25" customHeight="1" thickBot="1" x14ac:dyDescent="0.3">
      <c r="A90" s="1864"/>
      <c r="B90" s="1074"/>
      <c r="C90" s="1075"/>
      <c r="D90" s="1075"/>
      <c r="E90" s="1075"/>
      <c r="F90" s="1075"/>
      <c r="G90" s="1076"/>
      <c r="H90" s="983"/>
      <c r="I90" s="1017"/>
      <c r="J90" s="1046"/>
      <c r="K90" s="1047"/>
      <c r="L90" s="1291"/>
      <c r="M90" s="1292"/>
      <c r="N90" s="1292"/>
      <c r="O90" s="1292"/>
      <c r="P90" s="1293"/>
      <c r="Q90" s="982"/>
      <c r="R90" s="1813"/>
      <c r="S90" s="1008"/>
      <c r="T90" s="1258"/>
      <c r="U90" s="1337"/>
      <c r="V90" s="72">
        <f t="shared" si="0"/>
        <v>0</v>
      </c>
      <c r="W90" s="74"/>
      <c r="X90" s="74"/>
      <c r="AB90" s="72">
        <f t="shared" si="1"/>
        <v>0</v>
      </c>
      <c r="AI90" s="192"/>
      <c r="AJ90" s="192"/>
      <c r="AK90" s="68"/>
      <c r="AL90" s="68"/>
      <c r="AM90" s="68"/>
      <c r="AN90" s="68"/>
      <c r="AO90" s="68"/>
      <c r="AP90" s="68"/>
    </row>
    <row r="91" spans="1:42" ht="14.25" customHeight="1" thickBot="1" x14ac:dyDescent="0.3">
      <c r="A91" s="1864"/>
      <c r="B91" s="1077" t="s">
        <v>615</v>
      </c>
      <c r="C91" s="1078"/>
      <c r="D91" s="1078"/>
      <c r="E91" s="1078"/>
      <c r="F91" s="1078"/>
      <c r="G91" s="1078"/>
      <c r="H91" s="981" t="s">
        <v>100</v>
      </c>
      <c r="I91" s="1017"/>
      <c r="J91" s="1046"/>
      <c r="K91" s="1047"/>
      <c r="L91" s="1873" t="s">
        <v>599</v>
      </c>
      <c r="M91" s="1874"/>
      <c r="N91" s="1874"/>
      <c r="O91" s="1874"/>
      <c r="P91" s="1875"/>
      <c r="Q91" s="982"/>
      <c r="R91" s="1813"/>
      <c r="S91" s="1008"/>
      <c r="T91" s="1258"/>
      <c r="U91" s="1337"/>
      <c r="V91" s="72">
        <f t="shared" si="0"/>
        <v>0</v>
      </c>
      <c r="W91" s="74">
        <f>IF(H91="ja",X91,0)</f>
        <v>0</v>
      </c>
      <c r="X91" s="74">
        <v>0.01</v>
      </c>
      <c r="AB91" s="72">
        <f t="shared" si="1"/>
        <v>0</v>
      </c>
      <c r="AI91" s="192"/>
      <c r="AJ91" s="192"/>
      <c r="AK91" s="68"/>
      <c r="AL91" s="68"/>
      <c r="AM91" s="68"/>
      <c r="AN91" s="68"/>
      <c r="AO91" s="68"/>
      <c r="AP91" s="68"/>
    </row>
    <row r="92" spans="1:42" ht="14.25" customHeight="1" thickBot="1" x14ac:dyDescent="0.3">
      <c r="A92" s="1864"/>
      <c r="B92" s="1072"/>
      <c r="C92" s="913"/>
      <c r="D92" s="913"/>
      <c r="E92" s="913"/>
      <c r="F92" s="913"/>
      <c r="G92" s="913"/>
      <c r="H92" s="982"/>
      <c r="I92" s="1017"/>
      <c r="J92" s="1046"/>
      <c r="K92" s="1047"/>
      <c r="L92" s="1177"/>
      <c r="M92" s="1178"/>
      <c r="N92" s="1178"/>
      <c r="O92" s="1178"/>
      <c r="P92" s="1179"/>
      <c r="Q92" s="982"/>
      <c r="R92" s="1814"/>
      <c r="S92" s="1270"/>
      <c r="T92" s="1258"/>
      <c r="U92" s="1337"/>
      <c r="V92" s="72">
        <f t="shared" si="0"/>
        <v>0</v>
      </c>
      <c r="W92" s="74"/>
      <c r="X92" s="74"/>
      <c r="AB92" s="72">
        <f t="shared" si="1"/>
        <v>0</v>
      </c>
      <c r="AI92" s="192"/>
      <c r="AJ92" s="192"/>
      <c r="AK92" s="68"/>
      <c r="AL92" s="68"/>
      <c r="AM92" s="68"/>
      <c r="AN92" s="68"/>
      <c r="AO92" s="68"/>
      <c r="AP92" s="68"/>
    </row>
    <row r="93" spans="1:42" ht="14.25" customHeight="1" thickBot="1" x14ac:dyDescent="0.3">
      <c r="A93" s="1864"/>
      <c r="B93" s="1074"/>
      <c r="C93" s="1075"/>
      <c r="D93" s="1075"/>
      <c r="E93" s="1075"/>
      <c r="F93" s="1075"/>
      <c r="G93" s="1075"/>
      <c r="H93" s="983"/>
      <c r="I93" s="1017"/>
      <c r="J93" s="1046"/>
      <c r="K93" s="1047"/>
      <c r="L93" s="1484" t="s">
        <v>616</v>
      </c>
      <c r="M93" s="1485"/>
      <c r="N93" s="1485"/>
      <c r="O93" s="1485"/>
      <c r="P93" s="1486"/>
      <c r="Q93" s="1013" t="s">
        <v>100</v>
      </c>
      <c r="R93" s="1812"/>
      <c r="S93" s="1006"/>
      <c r="T93" s="1258"/>
      <c r="U93" s="1337"/>
      <c r="V93" s="72">
        <f t="shared" si="0"/>
        <v>0</v>
      </c>
      <c r="W93" s="74"/>
      <c r="X93" s="74"/>
      <c r="AB93" s="72">
        <f t="shared" si="1"/>
        <v>0</v>
      </c>
      <c r="AI93" s="192"/>
      <c r="AJ93" s="192"/>
      <c r="AK93" s="68"/>
      <c r="AL93" s="68"/>
      <c r="AM93" s="68"/>
      <c r="AN93" s="68"/>
      <c r="AO93" s="68"/>
      <c r="AP93" s="68"/>
    </row>
    <row r="94" spans="1:42" ht="14.25" customHeight="1" thickBot="1" x14ac:dyDescent="0.3">
      <c r="A94" s="1864"/>
      <c r="B94" s="1092" t="s">
        <v>617</v>
      </c>
      <c r="C94" s="1093"/>
      <c r="D94" s="1093"/>
      <c r="E94" s="1093"/>
      <c r="F94" s="1093"/>
      <c r="G94" s="1094"/>
      <c r="H94" s="986" t="s">
        <v>100</v>
      </c>
      <c r="I94" s="1017"/>
      <c r="J94" s="1046"/>
      <c r="K94" s="1047"/>
      <c r="L94" s="1291"/>
      <c r="M94" s="1292"/>
      <c r="N94" s="1292"/>
      <c r="O94" s="1292"/>
      <c r="P94" s="1293"/>
      <c r="Q94" s="1013"/>
      <c r="R94" s="1813"/>
      <c r="S94" s="1008"/>
      <c r="T94" s="1258"/>
      <c r="U94" s="1337"/>
      <c r="V94" s="72">
        <f t="shared" si="0"/>
        <v>0</v>
      </c>
      <c r="W94" s="74">
        <f>IF(H94="ja",X94,0)</f>
        <v>0</v>
      </c>
      <c r="X94" s="74">
        <v>1.4999999999999999E-2</v>
      </c>
      <c r="AB94" s="72">
        <f t="shared" si="1"/>
        <v>0</v>
      </c>
      <c r="AI94" s="192"/>
      <c r="AJ94" s="192"/>
      <c r="AK94" s="68"/>
      <c r="AL94" s="68"/>
      <c r="AM94" s="68"/>
      <c r="AN94" s="68"/>
      <c r="AO94" s="68"/>
      <c r="AP94" s="68"/>
    </row>
    <row r="95" spans="1:42" ht="14.25" customHeight="1" thickBot="1" x14ac:dyDescent="0.3">
      <c r="A95" s="1864"/>
      <c r="B95" s="1095"/>
      <c r="C95" s="1096"/>
      <c r="D95" s="1096"/>
      <c r="E95" s="1096"/>
      <c r="F95" s="1096"/>
      <c r="G95" s="1097"/>
      <c r="H95" s="986"/>
      <c r="I95" s="1017"/>
      <c r="J95" s="1046"/>
      <c r="K95" s="1047"/>
      <c r="L95" s="1291" t="s">
        <v>618</v>
      </c>
      <c r="M95" s="1292"/>
      <c r="N95" s="1292"/>
      <c r="O95" s="1292"/>
      <c r="P95" s="1293"/>
      <c r="Q95" s="1013"/>
      <c r="R95" s="1814"/>
      <c r="S95" s="1270"/>
      <c r="T95" s="1258"/>
      <c r="U95" s="1337"/>
      <c r="V95" s="72">
        <f t="shared" si="0"/>
        <v>0</v>
      </c>
      <c r="W95" s="74"/>
      <c r="X95" s="74"/>
      <c r="AB95" s="72">
        <f t="shared" si="1"/>
        <v>0</v>
      </c>
      <c r="AI95" s="68"/>
      <c r="AJ95" s="68"/>
      <c r="AK95" s="68"/>
      <c r="AL95" s="68"/>
      <c r="AM95" s="68"/>
      <c r="AN95" s="68"/>
      <c r="AO95" s="68"/>
      <c r="AP95" s="68"/>
    </row>
    <row r="96" spans="1:42" ht="14.25" customHeight="1" thickBot="1" x14ac:dyDescent="0.3">
      <c r="A96" s="1864"/>
      <c r="B96" s="1089" t="s">
        <v>619</v>
      </c>
      <c r="C96" s="1090"/>
      <c r="D96" s="1090"/>
      <c r="E96" s="1090"/>
      <c r="F96" s="1090"/>
      <c r="G96" s="1091"/>
      <c r="H96" s="316" t="s">
        <v>100</v>
      </c>
      <c r="I96" s="1017"/>
      <c r="J96" s="1046"/>
      <c r="K96" s="1047"/>
      <c r="L96" s="1484" t="s">
        <v>620</v>
      </c>
      <c r="M96" s="1485"/>
      <c r="N96" s="1485"/>
      <c r="O96" s="1485"/>
      <c r="P96" s="1486"/>
      <c r="Q96" s="1013" t="s">
        <v>100</v>
      </c>
      <c r="R96" s="1821"/>
      <c r="S96" s="1725"/>
      <c r="T96" s="1258"/>
      <c r="U96" s="1337"/>
      <c r="V96" s="72">
        <f t="shared" si="0"/>
        <v>0</v>
      </c>
      <c r="W96" s="74">
        <f>IF(H96="ja",X96,0)</f>
        <v>0</v>
      </c>
      <c r="X96" s="74">
        <v>2.5000000000000001E-3</v>
      </c>
      <c r="AB96" s="72">
        <f t="shared" si="1"/>
        <v>0</v>
      </c>
      <c r="AI96" s="192"/>
      <c r="AJ96" s="192"/>
      <c r="AK96" s="68"/>
      <c r="AL96" s="68"/>
      <c r="AM96" s="68"/>
      <c r="AN96" s="68"/>
      <c r="AO96" s="68"/>
      <c r="AP96" s="68"/>
    </row>
    <row r="97" spans="1:42" ht="14.25" customHeight="1" thickBot="1" x14ac:dyDescent="0.3">
      <c r="A97" s="1864"/>
      <c r="B97" s="1092" t="s">
        <v>621</v>
      </c>
      <c r="C97" s="1093"/>
      <c r="D97" s="1093"/>
      <c r="E97" s="1093"/>
      <c r="F97" s="1093"/>
      <c r="G97" s="1094"/>
      <c r="H97" s="986" t="s">
        <v>100</v>
      </c>
      <c r="I97" s="1017"/>
      <c r="J97" s="1046"/>
      <c r="K97" s="1047"/>
      <c r="L97" s="1288"/>
      <c r="M97" s="1289"/>
      <c r="N97" s="1289"/>
      <c r="O97" s="1289"/>
      <c r="P97" s="1290"/>
      <c r="Q97" s="1013"/>
      <c r="R97" s="1821"/>
      <c r="S97" s="1725"/>
      <c r="T97" s="1258"/>
      <c r="U97" s="1337"/>
      <c r="V97" s="72">
        <f t="shared" si="0"/>
        <v>0</v>
      </c>
      <c r="W97" s="74">
        <f>IF(H97="ja",X97,0)</f>
        <v>0</v>
      </c>
      <c r="X97" s="74">
        <v>5.0000000000000001E-3</v>
      </c>
      <c r="AB97" s="72">
        <f t="shared" si="1"/>
        <v>0</v>
      </c>
      <c r="AI97" s="192"/>
      <c r="AJ97" s="192"/>
      <c r="AK97" s="68"/>
      <c r="AL97" s="68"/>
      <c r="AM97" s="68"/>
      <c r="AN97" s="68"/>
      <c r="AO97" s="68"/>
      <c r="AP97" s="68"/>
    </row>
    <row r="98" spans="1:42" ht="27.8" customHeight="1" thickBot="1" x14ac:dyDescent="0.3">
      <c r="A98" s="1864"/>
      <c r="B98" s="1109"/>
      <c r="C98" s="1110"/>
      <c r="D98" s="1110"/>
      <c r="E98" s="1110"/>
      <c r="F98" s="1110"/>
      <c r="G98" s="1111"/>
      <c r="H98" s="1015"/>
      <c r="I98" s="1018"/>
      <c r="J98" s="1048"/>
      <c r="K98" s="1049"/>
      <c r="L98" s="1369" t="s">
        <v>622</v>
      </c>
      <c r="M98" s="1370"/>
      <c r="N98" s="1370"/>
      <c r="O98" s="1370"/>
      <c r="P98" s="1370"/>
      <c r="Q98" s="312" t="s">
        <v>100</v>
      </c>
      <c r="R98" s="1843"/>
      <c r="S98" s="973"/>
      <c r="T98" s="1259"/>
      <c r="U98" s="1337"/>
      <c r="V98" s="72">
        <f t="shared" si="0"/>
        <v>0</v>
      </c>
      <c r="X98" s="74"/>
      <c r="AB98" s="72">
        <f t="shared" si="1"/>
        <v>0</v>
      </c>
      <c r="AI98" s="68"/>
      <c r="AJ98" s="68"/>
      <c r="AK98" s="68"/>
      <c r="AL98" s="68"/>
      <c r="AM98" s="68"/>
      <c r="AN98" s="68"/>
      <c r="AO98" s="68"/>
      <c r="AP98" s="68"/>
    </row>
    <row r="99" spans="1:42" ht="14.25" customHeight="1" x14ac:dyDescent="0.25">
      <c r="A99" s="1864"/>
      <c r="B99" s="1035" t="s">
        <v>154</v>
      </c>
      <c r="C99" s="1036"/>
      <c r="D99" s="1036"/>
      <c r="E99" s="1036"/>
      <c r="F99" s="1036"/>
      <c r="G99" s="1036"/>
      <c r="H99" s="1161"/>
      <c r="I99" s="1035">
        <f>IF(N17="Kostenberechnung liegt noch nicht vor",I72,N17)</f>
        <v>0</v>
      </c>
      <c r="J99" s="1036"/>
      <c r="K99" s="1037"/>
      <c r="L99" s="1355">
        <f>SUM(R76:S98)</f>
        <v>0</v>
      </c>
      <c r="M99" s="1356"/>
      <c r="N99" s="1356"/>
      <c r="O99" s="1356"/>
      <c r="P99" s="1356"/>
      <c r="Q99" s="1356"/>
      <c r="R99" s="1356"/>
      <c r="S99" s="1798"/>
      <c r="T99" s="1260"/>
      <c r="U99" s="1257"/>
      <c r="V99" s="72">
        <f t="shared" si="0"/>
        <v>0</v>
      </c>
      <c r="X99" s="75">
        <f>SUM(W75:W98)</f>
        <v>0</v>
      </c>
      <c r="Y99" s="75"/>
      <c r="AB99" s="72">
        <f t="shared" si="1"/>
        <v>0</v>
      </c>
      <c r="AD99" s="68"/>
      <c r="AE99" s="68"/>
      <c r="AF99" s="68"/>
    </row>
    <row r="100" spans="1:42" ht="14.25" customHeight="1" x14ac:dyDescent="0.25">
      <c r="A100" s="1864"/>
      <c r="B100" s="1038"/>
      <c r="C100" s="1039"/>
      <c r="D100" s="1039"/>
      <c r="E100" s="1039"/>
      <c r="F100" s="1039"/>
      <c r="G100" s="1039"/>
      <c r="H100" s="1162"/>
      <c r="I100" s="1038"/>
      <c r="J100" s="1039"/>
      <c r="K100" s="1040"/>
      <c r="L100" s="1357"/>
      <c r="M100" s="1358"/>
      <c r="N100" s="1358"/>
      <c r="O100" s="1358"/>
      <c r="P100" s="1358"/>
      <c r="Q100" s="1358"/>
      <c r="R100" s="1358"/>
      <c r="S100" s="1799"/>
      <c r="T100" s="1261"/>
      <c r="U100" s="1258"/>
      <c r="V100" s="72">
        <f t="shared" si="0"/>
        <v>0</v>
      </c>
      <c r="W100" s="76"/>
      <c r="X100" s="74"/>
      <c r="AB100" s="72">
        <f t="shared" si="1"/>
        <v>0</v>
      </c>
      <c r="AD100" s="68"/>
      <c r="AE100" s="68"/>
      <c r="AF100" s="68"/>
      <c r="AN100" s="68"/>
    </row>
    <row r="101" spans="1:42" ht="14.25" customHeight="1" thickBot="1" x14ac:dyDescent="0.3">
      <c r="A101" s="1864"/>
      <c r="B101" s="1041"/>
      <c r="C101" s="1042"/>
      <c r="D101" s="1042"/>
      <c r="E101" s="1042"/>
      <c r="F101" s="1042"/>
      <c r="G101" s="1042"/>
      <c r="H101" s="1163"/>
      <c r="I101" s="1041"/>
      <c r="J101" s="1042"/>
      <c r="K101" s="1043"/>
      <c r="L101" s="1359"/>
      <c r="M101" s="1360"/>
      <c r="N101" s="1360"/>
      <c r="O101" s="1360"/>
      <c r="P101" s="1360"/>
      <c r="Q101" s="1360"/>
      <c r="R101" s="1360"/>
      <c r="S101" s="1800"/>
      <c r="T101" s="1262"/>
      <c r="U101" s="1259"/>
      <c r="V101" s="72">
        <f t="shared" si="0"/>
        <v>0</v>
      </c>
      <c r="W101" s="76"/>
      <c r="X101" s="74"/>
      <c r="AB101" s="72">
        <f t="shared" si="1"/>
        <v>0</v>
      </c>
      <c r="AD101" s="68"/>
      <c r="AE101" s="68"/>
      <c r="AF101" s="68"/>
      <c r="AN101" s="68"/>
    </row>
    <row r="102" spans="1:42" ht="14.25" customHeight="1" thickBot="1" x14ac:dyDescent="0.3">
      <c r="A102" s="1864"/>
      <c r="B102" s="1082" t="s">
        <v>198</v>
      </c>
      <c r="C102" s="1083"/>
      <c r="D102" s="1083"/>
      <c r="E102" s="1083"/>
      <c r="F102" s="1083"/>
      <c r="G102" s="1084"/>
      <c r="H102" s="144"/>
      <c r="I102" s="1361"/>
      <c r="J102" s="1362"/>
      <c r="K102" s="1576"/>
      <c r="L102" s="1361"/>
      <c r="M102" s="1362"/>
      <c r="N102" s="1362"/>
      <c r="O102" s="1362"/>
      <c r="P102" s="1362"/>
      <c r="Q102" s="1362"/>
      <c r="R102" s="1362"/>
      <c r="S102" s="1576"/>
      <c r="T102" s="524"/>
      <c r="U102" s="335" t="s">
        <v>157</v>
      </c>
      <c r="V102" s="72">
        <f t="shared" ref="V102:V165" si="2">IF(AND(Q102="ja",R102=""),1,0)</f>
        <v>0</v>
      </c>
      <c r="W102" s="77"/>
      <c r="X102" s="74"/>
      <c r="Y102" s="150"/>
      <c r="Z102" s="150"/>
      <c r="AB102" s="72">
        <f t="shared" ref="AB102:AB165" si="3">IF(Q102="ja",1,0)</f>
        <v>0</v>
      </c>
      <c r="AD102" s="68"/>
      <c r="AE102" s="68"/>
      <c r="AF102" s="68"/>
      <c r="AN102" s="68"/>
    </row>
    <row r="103" spans="1:42" ht="14.25" customHeight="1" thickBot="1" x14ac:dyDescent="0.3">
      <c r="A103" s="1864"/>
      <c r="B103" s="1394" t="s">
        <v>200</v>
      </c>
      <c r="C103" s="1395"/>
      <c r="D103" s="1395"/>
      <c r="E103" s="1395"/>
      <c r="F103" s="1395"/>
      <c r="G103" s="1396"/>
      <c r="H103" s="1194" t="s">
        <v>100</v>
      </c>
      <c r="I103" s="1016">
        <f>W120</f>
        <v>0</v>
      </c>
      <c r="J103" s="1044">
        <f>I103*$I$99</f>
        <v>0</v>
      </c>
      <c r="K103" s="1045"/>
      <c r="L103" s="1901" t="s">
        <v>623</v>
      </c>
      <c r="M103" s="1902"/>
      <c r="N103" s="1902"/>
      <c r="O103" s="1902"/>
      <c r="P103" s="1903"/>
      <c r="Q103" s="1013" t="s">
        <v>100</v>
      </c>
      <c r="R103" s="1821"/>
      <c r="S103" s="1725"/>
      <c r="T103" s="1257" t="str">
        <f>IFERROR(IF((VLOOKUP(U103,Überblick!$M$125:$N$133,2))="ja","ja","nein"),"")</f>
        <v/>
      </c>
      <c r="U103" s="1337"/>
      <c r="V103" s="72">
        <f t="shared" si="2"/>
        <v>0</v>
      </c>
      <c r="W103" s="74">
        <f>IF(H103="ja",X103,0)</f>
        <v>0</v>
      </c>
      <c r="X103" s="74">
        <v>3.6499999999999998E-2</v>
      </c>
      <c r="Z103" s="77"/>
      <c r="AB103" s="72">
        <f t="shared" si="3"/>
        <v>0</v>
      </c>
      <c r="AD103" s="68"/>
      <c r="AE103" s="68"/>
      <c r="AF103" s="68"/>
      <c r="AN103" s="193"/>
    </row>
    <row r="104" spans="1:42" ht="14.25" customHeight="1" thickBot="1" x14ac:dyDescent="0.3">
      <c r="A104" s="1864"/>
      <c r="B104" s="1103"/>
      <c r="C104" s="1104"/>
      <c r="D104" s="1104"/>
      <c r="E104" s="1104"/>
      <c r="F104" s="1104"/>
      <c r="G104" s="1105"/>
      <c r="H104" s="982"/>
      <c r="I104" s="1017"/>
      <c r="J104" s="1046"/>
      <c r="K104" s="1047"/>
      <c r="L104" s="1809"/>
      <c r="M104" s="1810"/>
      <c r="N104" s="1810"/>
      <c r="O104" s="1810"/>
      <c r="P104" s="1811"/>
      <c r="Q104" s="1013"/>
      <c r="R104" s="1821"/>
      <c r="S104" s="1725"/>
      <c r="T104" s="1258"/>
      <c r="U104" s="1337"/>
      <c r="V104" s="72">
        <f t="shared" si="2"/>
        <v>0</v>
      </c>
      <c r="W104" s="76"/>
      <c r="X104" s="74"/>
      <c r="AB104" s="72">
        <f t="shared" si="3"/>
        <v>0</v>
      </c>
      <c r="AF104" s="68"/>
      <c r="AN104" s="192"/>
    </row>
    <row r="105" spans="1:42" ht="14.25" customHeight="1" thickBot="1" x14ac:dyDescent="0.3">
      <c r="A105" s="1864"/>
      <c r="B105" s="1103"/>
      <c r="C105" s="1104"/>
      <c r="D105" s="1104"/>
      <c r="E105" s="1104"/>
      <c r="F105" s="1104"/>
      <c r="G105" s="1105"/>
      <c r="H105" s="982"/>
      <c r="I105" s="1017"/>
      <c r="J105" s="1046"/>
      <c r="K105" s="1047"/>
      <c r="L105" s="1809" t="s">
        <v>624</v>
      </c>
      <c r="M105" s="1810"/>
      <c r="N105" s="1810"/>
      <c r="O105" s="1810"/>
      <c r="P105" s="1811"/>
      <c r="Q105" s="1013" t="s">
        <v>100</v>
      </c>
      <c r="R105" s="1812"/>
      <c r="S105" s="1006"/>
      <c r="T105" s="1258"/>
      <c r="U105" s="1337"/>
      <c r="V105" s="72">
        <f t="shared" si="2"/>
        <v>0</v>
      </c>
      <c r="W105" s="76"/>
      <c r="X105" s="74"/>
      <c r="AB105" s="72">
        <f t="shared" si="3"/>
        <v>0</v>
      </c>
      <c r="AF105" s="68"/>
      <c r="AN105" s="68"/>
    </row>
    <row r="106" spans="1:42" ht="14.25" customHeight="1" thickBot="1" x14ac:dyDescent="0.3">
      <c r="A106" s="1864"/>
      <c r="B106" s="1103"/>
      <c r="C106" s="1104"/>
      <c r="D106" s="1104"/>
      <c r="E106" s="1104"/>
      <c r="F106" s="1104"/>
      <c r="G106" s="1105"/>
      <c r="H106" s="982"/>
      <c r="I106" s="1017"/>
      <c r="J106" s="1046"/>
      <c r="K106" s="1047"/>
      <c r="L106" s="1809"/>
      <c r="M106" s="1810"/>
      <c r="N106" s="1810"/>
      <c r="O106" s="1810"/>
      <c r="P106" s="1811"/>
      <c r="Q106" s="1013"/>
      <c r="R106" s="1813"/>
      <c r="S106" s="1008"/>
      <c r="T106" s="1258"/>
      <c r="U106" s="1337"/>
      <c r="V106" s="72">
        <f t="shared" si="2"/>
        <v>0</v>
      </c>
      <c r="W106" s="76"/>
      <c r="X106" s="74"/>
      <c r="AB106" s="72">
        <f t="shared" si="3"/>
        <v>0</v>
      </c>
      <c r="AF106" s="68"/>
      <c r="AN106" s="68"/>
    </row>
    <row r="107" spans="1:42" ht="14.25" customHeight="1" thickBot="1" x14ac:dyDescent="0.3">
      <c r="A107" s="1864"/>
      <c r="B107" s="1103"/>
      <c r="C107" s="1104"/>
      <c r="D107" s="1104"/>
      <c r="E107" s="1104"/>
      <c r="F107" s="1104"/>
      <c r="G107" s="1105"/>
      <c r="H107" s="982"/>
      <c r="I107" s="1017"/>
      <c r="J107" s="1046"/>
      <c r="K107" s="1047"/>
      <c r="L107" s="1809"/>
      <c r="M107" s="1810"/>
      <c r="N107" s="1810"/>
      <c r="O107" s="1810"/>
      <c r="P107" s="1811"/>
      <c r="Q107" s="1013"/>
      <c r="R107" s="1814"/>
      <c r="S107" s="1270"/>
      <c r="T107" s="1258"/>
      <c r="U107" s="1337"/>
      <c r="V107" s="72">
        <f t="shared" si="2"/>
        <v>0</v>
      </c>
      <c r="W107" s="76"/>
      <c r="X107" s="74"/>
      <c r="AB107" s="72">
        <f t="shared" si="3"/>
        <v>0</v>
      </c>
      <c r="AF107" s="68"/>
      <c r="AN107" s="68"/>
    </row>
    <row r="108" spans="1:42" ht="14.25" customHeight="1" thickBot="1" x14ac:dyDescent="0.3">
      <c r="A108" s="1864"/>
      <c r="B108" s="1103"/>
      <c r="C108" s="1104"/>
      <c r="D108" s="1104"/>
      <c r="E108" s="1104"/>
      <c r="F108" s="1104"/>
      <c r="G108" s="1105"/>
      <c r="H108" s="982"/>
      <c r="I108" s="1017"/>
      <c r="J108" s="1046"/>
      <c r="K108" s="1047"/>
      <c r="L108" s="1809" t="s">
        <v>625</v>
      </c>
      <c r="M108" s="1810"/>
      <c r="N108" s="1810"/>
      <c r="O108" s="1810"/>
      <c r="P108" s="1811"/>
      <c r="Q108" s="1013" t="s">
        <v>100</v>
      </c>
      <c r="R108" s="1812"/>
      <c r="S108" s="1006"/>
      <c r="T108" s="1258"/>
      <c r="U108" s="1337"/>
      <c r="V108" s="72">
        <f t="shared" si="2"/>
        <v>0</v>
      </c>
      <c r="W108" s="76"/>
      <c r="X108" s="74"/>
      <c r="AB108" s="72">
        <f t="shared" si="3"/>
        <v>0</v>
      </c>
      <c r="AF108" s="68"/>
      <c r="AN108" s="192"/>
    </row>
    <row r="109" spans="1:42" ht="14.25" customHeight="1" thickBot="1" x14ac:dyDescent="0.3">
      <c r="A109" s="1864"/>
      <c r="B109" s="1103"/>
      <c r="C109" s="1104"/>
      <c r="D109" s="1104"/>
      <c r="E109" s="1104"/>
      <c r="F109" s="1104"/>
      <c r="G109" s="1105"/>
      <c r="H109" s="982"/>
      <c r="I109" s="1017"/>
      <c r="J109" s="1046"/>
      <c r="K109" s="1047"/>
      <c r="L109" s="1809"/>
      <c r="M109" s="1810"/>
      <c r="N109" s="1810"/>
      <c r="O109" s="1810"/>
      <c r="P109" s="1811"/>
      <c r="Q109" s="1013"/>
      <c r="R109" s="1813"/>
      <c r="S109" s="1008"/>
      <c r="T109" s="1258"/>
      <c r="U109" s="1337"/>
      <c r="V109" s="72">
        <f t="shared" si="2"/>
        <v>0</v>
      </c>
      <c r="W109" s="74"/>
      <c r="X109" s="74"/>
      <c r="Z109" s="77"/>
      <c r="AB109" s="72">
        <f t="shared" si="3"/>
        <v>0</v>
      </c>
      <c r="AF109" s="68"/>
      <c r="AN109" s="68"/>
    </row>
    <row r="110" spans="1:42" ht="14.25" customHeight="1" thickBot="1" x14ac:dyDescent="0.3">
      <c r="A110" s="1864"/>
      <c r="B110" s="1103"/>
      <c r="C110" s="1104"/>
      <c r="D110" s="1104"/>
      <c r="E110" s="1104"/>
      <c r="F110" s="1104"/>
      <c r="G110" s="1105"/>
      <c r="H110" s="983"/>
      <c r="I110" s="1017"/>
      <c r="J110" s="1046"/>
      <c r="K110" s="1047"/>
      <c r="L110" s="1809"/>
      <c r="M110" s="1810"/>
      <c r="N110" s="1810"/>
      <c r="O110" s="1810"/>
      <c r="P110" s="1811"/>
      <c r="Q110" s="1013"/>
      <c r="R110" s="1814"/>
      <c r="S110" s="1270"/>
      <c r="T110" s="1258"/>
      <c r="U110" s="1337"/>
      <c r="V110" s="72">
        <f t="shared" si="2"/>
        <v>0</v>
      </c>
      <c r="W110" s="74"/>
      <c r="X110" s="74"/>
      <c r="Z110" s="77"/>
      <c r="AB110" s="72">
        <f t="shared" si="3"/>
        <v>0</v>
      </c>
      <c r="AF110" s="68"/>
      <c r="AN110" s="192"/>
    </row>
    <row r="111" spans="1:42" ht="14.25" customHeight="1" thickBot="1" x14ac:dyDescent="0.3">
      <c r="A111" s="1864"/>
      <c r="B111" s="1187" t="s">
        <v>202</v>
      </c>
      <c r="C111" s="1188"/>
      <c r="D111" s="1188"/>
      <c r="E111" s="1188"/>
      <c r="F111" s="1188"/>
      <c r="G111" s="1189"/>
      <c r="H111" s="981" t="s">
        <v>100</v>
      </c>
      <c r="I111" s="1017"/>
      <c r="J111" s="1046"/>
      <c r="K111" s="1047"/>
      <c r="L111" s="1890" t="s">
        <v>626</v>
      </c>
      <c r="M111" s="1891"/>
      <c r="N111" s="1891"/>
      <c r="O111" s="1891"/>
      <c r="P111" s="1892"/>
      <c r="Q111" s="1013" t="s">
        <v>100</v>
      </c>
      <c r="R111" s="1812"/>
      <c r="S111" s="1006"/>
      <c r="T111" s="1258"/>
      <c r="U111" s="1337"/>
      <c r="V111" s="72">
        <f t="shared" si="2"/>
        <v>0</v>
      </c>
      <c r="W111" s="74">
        <f>IF(H111="ja",X111,0)</f>
        <v>0</v>
      </c>
      <c r="X111" s="74">
        <v>1E-3</v>
      </c>
      <c r="Z111" s="77"/>
      <c r="AB111" s="72">
        <f t="shared" si="3"/>
        <v>0</v>
      </c>
      <c r="AF111" s="68"/>
      <c r="AN111" s="192"/>
    </row>
    <row r="112" spans="1:42" ht="14.25" customHeight="1" thickBot="1" x14ac:dyDescent="0.3">
      <c r="A112" s="1864"/>
      <c r="B112" s="1187"/>
      <c r="C112" s="1188"/>
      <c r="D112" s="1188"/>
      <c r="E112" s="1188"/>
      <c r="F112" s="1188"/>
      <c r="G112" s="1189"/>
      <c r="H112" s="982"/>
      <c r="I112" s="1017"/>
      <c r="J112" s="1046"/>
      <c r="K112" s="1047"/>
      <c r="L112" s="1893"/>
      <c r="M112" s="1894"/>
      <c r="N112" s="1894"/>
      <c r="O112" s="1894"/>
      <c r="P112" s="1895"/>
      <c r="Q112" s="1013"/>
      <c r="R112" s="1814"/>
      <c r="S112" s="1270"/>
      <c r="T112" s="1258"/>
      <c r="U112" s="1337"/>
      <c r="V112" s="72">
        <f t="shared" si="2"/>
        <v>0</v>
      </c>
      <c r="W112" s="74"/>
      <c r="X112" s="74"/>
      <c r="Z112" s="77"/>
      <c r="AB112" s="72">
        <f t="shared" si="3"/>
        <v>0</v>
      </c>
      <c r="AF112" s="68"/>
      <c r="AN112" s="192"/>
    </row>
    <row r="113" spans="1:40" ht="14.25" customHeight="1" thickBot="1" x14ac:dyDescent="0.3">
      <c r="A113" s="1864"/>
      <c r="B113" s="1187"/>
      <c r="C113" s="1188"/>
      <c r="D113" s="1188"/>
      <c r="E113" s="1188"/>
      <c r="F113" s="1188"/>
      <c r="G113" s="1189"/>
      <c r="H113" s="983"/>
      <c r="I113" s="1017"/>
      <c r="J113" s="1046"/>
      <c r="K113" s="1047"/>
      <c r="L113" s="1544" t="s">
        <v>627</v>
      </c>
      <c r="M113" s="1545"/>
      <c r="N113" s="1545"/>
      <c r="O113" s="1545"/>
      <c r="P113" s="1824"/>
      <c r="Q113" s="312" t="s">
        <v>100</v>
      </c>
      <c r="R113" s="1843"/>
      <c r="S113" s="973"/>
      <c r="T113" s="1258"/>
      <c r="U113" s="1337"/>
      <c r="V113" s="72">
        <f t="shared" si="2"/>
        <v>0</v>
      </c>
      <c r="W113" s="74"/>
      <c r="X113" s="74"/>
      <c r="Z113" s="77"/>
      <c r="AB113" s="72">
        <f t="shared" si="3"/>
        <v>0</v>
      </c>
      <c r="AF113" s="68"/>
      <c r="AN113" s="192"/>
    </row>
    <row r="114" spans="1:40" ht="14.25" customHeight="1" thickBot="1" x14ac:dyDescent="0.3">
      <c r="A114" s="1864"/>
      <c r="B114" s="1103" t="s">
        <v>203</v>
      </c>
      <c r="C114" s="1104"/>
      <c r="D114" s="1104"/>
      <c r="E114" s="1104"/>
      <c r="F114" s="1104"/>
      <c r="G114" s="1105"/>
      <c r="H114" s="981" t="s">
        <v>100</v>
      </c>
      <c r="I114" s="1017"/>
      <c r="J114" s="1046"/>
      <c r="K114" s="1047"/>
      <c r="L114" s="1890" t="s">
        <v>628</v>
      </c>
      <c r="M114" s="1891"/>
      <c r="N114" s="1891"/>
      <c r="O114" s="1891"/>
      <c r="P114" s="1892"/>
      <c r="Q114" s="1013" t="s">
        <v>100</v>
      </c>
      <c r="R114" s="1821"/>
      <c r="S114" s="1725"/>
      <c r="T114" s="1258"/>
      <c r="U114" s="1337"/>
      <c r="V114" s="72">
        <f t="shared" si="2"/>
        <v>0</v>
      </c>
      <c r="W114" s="74">
        <f>IF(H114="ja",X114,0)</f>
        <v>0</v>
      </c>
      <c r="X114" s="74">
        <v>2.5000000000000001E-3</v>
      </c>
      <c r="Z114" s="77"/>
      <c r="AB114" s="72">
        <f t="shared" si="3"/>
        <v>0</v>
      </c>
      <c r="AF114" s="68"/>
      <c r="AN114" s="192"/>
    </row>
    <row r="115" spans="1:40" ht="14.25" customHeight="1" thickBot="1" x14ac:dyDescent="0.3">
      <c r="A115" s="1864"/>
      <c r="B115" s="1103"/>
      <c r="C115" s="1104"/>
      <c r="D115" s="1104"/>
      <c r="E115" s="1104"/>
      <c r="F115" s="1104"/>
      <c r="G115" s="1105"/>
      <c r="H115" s="982"/>
      <c r="I115" s="1017"/>
      <c r="J115" s="1046"/>
      <c r="K115" s="1047"/>
      <c r="L115" s="1893"/>
      <c r="M115" s="1894"/>
      <c r="N115" s="1894"/>
      <c r="O115" s="1894"/>
      <c r="P115" s="1895"/>
      <c r="Q115" s="1013"/>
      <c r="R115" s="1821"/>
      <c r="S115" s="1725"/>
      <c r="T115" s="1258"/>
      <c r="U115" s="1337"/>
      <c r="V115" s="72">
        <f t="shared" si="2"/>
        <v>0</v>
      </c>
      <c r="W115" s="74"/>
      <c r="X115" s="74"/>
      <c r="Z115" s="77"/>
      <c r="AB115" s="72">
        <f t="shared" si="3"/>
        <v>0</v>
      </c>
      <c r="AF115" s="68"/>
      <c r="AN115" s="192"/>
    </row>
    <row r="116" spans="1:40" ht="14.25" customHeight="1" thickBot="1" x14ac:dyDescent="0.3">
      <c r="A116" s="1864"/>
      <c r="B116" s="1103"/>
      <c r="C116" s="1104"/>
      <c r="D116" s="1104"/>
      <c r="E116" s="1104"/>
      <c r="F116" s="1104"/>
      <c r="G116" s="1105"/>
      <c r="H116" s="982"/>
      <c r="I116" s="1017"/>
      <c r="J116" s="1046"/>
      <c r="K116" s="1047"/>
      <c r="L116" s="1890" t="s">
        <v>629</v>
      </c>
      <c r="M116" s="1891"/>
      <c r="N116" s="1891"/>
      <c r="O116" s="1891"/>
      <c r="P116" s="1892"/>
      <c r="Q116" s="1013" t="s">
        <v>100</v>
      </c>
      <c r="R116" s="1821"/>
      <c r="S116" s="1725"/>
      <c r="T116" s="1258"/>
      <c r="U116" s="1337"/>
      <c r="V116" s="72">
        <f t="shared" si="2"/>
        <v>0</v>
      </c>
      <c r="W116" s="74"/>
      <c r="X116" s="74"/>
      <c r="Z116" s="77"/>
      <c r="AB116" s="72">
        <f t="shared" si="3"/>
        <v>0</v>
      </c>
      <c r="AF116" s="68"/>
      <c r="AN116" s="192"/>
    </row>
    <row r="117" spans="1:40" ht="14.25" customHeight="1" thickBot="1" x14ac:dyDescent="0.3">
      <c r="A117" s="1864"/>
      <c r="B117" s="1103"/>
      <c r="C117" s="1104"/>
      <c r="D117" s="1104"/>
      <c r="E117" s="1104"/>
      <c r="F117" s="1104"/>
      <c r="G117" s="1105"/>
      <c r="H117" s="982"/>
      <c r="I117" s="1017"/>
      <c r="J117" s="1046"/>
      <c r="K117" s="1047"/>
      <c r="L117" s="1893"/>
      <c r="M117" s="1894"/>
      <c r="N117" s="1894"/>
      <c r="O117" s="1894"/>
      <c r="P117" s="1895"/>
      <c r="Q117" s="1013"/>
      <c r="R117" s="1821"/>
      <c r="S117" s="1725"/>
      <c r="T117" s="1258"/>
      <c r="U117" s="1337"/>
      <c r="V117" s="72">
        <f t="shared" si="2"/>
        <v>0</v>
      </c>
      <c r="W117" s="74"/>
      <c r="X117" s="74"/>
      <c r="Z117" s="77"/>
      <c r="AB117" s="72">
        <f t="shared" si="3"/>
        <v>0</v>
      </c>
      <c r="AF117" s="68"/>
      <c r="AN117" s="192"/>
    </row>
    <row r="118" spans="1:40" ht="14.25" customHeight="1" thickBot="1" x14ac:dyDescent="0.3">
      <c r="A118" s="1864"/>
      <c r="B118" s="1103"/>
      <c r="C118" s="1104"/>
      <c r="D118" s="1104"/>
      <c r="E118" s="1104"/>
      <c r="F118" s="1104"/>
      <c r="G118" s="1105"/>
      <c r="H118" s="982"/>
      <c r="I118" s="1017"/>
      <c r="J118" s="1046"/>
      <c r="K118" s="1047"/>
      <c r="L118" s="1890" t="s">
        <v>630</v>
      </c>
      <c r="M118" s="1891"/>
      <c r="N118" s="1891"/>
      <c r="O118" s="1891"/>
      <c r="P118" s="1892"/>
      <c r="Q118" s="1013" t="s">
        <v>100</v>
      </c>
      <c r="R118" s="1821"/>
      <c r="S118" s="1725"/>
      <c r="T118" s="1258"/>
      <c r="U118" s="1337"/>
      <c r="V118" s="72">
        <f t="shared" si="2"/>
        <v>0</v>
      </c>
      <c r="W118" s="74"/>
      <c r="X118" s="74"/>
      <c r="Z118" s="77"/>
      <c r="AB118" s="72">
        <f t="shared" si="3"/>
        <v>0</v>
      </c>
      <c r="AF118" s="68"/>
      <c r="AN118" s="192"/>
    </row>
    <row r="119" spans="1:40" ht="14.25" customHeight="1" thickBot="1" x14ac:dyDescent="0.3">
      <c r="A119" s="1864"/>
      <c r="B119" s="1184"/>
      <c r="C119" s="1185"/>
      <c r="D119" s="1185"/>
      <c r="E119" s="1185"/>
      <c r="F119" s="1185"/>
      <c r="G119" s="1186"/>
      <c r="H119" s="1304"/>
      <c r="I119" s="1018"/>
      <c r="J119" s="1048"/>
      <c r="K119" s="1049"/>
      <c r="L119" s="1896"/>
      <c r="M119" s="1897"/>
      <c r="N119" s="1897"/>
      <c r="O119" s="1897"/>
      <c r="P119" s="1898"/>
      <c r="Q119" s="1013"/>
      <c r="R119" s="1821"/>
      <c r="S119" s="1725"/>
      <c r="T119" s="1259"/>
      <c r="U119" s="1337"/>
      <c r="V119" s="72">
        <f t="shared" si="2"/>
        <v>0</v>
      </c>
      <c r="W119" s="76"/>
      <c r="X119" s="74"/>
      <c r="AB119" s="72">
        <f t="shared" si="3"/>
        <v>0</v>
      </c>
      <c r="AF119" s="68"/>
      <c r="AN119" s="192"/>
    </row>
    <row r="120" spans="1:40" ht="14.25" customHeight="1" thickBot="1" x14ac:dyDescent="0.3">
      <c r="A120" s="1865"/>
      <c r="B120" s="1082" t="s">
        <v>204</v>
      </c>
      <c r="C120" s="1083"/>
      <c r="D120" s="1083"/>
      <c r="E120" s="1083"/>
      <c r="F120" s="1083"/>
      <c r="G120" s="1084"/>
      <c r="H120" s="144"/>
      <c r="I120" s="1238"/>
      <c r="J120" s="1239"/>
      <c r="K120" s="1240"/>
      <c r="L120" s="1331">
        <f>SUM(R103:S119)</f>
        <v>0</v>
      </c>
      <c r="M120" s="1332"/>
      <c r="N120" s="1332"/>
      <c r="O120" s="1332"/>
      <c r="P120" s="1332"/>
      <c r="Q120" s="1332"/>
      <c r="R120" s="1332"/>
      <c r="S120" s="1856"/>
      <c r="U120" s="335" t="s">
        <v>157</v>
      </c>
      <c r="V120" s="72">
        <f t="shared" si="2"/>
        <v>0</v>
      </c>
      <c r="W120" s="74">
        <f>SUM(W103:W119)</f>
        <v>0</v>
      </c>
      <c r="X120" s="75"/>
      <c r="Y120" s="75"/>
      <c r="Z120" s="150"/>
      <c r="AB120" s="72">
        <f t="shared" si="3"/>
        <v>0</v>
      </c>
      <c r="AF120" s="68"/>
      <c r="AN120" s="68"/>
    </row>
    <row r="121" spans="1:40" ht="14.25" customHeight="1" x14ac:dyDescent="0.25">
      <c r="A121" s="1778" t="s">
        <v>206</v>
      </c>
      <c r="B121" s="1313" t="s">
        <v>631</v>
      </c>
      <c r="C121" s="1314"/>
      <c r="D121" s="1314"/>
      <c r="E121" s="1314"/>
      <c r="F121" s="1314"/>
      <c r="G121" s="1315"/>
      <c r="H121" s="1194" t="s">
        <v>100</v>
      </c>
      <c r="I121" s="1662">
        <f>W121</f>
        <v>0</v>
      </c>
      <c r="J121" s="1780">
        <f>I121*$I$99</f>
        <v>0</v>
      </c>
      <c r="K121" s="1781"/>
      <c r="L121" s="1285" t="s">
        <v>632</v>
      </c>
      <c r="M121" s="1286"/>
      <c r="N121" s="1286"/>
      <c r="O121" s="1286"/>
      <c r="P121" s="1287"/>
      <c r="Q121" s="1194" t="s">
        <v>100</v>
      </c>
      <c r="R121" s="1821"/>
      <c r="S121" s="1725"/>
      <c r="T121" s="1376" t="str">
        <f>IFERROR(IF((VLOOKUP(U121,Überblick!$M$125:$N$133,2))="ja","ja","nein"),"")</f>
        <v/>
      </c>
      <c r="U121" s="1618"/>
      <c r="V121" s="72">
        <f t="shared" si="2"/>
        <v>0</v>
      </c>
      <c r="W121" s="74">
        <f>IF(H121="ja",X121,0)</f>
        <v>0</v>
      </c>
      <c r="X121" s="74">
        <v>7.4999999999999997E-2</v>
      </c>
      <c r="Y121" s="77"/>
      <c r="Z121" s="77"/>
      <c r="AB121" s="72">
        <f t="shared" si="3"/>
        <v>0</v>
      </c>
      <c r="AI121" s="68"/>
      <c r="AN121" s="193"/>
    </row>
    <row r="122" spans="1:40" ht="14.25" customHeight="1" x14ac:dyDescent="0.25">
      <c r="A122" s="1779"/>
      <c r="B122" s="1072"/>
      <c r="C122" s="913"/>
      <c r="D122" s="913"/>
      <c r="E122" s="913"/>
      <c r="F122" s="913"/>
      <c r="G122" s="1073"/>
      <c r="H122" s="982"/>
      <c r="I122" s="1663"/>
      <c r="J122" s="1782"/>
      <c r="K122" s="1783"/>
      <c r="L122" s="1288"/>
      <c r="M122" s="1289"/>
      <c r="N122" s="1289"/>
      <c r="O122" s="1289"/>
      <c r="P122" s="1290"/>
      <c r="Q122" s="982"/>
      <c r="R122" s="1821"/>
      <c r="S122" s="1725"/>
      <c r="T122" s="1377"/>
      <c r="U122" s="1372"/>
      <c r="V122" s="72">
        <f t="shared" si="2"/>
        <v>0</v>
      </c>
      <c r="W122" s="76"/>
      <c r="X122" s="74"/>
      <c r="AB122" s="72">
        <f t="shared" si="3"/>
        <v>0</v>
      </c>
      <c r="AI122" s="68"/>
    </row>
    <row r="123" spans="1:40" ht="14.25" customHeight="1" x14ac:dyDescent="0.25">
      <c r="A123" s="1779"/>
      <c r="B123" s="1072"/>
      <c r="C123" s="913"/>
      <c r="D123" s="913"/>
      <c r="E123" s="913"/>
      <c r="F123" s="913"/>
      <c r="G123" s="1073"/>
      <c r="H123" s="982"/>
      <c r="I123" s="1663"/>
      <c r="J123" s="1782"/>
      <c r="K123" s="1783"/>
      <c r="L123" s="1288"/>
      <c r="M123" s="1289"/>
      <c r="N123" s="1289"/>
      <c r="O123" s="1289"/>
      <c r="P123" s="1290"/>
      <c r="Q123" s="982"/>
      <c r="R123" s="1821"/>
      <c r="S123" s="1725"/>
      <c r="T123" s="1377"/>
      <c r="U123" s="1372"/>
      <c r="V123" s="72">
        <f t="shared" si="2"/>
        <v>0</v>
      </c>
      <c r="W123" s="76"/>
      <c r="X123" s="74"/>
      <c r="AB123" s="72">
        <f t="shared" si="3"/>
        <v>0</v>
      </c>
      <c r="AI123" s="68"/>
    </row>
    <row r="124" spans="1:40" ht="14.25" customHeight="1" x14ac:dyDescent="0.25">
      <c r="A124" s="1779"/>
      <c r="B124" s="1072"/>
      <c r="C124" s="913"/>
      <c r="D124" s="913"/>
      <c r="E124" s="913"/>
      <c r="F124" s="913"/>
      <c r="G124" s="1073"/>
      <c r="H124" s="983"/>
      <c r="I124" s="1663"/>
      <c r="J124" s="1782"/>
      <c r="K124" s="1783"/>
      <c r="L124" s="1291"/>
      <c r="M124" s="1292"/>
      <c r="N124" s="1292"/>
      <c r="O124" s="1292"/>
      <c r="P124" s="1293"/>
      <c r="Q124" s="983"/>
      <c r="R124" s="1821"/>
      <c r="S124" s="1725"/>
      <c r="T124" s="1012"/>
      <c r="U124" s="1372"/>
      <c r="V124" s="72">
        <f t="shared" si="2"/>
        <v>0</v>
      </c>
      <c r="W124" s="76"/>
      <c r="X124" s="74"/>
      <c r="AB124" s="72">
        <f t="shared" si="3"/>
        <v>0</v>
      </c>
      <c r="AI124" s="68"/>
    </row>
    <row r="125" spans="1:40" ht="14.25" customHeight="1" x14ac:dyDescent="0.25">
      <c r="A125" s="1779" t="s">
        <v>208</v>
      </c>
      <c r="B125" s="1077" t="s">
        <v>633</v>
      </c>
      <c r="C125" s="1078"/>
      <c r="D125" s="1078"/>
      <c r="E125" s="1078"/>
      <c r="F125" s="1078"/>
      <c r="G125" s="1079"/>
      <c r="H125" s="1080" t="s">
        <v>100</v>
      </c>
      <c r="I125" s="1663">
        <f>W125</f>
        <v>0</v>
      </c>
      <c r="J125" s="1782">
        <f>I99*I125</f>
        <v>0</v>
      </c>
      <c r="K125" s="1783"/>
      <c r="L125" s="1064"/>
      <c r="M125" s="1065"/>
      <c r="N125" s="1065"/>
      <c r="O125" s="1065"/>
      <c r="P125" s="1066"/>
      <c r="Q125" s="981" t="s">
        <v>100</v>
      </c>
      <c r="R125" s="1821"/>
      <c r="S125" s="1725"/>
      <c r="T125" s="1301" t="str">
        <f>IFERROR(IF((VLOOKUP(U125,Überblick!$M$125:$N$133,2))="ja","ja","nein"),"")</f>
        <v/>
      </c>
      <c r="U125" s="1372"/>
      <c r="V125" s="72">
        <f t="shared" si="2"/>
        <v>0</v>
      </c>
      <c r="W125" s="74">
        <f>IF(H125="ja",X125,0)</f>
        <v>0</v>
      </c>
      <c r="X125" s="74">
        <v>7.4999999999999997E-2</v>
      </c>
      <c r="Y125" s="77"/>
      <c r="Z125" s="77"/>
      <c r="AB125" s="72">
        <f t="shared" si="3"/>
        <v>0</v>
      </c>
      <c r="AI125" s="68"/>
    </row>
    <row r="126" spans="1:40" ht="14.25" customHeight="1" x14ac:dyDescent="0.25">
      <c r="A126" s="1779"/>
      <c r="B126" s="1072"/>
      <c r="C126" s="913"/>
      <c r="D126" s="913"/>
      <c r="E126" s="913"/>
      <c r="F126" s="913"/>
      <c r="G126" s="1073"/>
      <c r="H126" s="1080"/>
      <c r="I126" s="1663"/>
      <c r="J126" s="1782"/>
      <c r="K126" s="1783"/>
      <c r="L126" s="1867"/>
      <c r="M126" s="1868"/>
      <c r="N126" s="1868"/>
      <c r="O126" s="1868"/>
      <c r="P126" s="1869"/>
      <c r="Q126" s="983"/>
      <c r="R126" s="1821"/>
      <c r="S126" s="1725"/>
      <c r="T126" s="1301"/>
      <c r="U126" s="1372"/>
      <c r="V126" s="72">
        <f t="shared" si="2"/>
        <v>0</v>
      </c>
      <c r="W126" s="76"/>
      <c r="X126" s="74"/>
      <c r="Y126" s="77"/>
      <c r="AB126" s="72">
        <f t="shared" si="3"/>
        <v>0</v>
      </c>
      <c r="AI126" s="68"/>
    </row>
    <row r="127" spans="1:40" ht="14.25" customHeight="1" x14ac:dyDescent="0.25">
      <c r="A127" s="1779" t="s">
        <v>210</v>
      </c>
      <c r="B127" s="1092" t="s">
        <v>634</v>
      </c>
      <c r="C127" s="1093"/>
      <c r="D127" s="1093"/>
      <c r="E127" s="1093"/>
      <c r="F127" s="1093"/>
      <c r="G127" s="1094"/>
      <c r="H127" s="981" t="s">
        <v>100</v>
      </c>
      <c r="I127" s="1663">
        <f>W127</f>
        <v>0</v>
      </c>
      <c r="J127" s="1782">
        <f>I127*I99</f>
        <v>0</v>
      </c>
      <c r="K127" s="1783"/>
      <c r="L127" s="1064"/>
      <c r="M127" s="1065"/>
      <c r="N127" s="1065"/>
      <c r="O127" s="1065"/>
      <c r="P127" s="1066"/>
      <c r="Q127" s="981" t="s">
        <v>100</v>
      </c>
      <c r="R127" s="1821"/>
      <c r="S127" s="1725"/>
      <c r="T127" s="1301" t="str">
        <f>IFERROR(IF((VLOOKUP(U127,Überblick!$M$125:$N$133,2))="ja","ja","nein"),"")</f>
        <v/>
      </c>
      <c r="U127" s="1372"/>
      <c r="V127" s="72">
        <f t="shared" si="2"/>
        <v>0</v>
      </c>
      <c r="W127" s="74">
        <f>IF(H127="ja",X127,0)</f>
        <v>0</v>
      </c>
      <c r="X127" s="74">
        <v>0.01</v>
      </c>
      <c r="Y127" s="77"/>
      <c r="Z127" s="77"/>
      <c r="AB127" s="72">
        <f t="shared" si="3"/>
        <v>0</v>
      </c>
      <c r="AI127" s="68"/>
    </row>
    <row r="128" spans="1:40" ht="14.25" customHeight="1" x14ac:dyDescent="0.25">
      <c r="A128" s="1779"/>
      <c r="B128" s="1109"/>
      <c r="C128" s="1110"/>
      <c r="D128" s="1110"/>
      <c r="E128" s="1110"/>
      <c r="F128" s="1110"/>
      <c r="G128" s="1111"/>
      <c r="H128" s="983"/>
      <c r="I128" s="1663"/>
      <c r="J128" s="1782"/>
      <c r="K128" s="1783"/>
      <c r="L128" s="1867"/>
      <c r="M128" s="1868"/>
      <c r="N128" s="1868"/>
      <c r="O128" s="1868"/>
      <c r="P128" s="1869"/>
      <c r="Q128" s="983"/>
      <c r="R128" s="1821"/>
      <c r="S128" s="1725"/>
      <c r="T128" s="1301"/>
      <c r="U128" s="1372"/>
      <c r="V128" s="72">
        <f t="shared" si="2"/>
        <v>0</v>
      </c>
      <c r="W128" s="76"/>
      <c r="X128" s="74"/>
      <c r="Y128" s="77"/>
      <c r="AB128" s="72">
        <f t="shared" si="3"/>
        <v>0</v>
      </c>
      <c r="AI128" s="68"/>
    </row>
    <row r="129" spans="1:35" ht="14.25" customHeight="1" x14ac:dyDescent="0.25">
      <c r="A129" s="1822" t="s">
        <v>212</v>
      </c>
      <c r="B129" s="1077" t="s">
        <v>635</v>
      </c>
      <c r="C129" s="1078"/>
      <c r="D129" s="1078"/>
      <c r="E129" s="1078"/>
      <c r="F129" s="1078"/>
      <c r="G129" s="1079"/>
      <c r="H129" s="982" t="s">
        <v>100</v>
      </c>
      <c r="I129" s="1524">
        <f>W129</f>
        <v>0</v>
      </c>
      <c r="J129" s="1834">
        <f>I129*I99</f>
        <v>0</v>
      </c>
      <c r="K129" s="1835"/>
      <c r="L129" s="984" t="s">
        <v>636</v>
      </c>
      <c r="M129" s="985"/>
      <c r="N129" s="985"/>
      <c r="O129" s="985"/>
      <c r="P129" s="985"/>
      <c r="Q129" s="1013" t="s">
        <v>100</v>
      </c>
      <c r="R129" s="1812"/>
      <c r="S129" s="1006"/>
      <c r="T129" s="1011" t="str">
        <f>IFERROR(IF((VLOOKUP(U129,Überblick!$M$125:$N$133,2))="ja","ja","nein"),"")</f>
        <v/>
      </c>
      <c r="U129" s="1373"/>
      <c r="V129" s="72">
        <f t="shared" si="2"/>
        <v>0</v>
      </c>
      <c r="W129" s="74">
        <f>IF(H129="ja",X129,0)</f>
        <v>0</v>
      </c>
      <c r="X129" s="74">
        <v>8.5000000000000006E-2</v>
      </c>
      <c r="Y129" s="77"/>
      <c r="AB129" s="72">
        <f t="shared" si="3"/>
        <v>0</v>
      </c>
      <c r="AI129" s="68"/>
    </row>
    <row r="130" spans="1:35" ht="14.25" customHeight="1" x14ac:dyDescent="0.25">
      <c r="A130" s="1823"/>
      <c r="B130" s="1072"/>
      <c r="C130" s="913"/>
      <c r="D130" s="913"/>
      <c r="E130" s="913"/>
      <c r="F130" s="913"/>
      <c r="G130" s="1073"/>
      <c r="H130" s="982"/>
      <c r="I130" s="1017"/>
      <c r="J130" s="1046"/>
      <c r="K130" s="1047"/>
      <c r="L130" s="984"/>
      <c r="M130" s="985"/>
      <c r="N130" s="985"/>
      <c r="O130" s="985"/>
      <c r="P130" s="985"/>
      <c r="Q130" s="1013"/>
      <c r="R130" s="1813"/>
      <c r="S130" s="1008"/>
      <c r="T130" s="1377"/>
      <c r="U130" s="1339"/>
      <c r="V130" s="72">
        <f t="shared" si="2"/>
        <v>0</v>
      </c>
      <c r="W130" s="76"/>
      <c r="X130" s="74"/>
      <c r="Y130" s="77"/>
      <c r="AB130" s="72">
        <f t="shared" si="3"/>
        <v>0</v>
      </c>
      <c r="AI130" s="68"/>
    </row>
    <row r="131" spans="1:35" ht="14.25" customHeight="1" x14ac:dyDescent="0.25">
      <c r="A131" s="1823"/>
      <c r="B131" s="1072"/>
      <c r="C131" s="913"/>
      <c r="D131" s="913"/>
      <c r="E131" s="913"/>
      <c r="F131" s="913"/>
      <c r="G131" s="1073"/>
      <c r="H131" s="982"/>
      <c r="I131" s="1017"/>
      <c r="J131" s="1046"/>
      <c r="K131" s="1047"/>
      <c r="L131" s="984"/>
      <c r="M131" s="985"/>
      <c r="N131" s="985"/>
      <c r="O131" s="985"/>
      <c r="P131" s="985"/>
      <c r="Q131" s="1013"/>
      <c r="R131" s="1814"/>
      <c r="S131" s="1270"/>
      <c r="T131" s="1377"/>
      <c r="U131" s="1339"/>
      <c r="V131" s="72">
        <f t="shared" si="2"/>
        <v>0</v>
      </c>
      <c r="W131" s="76"/>
      <c r="X131" s="74"/>
      <c r="Y131" s="77"/>
      <c r="AB131" s="72">
        <f t="shared" si="3"/>
        <v>0</v>
      </c>
      <c r="AI131" s="68"/>
    </row>
    <row r="132" spans="1:35" ht="14.25" customHeight="1" x14ac:dyDescent="0.25">
      <c r="A132" s="1823"/>
      <c r="B132" s="1072"/>
      <c r="C132" s="913"/>
      <c r="D132" s="913"/>
      <c r="E132" s="913"/>
      <c r="F132" s="913"/>
      <c r="G132" s="1073"/>
      <c r="H132" s="982"/>
      <c r="I132" s="1017"/>
      <c r="J132" s="1046"/>
      <c r="K132" s="1047"/>
      <c r="L132" s="984"/>
      <c r="M132" s="985"/>
      <c r="N132" s="985"/>
      <c r="O132" s="985"/>
      <c r="P132" s="985"/>
      <c r="Q132" s="1013" t="s">
        <v>100</v>
      </c>
      <c r="R132" s="1812"/>
      <c r="S132" s="1006"/>
      <c r="T132" s="1377"/>
      <c r="U132" s="1339"/>
      <c r="V132" s="72">
        <f t="shared" si="2"/>
        <v>0</v>
      </c>
      <c r="W132" s="76"/>
      <c r="X132" s="74"/>
      <c r="Y132" s="77"/>
      <c r="AB132" s="72">
        <f t="shared" si="3"/>
        <v>0</v>
      </c>
      <c r="AI132" s="68"/>
    </row>
    <row r="133" spans="1:35" ht="14.25" customHeight="1" x14ac:dyDescent="0.25">
      <c r="A133" s="1823"/>
      <c r="B133" s="1072"/>
      <c r="C133" s="913"/>
      <c r="D133" s="913"/>
      <c r="E133" s="913"/>
      <c r="F133" s="913"/>
      <c r="G133" s="1073"/>
      <c r="H133" s="982"/>
      <c r="I133" s="1017"/>
      <c r="J133" s="1046"/>
      <c r="K133" s="1047"/>
      <c r="L133" s="984"/>
      <c r="M133" s="985"/>
      <c r="N133" s="985"/>
      <c r="O133" s="985"/>
      <c r="P133" s="985"/>
      <c r="Q133" s="1013"/>
      <c r="R133" s="1813"/>
      <c r="S133" s="1008"/>
      <c r="T133" s="1377"/>
      <c r="U133" s="1339"/>
      <c r="V133" s="72">
        <f t="shared" si="2"/>
        <v>0</v>
      </c>
      <c r="W133" s="76"/>
      <c r="X133" s="74"/>
      <c r="Y133" s="77"/>
      <c r="AB133" s="72">
        <f t="shared" si="3"/>
        <v>0</v>
      </c>
      <c r="AI133" s="68"/>
    </row>
    <row r="134" spans="1:35" ht="14.25" customHeight="1" x14ac:dyDescent="0.25">
      <c r="A134" s="1823"/>
      <c r="B134" s="1072"/>
      <c r="C134" s="913"/>
      <c r="D134" s="913"/>
      <c r="E134" s="913"/>
      <c r="F134" s="913"/>
      <c r="G134" s="1073"/>
      <c r="H134" s="982"/>
      <c r="I134" s="1017"/>
      <c r="J134" s="1046"/>
      <c r="K134" s="1047"/>
      <c r="L134" s="984"/>
      <c r="M134" s="985"/>
      <c r="N134" s="985"/>
      <c r="O134" s="985"/>
      <c r="P134" s="985"/>
      <c r="Q134" s="1013"/>
      <c r="R134" s="1814"/>
      <c r="S134" s="1270"/>
      <c r="T134" s="1377"/>
      <c r="U134" s="1339"/>
      <c r="V134" s="72">
        <f t="shared" si="2"/>
        <v>0</v>
      </c>
      <c r="W134" s="76"/>
      <c r="X134" s="74"/>
      <c r="Y134" s="77"/>
      <c r="AB134" s="72">
        <f t="shared" si="3"/>
        <v>0</v>
      </c>
      <c r="AI134" s="68"/>
    </row>
    <row r="135" spans="1:35" ht="14.25" customHeight="1" x14ac:dyDescent="0.25">
      <c r="A135" s="1823"/>
      <c r="B135" s="1072"/>
      <c r="C135" s="913"/>
      <c r="D135" s="913"/>
      <c r="E135" s="913"/>
      <c r="F135" s="913"/>
      <c r="G135" s="1073"/>
      <c r="H135" s="982"/>
      <c r="I135" s="1017"/>
      <c r="J135" s="1046"/>
      <c r="K135" s="1047"/>
      <c r="L135" s="984"/>
      <c r="M135" s="985"/>
      <c r="N135" s="985"/>
      <c r="O135" s="985"/>
      <c r="P135" s="985"/>
      <c r="Q135" s="1013" t="s">
        <v>100</v>
      </c>
      <c r="R135" s="1812"/>
      <c r="S135" s="1006"/>
      <c r="T135" s="1377"/>
      <c r="U135" s="1339"/>
      <c r="V135" s="72">
        <f t="shared" si="2"/>
        <v>0</v>
      </c>
      <c r="W135" s="76"/>
      <c r="X135" s="74"/>
      <c r="Y135" s="77"/>
      <c r="AB135" s="72">
        <f t="shared" si="3"/>
        <v>0</v>
      </c>
      <c r="AI135" s="68"/>
    </row>
    <row r="136" spans="1:35" ht="14.25" customHeight="1" x14ac:dyDescent="0.25">
      <c r="A136" s="1823"/>
      <c r="B136" s="1072"/>
      <c r="C136" s="913"/>
      <c r="D136" s="913"/>
      <c r="E136" s="913"/>
      <c r="F136" s="913"/>
      <c r="G136" s="1073"/>
      <c r="H136" s="982"/>
      <c r="I136" s="1017"/>
      <c r="J136" s="1046"/>
      <c r="K136" s="1047"/>
      <c r="L136" s="984"/>
      <c r="M136" s="985"/>
      <c r="N136" s="985"/>
      <c r="O136" s="985"/>
      <c r="P136" s="985"/>
      <c r="Q136" s="1013"/>
      <c r="R136" s="1813"/>
      <c r="S136" s="1008"/>
      <c r="T136" s="1377"/>
      <c r="U136" s="1339"/>
      <c r="V136" s="72">
        <f t="shared" si="2"/>
        <v>0</v>
      </c>
      <c r="W136" s="76"/>
      <c r="X136" s="74"/>
      <c r="Y136" s="77"/>
      <c r="AB136" s="72">
        <f t="shared" si="3"/>
        <v>0</v>
      </c>
      <c r="AI136" s="68"/>
    </row>
    <row r="137" spans="1:35" ht="14.25" customHeight="1" x14ac:dyDescent="0.25">
      <c r="A137" s="1904"/>
      <c r="B137" s="1074"/>
      <c r="C137" s="1075"/>
      <c r="D137" s="1075"/>
      <c r="E137" s="1075"/>
      <c r="F137" s="1075"/>
      <c r="G137" s="1076"/>
      <c r="H137" s="983"/>
      <c r="I137" s="1525"/>
      <c r="J137" s="1888"/>
      <c r="K137" s="1889"/>
      <c r="L137" s="984"/>
      <c r="M137" s="985"/>
      <c r="N137" s="985"/>
      <c r="O137" s="985"/>
      <c r="P137" s="985"/>
      <c r="Q137" s="1013"/>
      <c r="R137" s="1814"/>
      <c r="S137" s="1270"/>
      <c r="T137" s="1012"/>
      <c r="U137" s="1375"/>
      <c r="V137" s="72">
        <f t="shared" si="2"/>
        <v>0</v>
      </c>
      <c r="W137" s="74"/>
      <c r="X137" s="74"/>
      <c r="Y137" s="77"/>
      <c r="Z137" s="77"/>
      <c r="AB137" s="72">
        <f t="shared" si="3"/>
        <v>0</v>
      </c>
      <c r="AI137" s="68"/>
    </row>
    <row r="138" spans="1:35" ht="14.25" customHeight="1" x14ac:dyDescent="0.25">
      <c r="A138" s="499" t="s">
        <v>213</v>
      </c>
      <c r="B138" s="1077" t="s">
        <v>637</v>
      </c>
      <c r="C138" s="1078"/>
      <c r="D138" s="1078"/>
      <c r="E138" s="1078"/>
      <c r="F138" s="1078"/>
      <c r="G138" s="1079"/>
      <c r="H138" s="316" t="s">
        <v>100</v>
      </c>
      <c r="I138" s="328">
        <f>W138</f>
        <v>0</v>
      </c>
      <c r="J138" s="1782">
        <f>I138*I99</f>
        <v>0</v>
      </c>
      <c r="K138" s="1783"/>
      <c r="L138" s="1870"/>
      <c r="M138" s="1871"/>
      <c r="N138" s="1871"/>
      <c r="O138" s="1871"/>
      <c r="P138" s="1872"/>
      <c r="Q138" s="314" t="s">
        <v>100</v>
      </c>
      <c r="R138" s="1843"/>
      <c r="S138" s="973"/>
      <c r="T138" s="528" t="str">
        <f>IFERROR(IF((VLOOKUP(U138,Überblick!$M$125:$N$133,2))="ja","ja","nein"),"")</f>
        <v/>
      </c>
      <c r="U138" s="336"/>
      <c r="V138" s="72">
        <f t="shared" si="2"/>
        <v>0</v>
      </c>
      <c r="W138" s="74">
        <f>IF(H138="ja",X138,0)</f>
        <v>0</v>
      </c>
      <c r="X138" s="74">
        <v>2.5000000000000001E-3</v>
      </c>
      <c r="Y138" s="77"/>
      <c r="Z138" s="77"/>
      <c r="AB138" s="72">
        <f t="shared" si="3"/>
        <v>0</v>
      </c>
      <c r="AI138" s="68"/>
    </row>
    <row r="139" spans="1:35" ht="14.25" customHeight="1" x14ac:dyDescent="0.25">
      <c r="A139" s="1779" t="s">
        <v>215</v>
      </c>
      <c r="B139" s="1077" t="s">
        <v>638</v>
      </c>
      <c r="C139" s="1078"/>
      <c r="D139" s="1078"/>
      <c r="E139" s="1078"/>
      <c r="F139" s="1078"/>
      <c r="G139" s="1079"/>
      <c r="H139" s="1014" t="s">
        <v>100</v>
      </c>
      <c r="I139" s="1663">
        <f>W139</f>
        <v>0</v>
      </c>
      <c r="J139" s="1782">
        <f>I139*I99</f>
        <v>0</v>
      </c>
      <c r="K139" s="1783"/>
      <c r="L139" s="1064"/>
      <c r="M139" s="1065"/>
      <c r="N139" s="1065"/>
      <c r="O139" s="1065"/>
      <c r="P139" s="1066"/>
      <c r="Q139" s="981" t="s">
        <v>100</v>
      </c>
      <c r="R139" s="1821"/>
      <c r="S139" s="1725"/>
      <c r="T139" s="1301" t="str">
        <f>IFERROR(IF((VLOOKUP(U139,Überblick!$M$125:$N$133,2))="ja","ja","nein"),"")</f>
        <v/>
      </c>
      <c r="U139" s="1372"/>
      <c r="V139" s="72">
        <f t="shared" si="2"/>
        <v>0</v>
      </c>
      <c r="W139" s="74">
        <f>IF(H139="ja",X139,0)</f>
        <v>0</v>
      </c>
      <c r="X139" s="74">
        <v>2.5000000000000001E-3</v>
      </c>
      <c r="Y139" s="77"/>
      <c r="Z139" s="77"/>
      <c r="AB139" s="72">
        <f t="shared" si="3"/>
        <v>0</v>
      </c>
      <c r="AI139" s="68"/>
    </row>
    <row r="140" spans="1:35" ht="14.25" customHeight="1" thickBot="1" x14ac:dyDescent="0.3">
      <c r="A140" s="1779"/>
      <c r="B140" s="1072"/>
      <c r="C140" s="913"/>
      <c r="D140" s="913"/>
      <c r="E140" s="913"/>
      <c r="F140" s="913"/>
      <c r="G140" s="1073"/>
      <c r="H140" s="1080"/>
      <c r="I140" s="1664"/>
      <c r="J140" s="1826"/>
      <c r="K140" s="1827"/>
      <c r="L140" s="1069"/>
      <c r="M140" s="1070"/>
      <c r="N140" s="1070"/>
      <c r="O140" s="1070"/>
      <c r="P140" s="1071"/>
      <c r="Q140" s="983"/>
      <c r="R140" s="1821"/>
      <c r="S140" s="1725"/>
      <c r="T140" s="1301"/>
      <c r="U140" s="1372"/>
      <c r="V140" s="72">
        <f t="shared" si="2"/>
        <v>0</v>
      </c>
      <c r="W140" s="76"/>
      <c r="X140" s="74"/>
      <c r="AB140" s="72">
        <f t="shared" si="3"/>
        <v>0</v>
      </c>
      <c r="AI140" s="68"/>
    </row>
    <row r="141" spans="1:35" ht="14.25" customHeight="1" thickBot="1" x14ac:dyDescent="0.3">
      <c r="A141" s="1866" t="s">
        <v>639</v>
      </c>
      <c r="B141" s="1082" t="s">
        <v>218</v>
      </c>
      <c r="C141" s="1083"/>
      <c r="D141" s="1083"/>
      <c r="E141" s="1083"/>
      <c r="F141" s="1083"/>
      <c r="G141" s="1084"/>
      <c r="H141" s="144"/>
      <c r="I141" s="1361"/>
      <c r="J141" s="1362"/>
      <c r="K141" s="1576"/>
      <c r="L141" s="1180">
        <f>SUM(R121:S140)</f>
        <v>0</v>
      </c>
      <c r="M141" s="1181"/>
      <c r="N141" s="1181"/>
      <c r="O141" s="1181"/>
      <c r="P141" s="1181"/>
      <c r="Q141" s="1181"/>
      <c r="R141" s="1181"/>
      <c r="S141" s="1272"/>
      <c r="T141" s="334"/>
      <c r="U141" s="335" t="s">
        <v>157</v>
      </c>
      <c r="V141" s="72">
        <f t="shared" si="2"/>
        <v>0</v>
      </c>
      <c r="W141" s="77">
        <f>SUM(W121:W140)</f>
        <v>0</v>
      </c>
      <c r="X141" s="75"/>
      <c r="Y141" s="150"/>
      <c r="Z141" s="150"/>
      <c r="AB141" s="72">
        <f t="shared" si="3"/>
        <v>0</v>
      </c>
      <c r="AD141" s="68"/>
      <c r="AE141" s="68"/>
      <c r="AF141" s="68"/>
    </row>
    <row r="142" spans="1:35" ht="14.25" customHeight="1" x14ac:dyDescent="0.25">
      <c r="A142" s="1864"/>
      <c r="B142" s="1313" t="s">
        <v>640</v>
      </c>
      <c r="C142" s="1314"/>
      <c r="D142" s="1314"/>
      <c r="E142" s="1314"/>
      <c r="F142" s="1314"/>
      <c r="G142" s="1315"/>
      <c r="H142" s="1194" t="s">
        <v>100</v>
      </c>
      <c r="I142" s="1016">
        <f>W157</f>
        <v>0</v>
      </c>
      <c r="J142" s="1044">
        <f>I142*$I$99</f>
        <v>0</v>
      </c>
      <c r="K142" s="1045"/>
      <c r="L142" s="1572"/>
      <c r="M142" s="1573"/>
      <c r="N142" s="1573"/>
      <c r="O142" s="1573"/>
      <c r="P142" s="1573"/>
      <c r="Q142" s="983" t="s">
        <v>100</v>
      </c>
      <c r="R142" s="1813"/>
      <c r="S142" s="1008"/>
      <c r="T142" s="1257" t="str">
        <f>IFERROR(IF((VLOOKUP(U142,Überblick!$M$125:$N$133,2))="ja","ja","nein"),"")</f>
        <v/>
      </c>
      <c r="U142" s="1338"/>
      <c r="V142" s="72">
        <f t="shared" si="2"/>
        <v>0</v>
      </c>
      <c r="W142" s="74">
        <f>IF(H142="ja",X142,0)</f>
        <v>0</v>
      </c>
      <c r="X142" s="74">
        <v>0.03</v>
      </c>
      <c r="AB142" s="72">
        <f t="shared" si="3"/>
        <v>0</v>
      </c>
    </row>
    <row r="143" spans="1:35" ht="14.25" customHeight="1" x14ac:dyDescent="0.25">
      <c r="A143" s="1864"/>
      <c r="B143" s="1074"/>
      <c r="C143" s="1075"/>
      <c r="D143" s="1075"/>
      <c r="E143" s="1075"/>
      <c r="F143" s="1075"/>
      <c r="G143" s="1076"/>
      <c r="H143" s="983"/>
      <c r="I143" s="1017"/>
      <c r="J143" s="1046"/>
      <c r="K143" s="1047"/>
      <c r="L143" s="984"/>
      <c r="M143" s="985"/>
      <c r="N143" s="985"/>
      <c r="O143" s="985"/>
      <c r="P143" s="985"/>
      <c r="Q143" s="1013"/>
      <c r="R143" s="1813"/>
      <c r="S143" s="1008"/>
      <c r="T143" s="1258"/>
      <c r="U143" s="1339"/>
      <c r="V143" s="72">
        <f t="shared" si="2"/>
        <v>0</v>
      </c>
      <c r="W143" s="74"/>
      <c r="X143" s="74"/>
      <c r="AB143" s="72">
        <f t="shared" si="3"/>
        <v>0</v>
      </c>
    </row>
    <row r="144" spans="1:35" ht="14.25" customHeight="1" x14ac:dyDescent="0.25">
      <c r="A144" s="1864"/>
      <c r="B144" s="1072" t="s">
        <v>641</v>
      </c>
      <c r="C144" s="913"/>
      <c r="D144" s="913"/>
      <c r="E144" s="913"/>
      <c r="F144" s="913"/>
      <c r="G144" s="1073"/>
      <c r="H144" s="986" t="s">
        <v>100</v>
      </c>
      <c r="I144" s="1017"/>
      <c r="J144" s="1046"/>
      <c r="K144" s="1047"/>
      <c r="L144" s="984"/>
      <c r="M144" s="985"/>
      <c r="N144" s="985"/>
      <c r="O144" s="985"/>
      <c r="P144" s="985"/>
      <c r="Q144" s="1013"/>
      <c r="R144" s="1814"/>
      <c r="S144" s="1270"/>
      <c r="T144" s="1258"/>
      <c r="U144" s="1339"/>
      <c r="V144" s="72">
        <f t="shared" si="2"/>
        <v>0</v>
      </c>
      <c r="W144" s="74">
        <f>IF(H144="ja",X144,0)</f>
        <v>0</v>
      </c>
      <c r="X144" s="74">
        <v>1.4999999999999999E-2</v>
      </c>
      <c r="AB144" s="72">
        <f t="shared" si="3"/>
        <v>0</v>
      </c>
    </row>
    <row r="145" spans="1:32" ht="14.25" customHeight="1" x14ac:dyDescent="0.25">
      <c r="A145" s="1864"/>
      <c r="B145" s="1072"/>
      <c r="C145" s="913"/>
      <c r="D145" s="913"/>
      <c r="E145" s="913"/>
      <c r="F145" s="913"/>
      <c r="G145" s="1073"/>
      <c r="H145" s="986"/>
      <c r="I145" s="1017"/>
      <c r="J145" s="1046"/>
      <c r="K145" s="1047"/>
      <c r="L145" s="984"/>
      <c r="M145" s="985"/>
      <c r="N145" s="985"/>
      <c r="O145" s="985"/>
      <c r="P145" s="985"/>
      <c r="Q145" s="1013" t="s">
        <v>100</v>
      </c>
      <c r="R145" s="1812"/>
      <c r="S145" s="1006"/>
      <c r="T145" s="1258"/>
      <c r="U145" s="1339"/>
      <c r="V145" s="72">
        <f t="shared" si="2"/>
        <v>0</v>
      </c>
      <c r="W145" s="76"/>
      <c r="X145" s="74"/>
      <c r="AB145" s="72">
        <f t="shared" si="3"/>
        <v>0</v>
      </c>
    </row>
    <row r="146" spans="1:32" ht="14.25" customHeight="1" x14ac:dyDescent="0.25">
      <c r="A146" s="1864"/>
      <c r="B146" s="1072" t="s">
        <v>642</v>
      </c>
      <c r="C146" s="913"/>
      <c r="D146" s="913"/>
      <c r="E146" s="913"/>
      <c r="F146" s="913"/>
      <c r="G146" s="1073"/>
      <c r="H146" s="986" t="s">
        <v>100</v>
      </c>
      <c r="I146" s="1017"/>
      <c r="J146" s="1046"/>
      <c r="K146" s="1047"/>
      <c r="L146" s="984"/>
      <c r="M146" s="985"/>
      <c r="N146" s="985"/>
      <c r="O146" s="985"/>
      <c r="P146" s="985"/>
      <c r="Q146" s="1013"/>
      <c r="R146" s="1813"/>
      <c r="S146" s="1008"/>
      <c r="T146" s="1258"/>
      <c r="U146" s="1339"/>
      <c r="V146" s="72">
        <f t="shared" si="2"/>
        <v>0</v>
      </c>
      <c r="W146" s="74">
        <f>IF(H146="ja",X146,0)</f>
        <v>0</v>
      </c>
      <c r="X146" s="74">
        <v>2.5000000000000001E-3</v>
      </c>
      <c r="AB146" s="72">
        <f t="shared" si="3"/>
        <v>0</v>
      </c>
    </row>
    <row r="147" spans="1:32" ht="14.25" customHeight="1" x14ac:dyDescent="0.25">
      <c r="A147" s="1864"/>
      <c r="B147" s="1072"/>
      <c r="C147" s="913"/>
      <c r="D147" s="913"/>
      <c r="E147" s="913"/>
      <c r="F147" s="913"/>
      <c r="G147" s="1073"/>
      <c r="H147" s="986"/>
      <c r="I147" s="1017"/>
      <c r="J147" s="1046"/>
      <c r="K147" s="1047"/>
      <c r="L147" s="984"/>
      <c r="M147" s="985"/>
      <c r="N147" s="985"/>
      <c r="O147" s="985"/>
      <c r="P147" s="985"/>
      <c r="Q147" s="1013"/>
      <c r="R147" s="1814"/>
      <c r="S147" s="1270"/>
      <c r="T147" s="1258"/>
      <c r="U147" s="1339"/>
      <c r="V147" s="72">
        <f t="shared" si="2"/>
        <v>0</v>
      </c>
      <c r="W147" s="76"/>
      <c r="X147" s="74"/>
      <c r="AB147" s="72">
        <f t="shared" si="3"/>
        <v>0</v>
      </c>
    </row>
    <row r="148" spans="1:32" ht="14.25" customHeight="1" x14ac:dyDescent="0.25">
      <c r="A148" s="1864"/>
      <c r="B148" s="1074"/>
      <c r="C148" s="1075"/>
      <c r="D148" s="1075"/>
      <c r="E148" s="1075"/>
      <c r="F148" s="1075"/>
      <c r="G148" s="1076"/>
      <c r="H148" s="986"/>
      <c r="I148" s="1017"/>
      <c r="J148" s="1046"/>
      <c r="K148" s="1047"/>
      <c r="L148" s="984"/>
      <c r="M148" s="985"/>
      <c r="N148" s="985"/>
      <c r="O148" s="985"/>
      <c r="P148" s="985"/>
      <c r="Q148" s="1013" t="s">
        <v>100</v>
      </c>
      <c r="R148" s="1812"/>
      <c r="S148" s="1006"/>
      <c r="T148" s="1258"/>
      <c r="U148" s="1339"/>
      <c r="V148" s="72">
        <f t="shared" si="2"/>
        <v>0</v>
      </c>
      <c r="W148" s="76"/>
      <c r="X148" s="74"/>
      <c r="AB148" s="72">
        <f t="shared" si="3"/>
        <v>0</v>
      </c>
    </row>
    <row r="149" spans="1:32" ht="14.25" customHeight="1" x14ac:dyDescent="0.25">
      <c r="A149" s="1864"/>
      <c r="B149" s="1072" t="s">
        <v>643</v>
      </c>
      <c r="C149" s="913"/>
      <c r="D149" s="913"/>
      <c r="E149" s="913"/>
      <c r="F149" s="913"/>
      <c r="G149" s="1073"/>
      <c r="H149" s="986" t="s">
        <v>100</v>
      </c>
      <c r="I149" s="1017"/>
      <c r="J149" s="1046"/>
      <c r="K149" s="1047"/>
      <c r="L149" s="984"/>
      <c r="M149" s="985"/>
      <c r="N149" s="985"/>
      <c r="O149" s="985"/>
      <c r="P149" s="985"/>
      <c r="Q149" s="1013"/>
      <c r="R149" s="1813"/>
      <c r="S149" s="1008"/>
      <c r="T149" s="1258"/>
      <c r="U149" s="1339"/>
      <c r="V149" s="72">
        <f t="shared" si="2"/>
        <v>0</v>
      </c>
      <c r="W149" s="74">
        <f>IF(H149="ja",X149,0)</f>
        <v>0</v>
      </c>
      <c r="X149" s="74">
        <v>5.0000000000000001E-3</v>
      </c>
      <c r="AB149" s="72">
        <f t="shared" si="3"/>
        <v>0</v>
      </c>
    </row>
    <row r="150" spans="1:32" ht="14.25" customHeight="1" x14ac:dyDescent="0.25">
      <c r="A150" s="1864"/>
      <c r="B150" s="1072"/>
      <c r="C150" s="913"/>
      <c r="D150" s="913"/>
      <c r="E150" s="913"/>
      <c r="F150" s="913"/>
      <c r="G150" s="1073"/>
      <c r="H150" s="986"/>
      <c r="I150" s="1017"/>
      <c r="J150" s="1046"/>
      <c r="K150" s="1047"/>
      <c r="L150" s="984"/>
      <c r="M150" s="985"/>
      <c r="N150" s="985"/>
      <c r="O150" s="985"/>
      <c r="P150" s="985"/>
      <c r="Q150" s="1013"/>
      <c r="R150" s="1814"/>
      <c r="S150" s="1270"/>
      <c r="T150" s="1258"/>
      <c r="U150" s="1339"/>
      <c r="V150" s="72">
        <f t="shared" si="2"/>
        <v>0</v>
      </c>
      <c r="W150" s="74"/>
      <c r="X150" s="74"/>
      <c r="AB150" s="72">
        <f t="shared" si="3"/>
        <v>0</v>
      </c>
    </row>
    <row r="151" spans="1:32" ht="14.25" customHeight="1" x14ac:dyDescent="0.25">
      <c r="A151" s="1864"/>
      <c r="B151" s="1074"/>
      <c r="C151" s="1075"/>
      <c r="D151" s="1075"/>
      <c r="E151" s="1075"/>
      <c r="F151" s="1075"/>
      <c r="G151" s="1076"/>
      <c r="H151" s="986"/>
      <c r="I151" s="1017"/>
      <c r="J151" s="1046"/>
      <c r="K151" s="1047"/>
      <c r="L151" s="984"/>
      <c r="M151" s="985"/>
      <c r="N151" s="985"/>
      <c r="O151" s="985"/>
      <c r="P151" s="985"/>
      <c r="Q151" s="1013" t="s">
        <v>100</v>
      </c>
      <c r="R151" s="1812"/>
      <c r="S151" s="1006"/>
      <c r="T151" s="1258"/>
      <c r="U151" s="1339"/>
      <c r="V151" s="72">
        <f t="shared" si="2"/>
        <v>0</v>
      </c>
      <c r="W151" s="76"/>
      <c r="X151" s="74"/>
      <c r="AB151" s="72">
        <f t="shared" si="3"/>
        <v>0</v>
      </c>
    </row>
    <row r="152" spans="1:32" ht="14.25" customHeight="1" x14ac:dyDescent="0.25">
      <c r="A152" s="1864"/>
      <c r="B152" s="1882" t="s">
        <v>421</v>
      </c>
      <c r="C152" s="1883"/>
      <c r="D152" s="1883"/>
      <c r="E152" s="1883"/>
      <c r="F152" s="1883"/>
      <c r="G152" s="1884"/>
      <c r="H152" s="986" t="s">
        <v>100</v>
      </c>
      <c r="I152" s="1017"/>
      <c r="J152" s="1046"/>
      <c r="K152" s="1047"/>
      <c r="L152" s="984"/>
      <c r="M152" s="985"/>
      <c r="N152" s="985"/>
      <c r="O152" s="985"/>
      <c r="P152" s="985"/>
      <c r="Q152" s="1013"/>
      <c r="R152" s="1813"/>
      <c r="S152" s="1008"/>
      <c r="T152" s="1258"/>
      <c r="U152" s="1339"/>
      <c r="V152" s="72">
        <f t="shared" si="2"/>
        <v>0</v>
      </c>
      <c r="W152" s="74">
        <f>IF(H152="ja",X152,0)</f>
        <v>0</v>
      </c>
      <c r="X152" s="74">
        <v>1.4E-2</v>
      </c>
      <c r="AB152" s="72">
        <f t="shared" si="3"/>
        <v>0</v>
      </c>
    </row>
    <row r="153" spans="1:32" ht="14.25" customHeight="1" x14ac:dyDescent="0.25">
      <c r="A153" s="1864"/>
      <c r="B153" s="1885"/>
      <c r="C153" s="1886"/>
      <c r="D153" s="1886"/>
      <c r="E153" s="1886"/>
      <c r="F153" s="1886"/>
      <c r="G153" s="1887"/>
      <c r="H153" s="986"/>
      <c r="I153" s="1017"/>
      <c r="J153" s="1046"/>
      <c r="K153" s="1047"/>
      <c r="L153" s="984"/>
      <c r="M153" s="985"/>
      <c r="N153" s="985"/>
      <c r="O153" s="985"/>
      <c r="P153" s="985"/>
      <c r="Q153" s="1013"/>
      <c r="R153" s="1814"/>
      <c r="S153" s="1270"/>
      <c r="T153" s="1258"/>
      <c r="U153" s="1339"/>
      <c r="V153" s="72">
        <f t="shared" si="2"/>
        <v>0</v>
      </c>
      <c r="W153" s="76"/>
      <c r="X153" s="74"/>
      <c r="AB153" s="72">
        <f t="shared" si="3"/>
        <v>0</v>
      </c>
    </row>
    <row r="154" spans="1:32" ht="14.25" customHeight="1" x14ac:dyDescent="0.25">
      <c r="A154" s="1864"/>
      <c r="B154" s="1882" t="s">
        <v>226</v>
      </c>
      <c r="C154" s="1883"/>
      <c r="D154" s="1883"/>
      <c r="E154" s="1883"/>
      <c r="F154" s="1883"/>
      <c r="G154" s="1884"/>
      <c r="H154" s="986" t="s">
        <v>100</v>
      </c>
      <c r="I154" s="1017"/>
      <c r="J154" s="1046"/>
      <c r="K154" s="1047"/>
      <c r="L154" s="984"/>
      <c r="M154" s="985"/>
      <c r="N154" s="985"/>
      <c r="O154" s="985"/>
      <c r="P154" s="985"/>
      <c r="Q154" s="1013" t="s">
        <v>100</v>
      </c>
      <c r="R154" s="1812"/>
      <c r="S154" s="1006"/>
      <c r="T154" s="1258"/>
      <c r="U154" s="1339"/>
      <c r="V154" s="72">
        <f t="shared" si="2"/>
        <v>0</v>
      </c>
      <c r="W154" s="74">
        <f>IF(H154="ja",X154,0)</f>
        <v>0</v>
      </c>
      <c r="X154" s="74">
        <v>2.5000000000000001E-3</v>
      </c>
      <c r="AB154" s="72">
        <f t="shared" si="3"/>
        <v>0</v>
      </c>
    </row>
    <row r="155" spans="1:32" ht="14.25" customHeight="1" x14ac:dyDescent="0.25">
      <c r="A155" s="1864"/>
      <c r="B155" s="1885"/>
      <c r="C155" s="1886"/>
      <c r="D155" s="1886"/>
      <c r="E155" s="1886"/>
      <c r="F155" s="1886"/>
      <c r="G155" s="1887"/>
      <c r="H155" s="986"/>
      <c r="I155" s="1017"/>
      <c r="J155" s="1046"/>
      <c r="K155" s="1047"/>
      <c r="L155" s="984"/>
      <c r="M155" s="985"/>
      <c r="N155" s="985"/>
      <c r="O155" s="985"/>
      <c r="P155" s="985"/>
      <c r="Q155" s="1013"/>
      <c r="R155" s="1813"/>
      <c r="S155" s="1008"/>
      <c r="T155" s="1258"/>
      <c r="U155" s="1339"/>
      <c r="V155" s="72">
        <f t="shared" si="2"/>
        <v>0</v>
      </c>
      <c r="W155" s="76"/>
      <c r="X155" s="74"/>
      <c r="AB155" s="72">
        <f t="shared" si="3"/>
        <v>0</v>
      </c>
    </row>
    <row r="156" spans="1:32" ht="14.25" customHeight="1" thickBot="1" x14ac:dyDescent="0.3">
      <c r="A156" s="1864"/>
      <c r="B156" s="1072" t="s">
        <v>422</v>
      </c>
      <c r="C156" s="913"/>
      <c r="D156" s="913"/>
      <c r="E156" s="913"/>
      <c r="F156" s="913"/>
      <c r="G156" s="1073"/>
      <c r="H156" s="316" t="s">
        <v>100</v>
      </c>
      <c r="I156" s="1018"/>
      <c r="J156" s="1048"/>
      <c r="K156" s="1049"/>
      <c r="L156" s="1369"/>
      <c r="M156" s="1370"/>
      <c r="N156" s="1370"/>
      <c r="O156" s="1370"/>
      <c r="P156" s="1370"/>
      <c r="Q156" s="981"/>
      <c r="R156" s="1813"/>
      <c r="S156" s="1008"/>
      <c r="T156" s="1259"/>
      <c r="U156" s="1340"/>
      <c r="V156" s="72">
        <f t="shared" si="2"/>
        <v>0</v>
      </c>
      <c r="W156" s="74">
        <f>IF(H156="ja",X156,0)</f>
        <v>0</v>
      </c>
      <c r="X156" s="74">
        <v>1E-3</v>
      </c>
      <c r="AB156" s="72">
        <f t="shared" si="3"/>
        <v>0</v>
      </c>
    </row>
    <row r="157" spans="1:32" ht="14.25" customHeight="1" thickBot="1" x14ac:dyDescent="0.3">
      <c r="A157" s="1864"/>
      <c r="B157" s="1082" t="s">
        <v>229</v>
      </c>
      <c r="C157" s="1083"/>
      <c r="D157" s="1083"/>
      <c r="E157" s="1083"/>
      <c r="F157" s="1083"/>
      <c r="G157" s="1084"/>
      <c r="H157" s="144"/>
      <c r="I157" s="1238"/>
      <c r="J157" s="1239"/>
      <c r="K157" s="1240"/>
      <c r="L157" s="1331">
        <f>SUM(R142:S156)</f>
        <v>0</v>
      </c>
      <c r="M157" s="1332"/>
      <c r="N157" s="1332"/>
      <c r="O157" s="1332"/>
      <c r="P157" s="1332"/>
      <c r="Q157" s="1332"/>
      <c r="R157" s="1332"/>
      <c r="S157" s="1856"/>
      <c r="T157" s="525"/>
      <c r="U157" s="335" t="s">
        <v>157</v>
      </c>
      <c r="W157" s="77">
        <f>SUM(W142:W156)</f>
        <v>0</v>
      </c>
      <c r="X157" s="75"/>
      <c r="Y157" s="150"/>
      <c r="Z157" s="150"/>
      <c r="AB157" s="72">
        <f t="shared" si="3"/>
        <v>0</v>
      </c>
      <c r="AD157" s="68"/>
      <c r="AE157" s="68"/>
      <c r="AF157" s="68"/>
    </row>
    <row r="158" spans="1:32" ht="14.25" customHeight="1" thickBot="1" x14ac:dyDescent="0.3">
      <c r="A158" s="1864"/>
      <c r="B158" s="1305" t="s">
        <v>233</v>
      </c>
      <c r="C158" s="1306"/>
      <c r="D158" s="1306"/>
      <c r="E158" s="1306"/>
      <c r="F158" s="1306"/>
      <c r="G158" s="1307"/>
      <c r="H158" s="326" t="s">
        <v>100</v>
      </c>
      <c r="I158" s="1016">
        <f>W173</f>
        <v>0</v>
      </c>
      <c r="J158" s="1044">
        <f>I158*I99</f>
        <v>0</v>
      </c>
      <c r="K158" s="1045"/>
      <c r="L158" s="1880" t="s">
        <v>232</v>
      </c>
      <c r="M158" s="1881"/>
      <c r="N158" s="1881"/>
      <c r="O158" s="1881"/>
      <c r="P158" s="1881"/>
      <c r="Q158" s="1013" t="s">
        <v>100</v>
      </c>
      <c r="R158" s="1812"/>
      <c r="S158" s="1006"/>
      <c r="T158" s="1257" t="str">
        <f>IFERROR(IF((VLOOKUP(U158,Überblick!$M$125:$N$133,2))="ja","ja","nein"),"")</f>
        <v/>
      </c>
      <c r="U158" s="1337"/>
      <c r="V158" s="72">
        <f t="shared" si="2"/>
        <v>0</v>
      </c>
      <c r="W158" s="74">
        <f>IF(H158="ja",X158,0)</f>
        <v>0</v>
      </c>
      <c r="X158" s="74">
        <v>1E-3</v>
      </c>
      <c r="Y158" s="77"/>
      <c r="AB158" s="72">
        <f t="shared" si="3"/>
        <v>0</v>
      </c>
    </row>
    <row r="159" spans="1:32" ht="14.25" customHeight="1" thickBot="1" x14ac:dyDescent="0.3">
      <c r="A159" s="1864"/>
      <c r="B159" s="1077" t="s">
        <v>234</v>
      </c>
      <c r="C159" s="1078"/>
      <c r="D159" s="1078"/>
      <c r="E159" s="1078"/>
      <c r="F159" s="1078"/>
      <c r="G159" s="1079"/>
      <c r="H159" s="986" t="s">
        <v>100</v>
      </c>
      <c r="I159" s="1017"/>
      <c r="J159" s="1046"/>
      <c r="K159" s="1047"/>
      <c r="L159" s="1172"/>
      <c r="M159" s="1173"/>
      <c r="N159" s="1173"/>
      <c r="O159" s="1173"/>
      <c r="P159" s="1173"/>
      <c r="Q159" s="1013"/>
      <c r="R159" s="1814"/>
      <c r="S159" s="1270"/>
      <c r="T159" s="1258"/>
      <c r="U159" s="1337"/>
      <c r="V159" s="72">
        <f t="shared" si="2"/>
        <v>0</v>
      </c>
      <c r="W159" s="74">
        <f>IF(H159="ja",X159,0)</f>
        <v>0</v>
      </c>
      <c r="X159" s="74">
        <v>1.7500000000000002E-2</v>
      </c>
      <c r="Y159" s="77"/>
      <c r="AB159" s="72">
        <f t="shared" si="3"/>
        <v>0</v>
      </c>
    </row>
    <row r="160" spans="1:32" ht="14.25" customHeight="1" thickBot="1" x14ac:dyDescent="0.3">
      <c r="A160" s="1864"/>
      <c r="B160" s="1072"/>
      <c r="C160" s="913"/>
      <c r="D160" s="913"/>
      <c r="E160" s="913"/>
      <c r="F160" s="913"/>
      <c r="G160" s="1073"/>
      <c r="H160" s="986"/>
      <c r="I160" s="1017"/>
      <c r="J160" s="1046"/>
      <c r="K160" s="1047"/>
      <c r="L160" s="984" t="s">
        <v>235</v>
      </c>
      <c r="M160" s="985"/>
      <c r="N160" s="985"/>
      <c r="O160" s="985"/>
      <c r="P160" s="985"/>
      <c r="Q160" s="1013" t="s">
        <v>100</v>
      </c>
      <c r="R160" s="1812"/>
      <c r="S160" s="1006"/>
      <c r="T160" s="1258"/>
      <c r="U160" s="1337"/>
      <c r="V160" s="72">
        <f t="shared" si="2"/>
        <v>0</v>
      </c>
      <c r="W160" s="76"/>
      <c r="X160" s="74"/>
      <c r="AB160" s="72">
        <f t="shared" si="3"/>
        <v>0</v>
      </c>
    </row>
    <row r="161" spans="1:32" ht="14.25" customHeight="1" thickBot="1" x14ac:dyDescent="0.3">
      <c r="A161" s="1864"/>
      <c r="B161" s="1072"/>
      <c r="C161" s="913"/>
      <c r="D161" s="913"/>
      <c r="E161" s="913"/>
      <c r="F161" s="913"/>
      <c r="G161" s="1073"/>
      <c r="H161" s="986"/>
      <c r="I161" s="1017"/>
      <c r="J161" s="1046"/>
      <c r="K161" s="1047"/>
      <c r="L161" s="984"/>
      <c r="M161" s="985"/>
      <c r="N161" s="985"/>
      <c r="O161" s="985"/>
      <c r="P161" s="985"/>
      <c r="Q161" s="1013"/>
      <c r="R161" s="1813"/>
      <c r="S161" s="1008"/>
      <c r="T161" s="1258"/>
      <c r="U161" s="1337"/>
      <c r="V161" s="72">
        <f t="shared" si="2"/>
        <v>0</v>
      </c>
      <c r="W161" s="76"/>
      <c r="X161" s="74"/>
      <c r="AB161" s="72">
        <f t="shared" si="3"/>
        <v>0</v>
      </c>
    </row>
    <row r="162" spans="1:32" ht="14.25" customHeight="1" thickBot="1" x14ac:dyDescent="0.3">
      <c r="A162" s="1864"/>
      <c r="B162" s="1072"/>
      <c r="C162" s="913"/>
      <c r="D162" s="913"/>
      <c r="E162" s="913"/>
      <c r="F162" s="913"/>
      <c r="G162" s="1073"/>
      <c r="H162" s="986"/>
      <c r="I162" s="1017"/>
      <c r="J162" s="1046"/>
      <c r="K162" s="1047"/>
      <c r="L162" s="984"/>
      <c r="M162" s="985"/>
      <c r="N162" s="985"/>
      <c r="O162" s="985"/>
      <c r="P162" s="985"/>
      <c r="Q162" s="1013"/>
      <c r="R162" s="1814"/>
      <c r="S162" s="1270"/>
      <c r="T162" s="1258"/>
      <c r="U162" s="1337"/>
      <c r="V162" s="72">
        <f t="shared" si="2"/>
        <v>0</v>
      </c>
      <c r="W162" s="76"/>
      <c r="X162" s="74"/>
      <c r="AB162" s="72">
        <f t="shared" si="3"/>
        <v>0</v>
      </c>
    </row>
    <row r="163" spans="1:32" ht="14.25" customHeight="1" thickBot="1" x14ac:dyDescent="0.3">
      <c r="A163" s="1864"/>
      <c r="B163" s="1074"/>
      <c r="C163" s="1075"/>
      <c r="D163" s="1075"/>
      <c r="E163" s="1075"/>
      <c r="F163" s="1075"/>
      <c r="G163" s="1076"/>
      <c r="H163" s="986"/>
      <c r="I163" s="1017"/>
      <c r="J163" s="1046"/>
      <c r="K163" s="1047"/>
      <c r="L163" s="984"/>
      <c r="M163" s="985"/>
      <c r="N163" s="985"/>
      <c r="O163" s="985"/>
      <c r="P163" s="985"/>
      <c r="Q163" s="1013" t="s">
        <v>100</v>
      </c>
      <c r="R163" s="1812"/>
      <c r="S163" s="1006"/>
      <c r="T163" s="1258"/>
      <c r="U163" s="1337"/>
      <c r="V163" s="72">
        <f t="shared" si="2"/>
        <v>0</v>
      </c>
      <c r="W163" s="76"/>
      <c r="X163" s="74"/>
      <c r="AB163" s="72">
        <f t="shared" si="3"/>
        <v>0</v>
      </c>
    </row>
    <row r="164" spans="1:32" ht="14.25" customHeight="1" thickBot="1" x14ac:dyDescent="0.3">
      <c r="A164" s="1864"/>
      <c r="B164" s="1308" t="s">
        <v>237</v>
      </c>
      <c r="C164" s="1309"/>
      <c r="D164" s="1309"/>
      <c r="E164" s="1309"/>
      <c r="F164" s="1309"/>
      <c r="G164" s="1310"/>
      <c r="H164" s="316" t="s">
        <v>100</v>
      </c>
      <c r="I164" s="1017"/>
      <c r="J164" s="1046"/>
      <c r="K164" s="1047"/>
      <c r="L164" s="984"/>
      <c r="M164" s="985"/>
      <c r="N164" s="985"/>
      <c r="O164" s="985"/>
      <c r="P164" s="985"/>
      <c r="Q164" s="1013"/>
      <c r="R164" s="1813"/>
      <c r="S164" s="1008"/>
      <c r="T164" s="1258"/>
      <c r="U164" s="1337"/>
      <c r="V164" s="72">
        <f t="shared" si="2"/>
        <v>0</v>
      </c>
      <c r="W164" s="74">
        <f>IF(H164="ja",X164,0)</f>
        <v>0</v>
      </c>
      <c r="X164" s="74">
        <v>2E-3</v>
      </c>
      <c r="Y164" s="77"/>
      <c r="AB164" s="72">
        <f t="shared" si="3"/>
        <v>0</v>
      </c>
    </row>
    <row r="165" spans="1:32" ht="14.25" customHeight="1" thickBot="1" x14ac:dyDescent="0.3">
      <c r="A165" s="1864"/>
      <c r="B165" s="1077" t="s">
        <v>238</v>
      </c>
      <c r="C165" s="1078"/>
      <c r="D165" s="1078"/>
      <c r="E165" s="1078"/>
      <c r="F165" s="1078"/>
      <c r="G165" s="1079"/>
      <c r="H165" s="986" t="s">
        <v>100</v>
      </c>
      <c r="I165" s="1017"/>
      <c r="J165" s="1046"/>
      <c r="K165" s="1047"/>
      <c r="L165" s="984"/>
      <c r="M165" s="985"/>
      <c r="N165" s="985"/>
      <c r="O165" s="985"/>
      <c r="P165" s="985"/>
      <c r="Q165" s="1013"/>
      <c r="R165" s="1814"/>
      <c r="S165" s="1270"/>
      <c r="T165" s="1258"/>
      <c r="U165" s="1337"/>
      <c r="V165" s="72">
        <f t="shared" si="2"/>
        <v>0</v>
      </c>
      <c r="W165" s="74">
        <f>IF(H165="ja",X165,0)</f>
        <v>0</v>
      </c>
      <c r="X165" s="74">
        <v>2.5000000000000001E-3</v>
      </c>
      <c r="Y165" s="77"/>
      <c r="AB165" s="72">
        <f t="shared" si="3"/>
        <v>0</v>
      </c>
    </row>
    <row r="166" spans="1:32" ht="14.25" customHeight="1" thickBot="1" x14ac:dyDescent="0.3">
      <c r="A166" s="1864"/>
      <c r="B166" s="1074"/>
      <c r="C166" s="1075"/>
      <c r="D166" s="1075"/>
      <c r="E166" s="1075"/>
      <c r="F166" s="1075"/>
      <c r="G166" s="1076"/>
      <c r="H166" s="986"/>
      <c r="I166" s="1017"/>
      <c r="J166" s="1046"/>
      <c r="K166" s="1047"/>
      <c r="L166" s="984"/>
      <c r="M166" s="985"/>
      <c r="N166" s="985"/>
      <c r="O166" s="985"/>
      <c r="P166" s="985"/>
      <c r="Q166" s="1013" t="s">
        <v>100</v>
      </c>
      <c r="R166" s="1812"/>
      <c r="S166" s="1006"/>
      <c r="T166" s="1258"/>
      <c r="U166" s="1337"/>
      <c r="V166" s="72">
        <f t="shared" ref="V166:V213" si="4">IF(AND(Q166="ja",R166=""),1,0)</f>
        <v>0</v>
      </c>
      <c r="W166" s="76"/>
      <c r="X166" s="74"/>
      <c r="AB166" s="72">
        <f t="shared" ref="AB166:AB213" si="5">IF(Q166="ja",1,0)</f>
        <v>0</v>
      </c>
    </row>
    <row r="167" spans="1:32" ht="14.25" customHeight="1" thickBot="1" x14ac:dyDescent="0.3">
      <c r="A167" s="1864"/>
      <c r="B167" s="1077" t="s">
        <v>239</v>
      </c>
      <c r="C167" s="1078"/>
      <c r="D167" s="1078"/>
      <c r="E167" s="1078"/>
      <c r="F167" s="1078"/>
      <c r="G167" s="1079"/>
      <c r="H167" s="986" t="s">
        <v>100</v>
      </c>
      <c r="I167" s="1017"/>
      <c r="J167" s="1046"/>
      <c r="K167" s="1047"/>
      <c r="L167" s="984"/>
      <c r="M167" s="985"/>
      <c r="N167" s="985"/>
      <c r="O167" s="985"/>
      <c r="P167" s="985"/>
      <c r="Q167" s="1013"/>
      <c r="R167" s="1813"/>
      <c r="S167" s="1008"/>
      <c r="T167" s="1258"/>
      <c r="U167" s="1337"/>
      <c r="V167" s="72">
        <f t="shared" si="4"/>
        <v>0</v>
      </c>
      <c r="W167" s="74">
        <f>IF(H167="ja",X167,0)</f>
        <v>0</v>
      </c>
      <c r="X167" s="74">
        <v>1E-3</v>
      </c>
      <c r="Y167" s="77"/>
      <c r="AB167" s="72">
        <f t="shared" si="5"/>
        <v>0</v>
      </c>
    </row>
    <row r="168" spans="1:32" ht="14.25" customHeight="1" thickBot="1" x14ac:dyDescent="0.3">
      <c r="A168" s="1864"/>
      <c r="B168" s="1074"/>
      <c r="C168" s="1075"/>
      <c r="D168" s="1075"/>
      <c r="E168" s="1075"/>
      <c r="F168" s="1075"/>
      <c r="G168" s="1076"/>
      <c r="H168" s="986"/>
      <c r="I168" s="1017"/>
      <c r="J168" s="1046"/>
      <c r="K168" s="1047"/>
      <c r="L168" s="984"/>
      <c r="M168" s="985"/>
      <c r="N168" s="985"/>
      <c r="O168" s="985"/>
      <c r="P168" s="985"/>
      <c r="Q168" s="1013"/>
      <c r="R168" s="1814"/>
      <c r="S168" s="1270"/>
      <c r="T168" s="1258"/>
      <c r="U168" s="1337"/>
      <c r="V168" s="72">
        <f t="shared" si="4"/>
        <v>0</v>
      </c>
      <c r="W168" s="76"/>
      <c r="X168" s="74"/>
      <c r="AB168" s="72">
        <f t="shared" si="5"/>
        <v>0</v>
      </c>
    </row>
    <row r="169" spans="1:32" ht="14.25" customHeight="1" thickBot="1" x14ac:dyDescent="0.3">
      <c r="A169" s="1864"/>
      <c r="B169" s="1072" t="s">
        <v>644</v>
      </c>
      <c r="C169" s="913"/>
      <c r="D169" s="913"/>
      <c r="E169" s="913"/>
      <c r="F169" s="913"/>
      <c r="G169" s="1073"/>
      <c r="H169" s="986" t="s">
        <v>100</v>
      </c>
      <c r="I169" s="1017"/>
      <c r="J169" s="1046"/>
      <c r="K169" s="1047"/>
      <c r="L169" s="984"/>
      <c r="M169" s="985"/>
      <c r="N169" s="985"/>
      <c r="O169" s="985"/>
      <c r="P169" s="985"/>
      <c r="Q169" s="1013" t="s">
        <v>100</v>
      </c>
      <c r="R169" s="1812"/>
      <c r="S169" s="1006"/>
      <c r="T169" s="1258"/>
      <c r="U169" s="1337"/>
      <c r="V169" s="72">
        <f t="shared" si="4"/>
        <v>0</v>
      </c>
      <c r="W169" s="74">
        <f>IF(H169="ja",X169,0)</f>
        <v>0</v>
      </c>
      <c r="X169" s="74">
        <v>5.0000000000000001E-3</v>
      </c>
      <c r="Y169" s="77"/>
      <c r="AB169" s="72">
        <f t="shared" si="5"/>
        <v>0</v>
      </c>
    </row>
    <row r="170" spans="1:32" ht="14.25" customHeight="1" thickBot="1" x14ac:dyDescent="0.3">
      <c r="A170" s="1864"/>
      <c r="B170" s="1072"/>
      <c r="C170" s="913"/>
      <c r="D170" s="913"/>
      <c r="E170" s="913"/>
      <c r="F170" s="913"/>
      <c r="G170" s="1073"/>
      <c r="H170" s="986"/>
      <c r="I170" s="1017"/>
      <c r="J170" s="1046"/>
      <c r="K170" s="1047"/>
      <c r="L170" s="984"/>
      <c r="M170" s="985"/>
      <c r="N170" s="985"/>
      <c r="O170" s="985"/>
      <c r="P170" s="985"/>
      <c r="Q170" s="1013"/>
      <c r="R170" s="1813"/>
      <c r="S170" s="1008"/>
      <c r="T170" s="1258"/>
      <c r="U170" s="1337"/>
      <c r="V170" s="72">
        <f t="shared" si="4"/>
        <v>0</v>
      </c>
      <c r="W170" s="76"/>
      <c r="X170" s="74"/>
      <c r="AB170" s="72">
        <f t="shared" si="5"/>
        <v>0</v>
      </c>
    </row>
    <row r="171" spans="1:32" ht="14.25" customHeight="1" thickBot="1" x14ac:dyDescent="0.3">
      <c r="A171" s="1864"/>
      <c r="B171" s="1074"/>
      <c r="C171" s="1075"/>
      <c r="D171" s="1075"/>
      <c r="E171" s="1075"/>
      <c r="F171" s="1075"/>
      <c r="G171" s="1076"/>
      <c r="H171" s="986"/>
      <c r="I171" s="1017"/>
      <c r="J171" s="1046"/>
      <c r="K171" s="1047"/>
      <c r="L171" s="984"/>
      <c r="M171" s="985"/>
      <c r="N171" s="985"/>
      <c r="O171" s="985"/>
      <c r="P171" s="985"/>
      <c r="Q171" s="1013"/>
      <c r="R171" s="1814"/>
      <c r="S171" s="1270"/>
      <c r="T171" s="1258"/>
      <c r="U171" s="1337"/>
      <c r="V171" s="72">
        <f t="shared" si="4"/>
        <v>0</v>
      </c>
      <c r="W171" s="76"/>
      <c r="X171" s="74"/>
      <c r="AB171" s="72">
        <f t="shared" si="5"/>
        <v>0</v>
      </c>
    </row>
    <row r="172" spans="1:32" ht="14.25" customHeight="1" thickBot="1" x14ac:dyDescent="0.3">
      <c r="A172" s="1864"/>
      <c r="B172" s="1308" t="s">
        <v>241</v>
      </c>
      <c r="C172" s="1309"/>
      <c r="D172" s="1309"/>
      <c r="E172" s="1309"/>
      <c r="F172" s="1309"/>
      <c r="G172" s="1310"/>
      <c r="H172" s="324" t="s">
        <v>100</v>
      </c>
      <c r="I172" s="1018"/>
      <c r="J172" s="1048"/>
      <c r="K172" s="1049"/>
      <c r="L172" s="1877"/>
      <c r="M172" s="1878"/>
      <c r="N172" s="1878"/>
      <c r="O172" s="1878"/>
      <c r="P172" s="1878"/>
      <c r="Q172" s="312" t="s">
        <v>100</v>
      </c>
      <c r="R172" s="1879"/>
      <c r="S172" s="975"/>
      <c r="T172" s="1259"/>
      <c r="U172" s="1337"/>
      <c r="V172" s="72">
        <f t="shared" si="4"/>
        <v>0</v>
      </c>
      <c r="W172" s="74">
        <f>IF(H172="ja",X172,0)</f>
        <v>0</v>
      </c>
      <c r="X172" s="74">
        <v>1E-3</v>
      </c>
      <c r="Y172" s="77"/>
      <c r="AB172" s="72">
        <f t="shared" si="5"/>
        <v>0</v>
      </c>
    </row>
    <row r="173" spans="1:32" ht="14.25" customHeight="1" thickBot="1" x14ac:dyDescent="0.3">
      <c r="A173" s="1864"/>
      <c r="B173" s="1082" t="s">
        <v>243</v>
      </c>
      <c r="C173" s="1083"/>
      <c r="D173" s="1083"/>
      <c r="E173" s="1083"/>
      <c r="F173" s="1083"/>
      <c r="G173" s="1084"/>
      <c r="H173" s="144"/>
      <c r="I173" s="1238"/>
      <c r="J173" s="1239"/>
      <c r="K173" s="1240"/>
      <c r="L173" s="1331">
        <f>SUM(R158:S172)</f>
        <v>0</v>
      </c>
      <c r="M173" s="1332"/>
      <c r="N173" s="1332"/>
      <c r="O173" s="1332"/>
      <c r="P173" s="1332"/>
      <c r="Q173" s="1332"/>
      <c r="R173" s="1332"/>
      <c r="S173" s="1856"/>
      <c r="T173" s="524"/>
      <c r="U173" s="335" t="s">
        <v>157</v>
      </c>
      <c r="V173" s="72">
        <f t="shared" si="4"/>
        <v>0</v>
      </c>
      <c r="W173" s="74">
        <f>SUM(W158:W172)</f>
        <v>0</v>
      </c>
      <c r="AB173" s="72">
        <f t="shared" si="5"/>
        <v>0</v>
      </c>
      <c r="AD173" s="68"/>
      <c r="AE173" s="68"/>
      <c r="AF173" s="68"/>
    </row>
    <row r="174" spans="1:32" ht="14.25" customHeight="1" x14ac:dyDescent="0.25">
      <c r="A174" s="1864"/>
      <c r="B174" s="1313" t="s">
        <v>645</v>
      </c>
      <c r="C174" s="1314"/>
      <c r="D174" s="1314"/>
      <c r="E174" s="1314"/>
      <c r="F174" s="1314"/>
      <c r="G174" s="1315"/>
      <c r="H174" s="1316" t="s">
        <v>100</v>
      </c>
      <c r="I174" s="1016">
        <f>W204</f>
        <v>0</v>
      </c>
      <c r="J174" s="1044">
        <f>I174*I99</f>
        <v>0</v>
      </c>
      <c r="K174" s="1045"/>
      <c r="L174" s="1572"/>
      <c r="M174" s="1573"/>
      <c r="N174" s="1573"/>
      <c r="O174" s="1573"/>
      <c r="P174" s="1573"/>
      <c r="Q174" s="1013" t="s">
        <v>100</v>
      </c>
      <c r="R174" s="1812"/>
      <c r="S174" s="1006"/>
      <c r="T174" s="1257" t="str">
        <f>IFERROR(IF((VLOOKUP(U174,Überblick!$M$125:$N$133,2))="ja","ja","nein"),"")</f>
        <v/>
      </c>
      <c r="U174" s="1338"/>
      <c r="V174" s="72">
        <f t="shared" si="4"/>
        <v>0</v>
      </c>
      <c r="W174" s="74">
        <f>IF(H174="ja",X174,0)</f>
        <v>0</v>
      </c>
      <c r="X174" s="74">
        <v>0.18</v>
      </c>
      <c r="Y174" s="152"/>
      <c r="AB174" s="72">
        <f t="shared" si="5"/>
        <v>0</v>
      </c>
    </row>
    <row r="175" spans="1:32" ht="14.25" customHeight="1" x14ac:dyDescent="0.25">
      <c r="A175" s="1864"/>
      <c r="B175" s="1072"/>
      <c r="C175" s="913"/>
      <c r="D175" s="913"/>
      <c r="E175" s="913"/>
      <c r="F175" s="913"/>
      <c r="G175" s="1073"/>
      <c r="H175" s="1080"/>
      <c r="I175" s="1017"/>
      <c r="J175" s="1046"/>
      <c r="K175" s="1047"/>
      <c r="L175" s="984"/>
      <c r="M175" s="985"/>
      <c r="N175" s="985"/>
      <c r="O175" s="985"/>
      <c r="P175" s="985"/>
      <c r="Q175" s="1013"/>
      <c r="R175" s="1813"/>
      <c r="S175" s="1008"/>
      <c r="T175" s="1258"/>
      <c r="U175" s="1339"/>
      <c r="V175" s="72">
        <f t="shared" si="4"/>
        <v>0</v>
      </c>
      <c r="X175" s="74"/>
      <c r="Y175" s="151"/>
      <c r="AB175" s="72">
        <f t="shared" si="5"/>
        <v>0</v>
      </c>
    </row>
    <row r="176" spans="1:32" ht="14.25" customHeight="1" x14ac:dyDescent="0.25">
      <c r="A176" s="1864"/>
      <c r="B176" s="1072"/>
      <c r="C176" s="913"/>
      <c r="D176" s="913"/>
      <c r="E176" s="913"/>
      <c r="F176" s="913"/>
      <c r="G176" s="1073"/>
      <c r="H176" s="1080"/>
      <c r="I176" s="1017"/>
      <c r="J176" s="1046"/>
      <c r="K176" s="1047"/>
      <c r="L176" s="984"/>
      <c r="M176" s="985"/>
      <c r="N176" s="985"/>
      <c r="O176" s="985"/>
      <c r="P176" s="985"/>
      <c r="Q176" s="1013"/>
      <c r="R176" s="1814"/>
      <c r="S176" s="1270"/>
      <c r="T176" s="1258"/>
      <c r="U176" s="1339"/>
      <c r="V176" s="72">
        <f t="shared" si="4"/>
        <v>0</v>
      </c>
      <c r="X176" s="74"/>
      <c r="AB176" s="72">
        <f t="shared" si="5"/>
        <v>0</v>
      </c>
    </row>
    <row r="177" spans="1:28" ht="14.25" customHeight="1" x14ac:dyDescent="0.25">
      <c r="A177" s="1864"/>
      <c r="B177" s="1072"/>
      <c r="C177" s="913"/>
      <c r="D177" s="913"/>
      <c r="E177" s="913"/>
      <c r="F177" s="913"/>
      <c r="G177" s="1073"/>
      <c r="H177" s="1080"/>
      <c r="I177" s="1017"/>
      <c r="J177" s="1046"/>
      <c r="K177" s="1047"/>
      <c r="L177" s="984"/>
      <c r="M177" s="985"/>
      <c r="N177" s="985"/>
      <c r="O177" s="985"/>
      <c r="P177" s="985"/>
      <c r="Q177" s="1013" t="s">
        <v>100</v>
      </c>
      <c r="R177" s="1812"/>
      <c r="S177" s="1006"/>
      <c r="T177" s="1258"/>
      <c r="U177" s="1339"/>
      <c r="V177" s="72">
        <f t="shared" si="4"/>
        <v>0</v>
      </c>
      <c r="X177" s="74"/>
      <c r="Y177" s="151"/>
      <c r="AB177" s="72">
        <f t="shared" si="5"/>
        <v>0</v>
      </c>
    </row>
    <row r="178" spans="1:28" ht="14.25" customHeight="1" x14ac:dyDescent="0.25">
      <c r="A178" s="1864"/>
      <c r="B178" s="1072"/>
      <c r="C178" s="913"/>
      <c r="D178" s="913"/>
      <c r="E178" s="913"/>
      <c r="F178" s="913"/>
      <c r="G178" s="1073"/>
      <c r="H178" s="1080"/>
      <c r="I178" s="1017"/>
      <c r="J178" s="1046"/>
      <c r="K178" s="1047"/>
      <c r="L178" s="984"/>
      <c r="M178" s="985"/>
      <c r="N178" s="985"/>
      <c r="O178" s="985"/>
      <c r="P178" s="985"/>
      <c r="Q178" s="1013"/>
      <c r="R178" s="1813"/>
      <c r="S178" s="1008"/>
      <c r="T178" s="1258"/>
      <c r="U178" s="1339"/>
      <c r="V178" s="72">
        <f t="shared" si="4"/>
        <v>0</v>
      </c>
      <c r="X178" s="74"/>
      <c r="AB178" s="72">
        <f t="shared" si="5"/>
        <v>0</v>
      </c>
    </row>
    <row r="179" spans="1:28" ht="14.25" customHeight="1" x14ac:dyDescent="0.25">
      <c r="A179" s="1864"/>
      <c r="B179" s="1077" t="s">
        <v>646</v>
      </c>
      <c r="C179" s="1078"/>
      <c r="D179" s="1078"/>
      <c r="E179" s="1078"/>
      <c r="F179" s="1078"/>
      <c r="G179" s="1079"/>
      <c r="H179" s="316" t="s">
        <v>100</v>
      </c>
      <c r="I179" s="1017"/>
      <c r="J179" s="1046"/>
      <c r="K179" s="1047"/>
      <c r="L179" s="984"/>
      <c r="M179" s="985"/>
      <c r="N179" s="985"/>
      <c r="O179" s="985"/>
      <c r="P179" s="985"/>
      <c r="Q179" s="1013"/>
      <c r="R179" s="1814"/>
      <c r="S179" s="1270"/>
      <c r="T179" s="1258"/>
      <c r="U179" s="1339"/>
      <c r="V179" s="72">
        <f t="shared" si="4"/>
        <v>0</v>
      </c>
      <c r="W179" s="74">
        <f>IF(H179="ja",X179,0)</f>
        <v>0</v>
      </c>
      <c r="X179" s="74">
        <v>1.4E-2</v>
      </c>
      <c r="Y179" s="152"/>
      <c r="AB179" s="72">
        <f t="shared" si="5"/>
        <v>0</v>
      </c>
    </row>
    <row r="180" spans="1:28" ht="14.25" customHeight="1" x14ac:dyDescent="0.25">
      <c r="A180" s="1864"/>
      <c r="B180" s="1077" t="s">
        <v>647</v>
      </c>
      <c r="C180" s="1078"/>
      <c r="D180" s="1078"/>
      <c r="E180" s="1078"/>
      <c r="F180" s="1078"/>
      <c r="G180" s="1079"/>
      <c r="H180" s="986" t="s">
        <v>100</v>
      </c>
      <c r="I180" s="1017"/>
      <c r="J180" s="1046"/>
      <c r="K180" s="1047"/>
      <c r="L180" s="984"/>
      <c r="M180" s="985"/>
      <c r="N180" s="985"/>
      <c r="O180" s="985"/>
      <c r="P180" s="985"/>
      <c r="Q180" s="1013" t="s">
        <v>100</v>
      </c>
      <c r="R180" s="1812"/>
      <c r="S180" s="1006"/>
      <c r="T180" s="1258"/>
      <c r="U180" s="1339"/>
      <c r="V180" s="72">
        <f t="shared" si="4"/>
        <v>0</v>
      </c>
      <c r="W180" s="74">
        <f>IF(H180="ja",X180,0)</f>
        <v>0</v>
      </c>
      <c r="X180" s="74">
        <v>7.4999999999999997E-3</v>
      </c>
      <c r="Y180" s="152"/>
      <c r="AB180" s="72">
        <f t="shared" si="5"/>
        <v>0</v>
      </c>
    </row>
    <row r="181" spans="1:28" ht="14.25" customHeight="1" x14ac:dyDescent="0.25">
      <c r="A181" s="1864"/>
      <c r="B181" s="1074"/>
      <c r="C181" s="1075"/>
      <c r="D181" s="1075"/>
      <c r="E181" s="1075"/>
      <c r="F181" s="1075"/>
      <c r="G181" s="1076"/>
      <c r="H181" s="986"/>
      <c r="I181" s="1017"/>
      <c r="J181" s="1046"/>
      <c r="K181" s="1047"/>
      <c r="L181" s="984"/>
      <c r="M181" s="985"/>
      <c r="N181" s="985"/>
      <c r="O181" s="985"/>
      <c r="P181" s="985"/>
      <c r="Q181" s="1013"/>
      <c r="R181" s="1813"/>
      <c r="S181" s="1008"/>
      <c r="T181" s="1258"/>
      <c r="U181" s="1339"/>
      <c r="V181" s="72">
        <f t="shared" si="4"/>
        <v>0</v>
      </c>
      <c r="X181" s="74"/>
      <c r="AB181" s="72">
        <f t="shared" si="5"/>
        <v>0</v>
      </c>
    </row>
    <row r="182" spans="1:28" ht="14.25" customHeight="1" x14ac:dyDescent="0.25">
      <c r="A182" s="1864"/>
      <c r="B182" s="1077" t="s">
        <v>648</v>
      </c>
      <c r="C182" s="1078"/>
      <c r="D182" s="1078"/>
      <c r="E182" s="1078"/>
      <c r="F182" s="1078"/>
      <c r="G182" s="1079"/>
      <c r="H182" s="986" t="s">
        <v>100</v>
      </c>
      <c r="I182" s="1017"/>
      <c r="J182" s="1046"/>
      <c r="K182" s="1047"/>
      <c r="L182" s="984"/>
      <c r="M182" s="985"/>
      <c r="N182" s="985"/>
      <c r="O182" s="985"/>
      <c r="P182" s="985"/>
      <c r="Q182" s="1013"/>
      <c r="R182" s="1814"/>
      <c r="S182" s="1270"/>
      <c r="T182" s="1258"/>
      <c r="U182" s="1339"/>
      <c r="V182" s="72">
        <f t="shared" si="4"/>
        <v>0</v>
      </c>
      <c r="W182" s="74">
        <f>IF(H182="ja",X182,0)</f>
        <v>0</v>
      </c>
      <c r="X182" s="74">
        <v>6.0000000000000001E-3</v>
      </c>
      <c r="Y182" s="152"/>
      <c r="AB182" s="72">
        <f t="shared" si="5"/>
        <v>0</v>
      </c>
    </row>
    <row r="183" spans="1:28" ht="14.25" customHeight="1" x14ac:dyDescent="0.25">
      <c r="A183" s="1864"/>
      <c r="B183" s="1074"/>
      <c r="C183" s="1075"/>
      <c r="D183" s="1075"/>
      <c r="E183" s="1075"/>
      <c r="F183" s="1075"/>
      <c r="G183" s="1076"/>
      <c r="H183" s="986"/>
      <c r="I183" s="1017"/>
      <c r="J183" s="1046"/>
      <c r="K183" s="1047"/>
      <c r="L183" s="984"/>
      <c r="M183" s="985"/>
      <c r="N183" s="985"/>
      <c r="O183" s="985"/>
      <c r="P183" s="985"/>
      <c r="Q183" s="1013" t="s">
        <v>100</v>
      </c>
      <c r="R183" s="1812"/>
      <c r="S183" s="1006"/>
      <c r="T183" s="1258"/>
      <c r="U183" s="1339"/>
      <c r="V183" s="72">
        <f t="shared" si="4"/>
        <v>0</v>
      </c>
      <c r="X183" s="74"/>
      <c r="AB183" s="72">
        <f t="shared" si="5"/>
        <v>0</v>
      </c>
    </row>
    <row r="184" spans="1:28" ht="13.6" customHeight="1" x14ac:dyDescent="0.25">
      <c r="A184" s="1864"/>
      <c r="B184" s="1077" t="s">
        <v>649</v>
      </c>
      <c r="C184" s="1078"/>
      <c r="D184" s="1078"/>
      <c r="E184" s="1078"/>
      <c r="F184" s="1078"/>
      <c r="G184" s="1079"/>
      <c r="H184" s="1014" t="s">
        <v>100</v>
      </c>
      <c r="I184" s="1017"/>
      <c r="J184" s="1046"/>
      <c r="K184" s="1047"/>
      <c r="L184" s="984"/>
      <c r="M184" s="985"/>
      <c r="N184" s="985"/>
      <c r="O184" s="985"/>
      <c r="P184" s="985"/>
      <c r="Q184" s="1013"/>
      <c r="R184" s="1813"/>
      <c r="S184" s="1008"/>
      <c r="T184" s="1258"/>
      <c r="U184" s="1339"/>
      <c r="V184" s="72">
        <f t="shared" si="4"/>
        <v>0</v>
      </c>
      <c r="W184" s="74">
        <f>IF(H184="ja",X184,0)</f>
        <v>0</v>
      </c>
      <c r="X184" s="74">
        <v>7.4999999999999997E-3</v>
      </c>
      <c r="Y184" s="152"/>
      <c r="AB184" s="72">
        <f t="shared" si="5"/>
        <v>0</v>
      </c>
    </row>
    <row r="185" spans="1:28" ht="15.95" customHeight="1" x14ac:dyDescent="0.25">
      <c r="A185" s="1864"/>
      <c r="B185" s="1072"/>
      <c r="C185" s="913"/>
      <c r="D185" s="913"/>
      <c r="E185" s="913"/>
      <c r="F185" s="913"/>
      <c r="G185" s="1073"/>
      <c r="H185" s="1080"/>
      <c r="I185" s="1017"/>
      <c r="J185" s="1046"/>
      <c r="K185" s="1047"/>
      <c r="L185" s="984"/>
      <c r="M185" s="985"/>
      <c r="N185" s="985"/>
      <c r="O185" s="985"/>
      <c r="P185" s="985"/>
      <c r="Q185" s="1013"/>
      <c r="R185" s="1814"/>
      <c r="S185" s="1270"/>
      <c r="T185" s="1258"/>
      <c r="U185" s="1339"/>
      <c r="V185" s="72">
        <f t="shared" si="4"/>
        <v>0</v>
      </c>
      <c r="W185" s="74"/>
      <c r="X185" s="74"/>
      <c r="Y185" s="152"/>
      <c r="AB185" s="72">
        <f t="shared" si="5"/>
        <v>0</v>
      </c>
    </row>
    <row r="186" spans="1:28" ht="15" customHeight="1" x14ac:dyDescent="0.25">
      <c r="A186" s="1864"/>
      <c r="B186" s="1077" t="s">
        <v>650</v>
      </c>
      <c r="C186" s="1078"/>
      <c r="D186" s="1078"/>
      <c r="E186" s="1078"/>
      <c r="F186" s="1078"/>
      <c r="G186" s="1079"/>
      <c r="H186" s="986" t="s">
        <v>100</v>
      </c>
      <c r="I186" s="1017"/>
      <c r="J186" s="1046"/>
      <c r="K186" s="1047"/>
      <c r="L186" s="984"/>
      <c r="M186" s="985"/>
      <c r="N186" s="985"/>
      <c r="O186" s="985"/>
      <c r="P186" s="985"/>
      <c r="Q186" s="1013" t="s">
        <v>100</v>
      </c>
      <c r="R186" s="1812"/>
      <c r="S186" s="1006"/>
      <c r="T186" s="1258"/>
      <c r="U186" s="1339"/>
      <c r="V186" s="72">
        <f t="shared" si="4"/>
        <v>0</v>
      </c>
      <c r="W186" s="74">
        <f>IF(H186="ja",X186,0)</f>
        <v>0</v>
      </c>
      <c r="X186" s="74">
        <v>0.01</v>
      </c>
      <c r="Y186" s="152"/>
      <c r="AB186" s="72">
        <f t="shared" si="5"/>
        <v>0</v>
      </c>
    </row>
    <row r="187" spans="1:28" ht="15" customHeight="1" x14ac:dyDescent="0.25">
      <c r="A187" s="1864"/>
      <c r="B187" s="1074"/>
      <c r="C187" s="1075"/>
      <c r="D187" s="1075"/>
      <c r="E187" s="1075"/>
      <c r="F187" s="1075"/>
      <c r="G187" s="1076"/>
      <c r="H187" s="986"/>
      <c r="I187" s="1017"/>
      <c r="J187" s="1046"/>
      <c r="K187" s="1047"/>
      <c r="L187" s="984"/>
      <c r="M187" s="985"/>
      <c r="N187" s="985"/>
      <c r="O187" s="985"/>
      <c r="P187" s="985"/>
      <c r="Q187" s="1013"/>
      <c r="R187" s="1813"/>
      <c r="S187" s="1008"/>
      <c r="T187" s="1258"/>
      <c r="U187" s="1339"/>
      <c r="V187" s="72">
        <f t="shared" si="4"/>
        <v>0</v>
      </c>
      <c r="X187" s="74"/>
      <c r="AB187" s="72">
        <f t="shared" si="5"/>
        <v>0</v>
      </c>
    </row>
    <row r="188" spans="1:28" ht="14.25" customHeight="1" x14ac:dyDescent="0.25">
      <c r="A188" s="1864"/>
      <c r="B188" s="1077" t="s">
        <v>651</v>
      </c>
      <c r="C188" s="1078"/>
      <c r="D188" s="1078"/>
      <c r="E188" s="1078"/>
      <c r="F188" s="1078"/>
      <c r="G188" s="1079"/>
      <c r="H188" s="1014" t="s">
        <v>100</v>
      </c>
      <c r="I188" s="1017"/>
      <c r="J188" s="1046"/>
      <c r="K188" s="1047"/>
      <c r="L188" s="984"/>
      <c r="M188" s="985"/>
      <c r="N188" s="985"/>
      <c r="O188" s="985"/>
      <c r="P188" s="985"/>
      <c r="Q188" s="1013"/>
      <c r="R188" s="1814"/>
      <c r="S188" s="1270"/>
      <c r="T188" s="1258"/>
      <c r="U188" s="1339"/>
      <c r="V188" s="72">
        <f t="shared" si="4"/>
        <v>0</v>
      </c>
      <c r="W188" s="74">
        <f>IF(H188="ja",X188,0)</f>
        <v>0</v>
      </c>
      <c r="X188" s="74">
        <v>2.75E-2</v>
      </c>
      <c r="Y188" s="152"/>
      <c r="AB188" s="72">
        <f t="shared" si="5"/>
        <v>0</v>
      </c>
    </row>
    <row r="189" spans="1:28" ht="14.25" customHeight="1" x14ac:dyDescent="0.25">
      <c r="A189" s="1864"/>
      <c r="B189" s="1072"/>
      <c r="C189" s="913"/>
      <c r="D189" s="913"/>
      <c r="E189" s="913"/>
      <c r="F189" s="913"/>
      <c r="G189" s="1073"/>
      <c r="H189" s="1080"/>
      <c r="I189" s="1017"/>
      <c r="J189" s="1046"/>
      <c r="K189" s="1047"/>
      <c r="L189" s="984"/>
      <c r="M189" s="985"/>
      <c r="N189" s="985"/>
      <c r="O189" s="985"/>
      <c r="P189" s="985"/>
      <c r="Q189" s="1013" t="s">
        <v>100</v>
      </c>
      <c r="R189" s="1812"/>
      <c r="S189" s="1006"/>
      <c r="T189" s="1258"/>
      <c r="U189" s="1339"/>
      <c r="V189" s="72">
        <f t="shared" si="4"/>
        <v>0</v>
      </c>
      <c r="X189" s="74"/>
      <c r="AB189" s="72">
        <f t="shared" si="5"/>
        <v>0</v>
      </c>
    </row>
    <row r="190" spans="1:28" ht="14.25" customHeight="1" x14ac:dyDescent="0.25">
      <c r="A190" s="1864"/>
      <c r="B190" s="1077" t="s">
        <v>255</v>
      </c>
      <c r="C190" s="1078"/>
      <c r="D190" s="1078"/>
      <c r="E190" s="1078"/>
      <c r="F190" s="1078"/>
      <c r="G190" s="1079"/>
      <c r="H190" s="986" t="s">
        <v>100</v>
      </c>
      <c r="I190" s="1017"/>
      <c r="J190" s="1046"/>
      <c r="K190" s="1047"/>
      <c r="L190" s="984"/>
      <c r="M190" s="985"/>
      <c r="N190" s="985"/>
      <c r="O190" s="985"/>
      <c r="P190" s="985"/>
      <c r="Q190" s="1013"/>
      <c r="R190" s="1813"/>
      <c r="S190" s="1008"/>
      <c r="T190" s="1258"/>
      <c r="U190" s="1339"/>
      <c r="V190" s="72">
        <f t="shared" si="4"/>
        <v>0</v>
      </c>
      <c r="W190" s="74">
        <f>IF(H190="ja",X190,0)</f>
        <v>0</v>
      </c>
      <c r="X190" s="74">
        <v>7.4999999999999997E-3</v>
      </c>
      <c r="Y190" s="152"/>
      <c r="AB190" s="72">
        <f t="shared" si="5"/>
        <v>0</v>
      </c>
    </row>
    <row r="191" spans="1:28" ht="14.25" customHeight="1" x14ac:dyDescent="0.25">
      <c r="A191" s="1864"/>
      <c r="B191" s="1074"/>
      <c r="C191" s="1075"/>
      <c r="D191" s="1075"/>
      <c r="E191" s="1075"/>
      <c r="F191" s="1075"/>
      <c r="G191" s="1076"/>
      <c r="H191" s="986"/>
      <c r="I191" s="1017"/>
      <c r="J191" s="1046"/>
      <c r="K191" s="1047"/>
      <c r="L191" s="984"/>
      <c r="M191" s="985"/>
      <c r="N191" s="985"/>
      <c r="O191" s="985"/>
      <c r="P191" s="985"/>
      <c r="Q191" s="1013"/>
      <c r="R191" s="1814"/>
      <c r="S191" s="1270"/>
      <c r="T191" s="1258"/>
      <c r="U191" s="1339"/>
      <c r="V191" s="72">
        <f t="shared" si="4"/>
        <v>0</v>
      </c>
      <c r="X191" s="74"/>
      <c r="Y191" s="151"/>
      <c r="AB191" s="72">
        <f t="shared" si="5"/>
        <v>0</v>
      </c>
    </row>
    <row r="192" spans="1:28" ht="14.25" customHeight="1" x14ac:dyDescent="0.25">
      <c r="A192" s="1864"/>
      <c r="B192" s="1077" t="s">
        <v>259</v>
      </c>
      <c r="C192" s="1078"/>
      <c r="D192" s="1078"/>
      <c r="E192" s="1078"/>
      <c r="F192" s="1078"/>
      <c r="G192" s="1079"/>
      <c r="H192" s="986" t="s">
        <v>100</v>
      </c>
      <c r="I192" s="1017"/>
      <c r="J192" s="1046"/>
      <c r="K192" s="1047"/>
      <c r="L192" s="984"/>
      <c r="M192" s="985"/>
      <c r="N192" s="985"/>
      <c r="O192" s="985"/>
      <c r="P192" s="985"/>
      <c r="Q192" s="1013" t="s">
        <v>100</v>
      </c>
      <c r="R192" s="1812"/>
      <c r="S192" s="1006"/>
      <c r="T192" s="1258"/>
      <c r="U192" s="1339"/>
      <c r="V192" s="72">
        <f t="shared" si="4"/>
        <v>0</v>
      </c>
      <c r="W192" s="74">
        <f>IF(H192="ja",X192,0)</f>
        <v>0</v>
      </c>
      <c r="X192" s="74">
        <v>5.0000000000000001E-3</v>
      </c>
      <c r="Y192" s="152"/>
      <c r="AB192" s="72">
        <f t="shared" si="5"/>
        <v>0</v>
      </c>
    </row>
    <row r="193" spans="1:32" ht="14.25" customHeight="1" x14ac:dyDescent="0.25">
      <c r="A193" s="1864"/>
      <c r="B193" s="1072"/>
      <c r="C193" s="913"/>
      <c r="D193" s="913"/>
      <c r="E193" s="913"/>
      <c r="F193" s="913"/>
      <c r="G193" s="1073"/>
      <c r="H193" s="986"/>
      <c r="I193" s="1017"/>
      <c r="J193" s="1046"/>
      <c r="K193" s="1047"/>
      <c r="L193" s="984"/>
      <c r="M193" s="985"/>
      <c r="N193" s="985"/>
      <c r="O193" s="985"/>
      <c r="P193" s="985"/>
      <c r="Q193" s="1013"/>
      <c r="R193" s="1813"/>
      <c r="S193" s="1008"/>
      <c r="T193" s="1258"/>
      <c r="U193" s="1339"/>
      <c r="V193" s="72">
        <f t="shared" si="4"/>
        <v>0</v>
      </c>
      <c r="X193" s="74"/>
      <c r="Y193" s="152"/>
      <c r="AB193" s="72">
        <f t="shared" si="5"/>
        <v>0</v>
      </c>
    </row>
    <row r="194" spans="1:32" ht="14.25" customHeight="1" x14ac:dyDescent="0.25">
      <c r="A194" s="1864"/>
      <c r="B194" s="1074"/>
      <c r="C194" s="1075"/>
      <c r="D194" s="1075"/>
      <c r="E194" s="1075"/>
      <c r="F194" s="1075"/>
      <c r="G194" s="1076"/>
      <c r="H194" s="986"/>
      <c r="I194" s="1017"/>
      <c r="J194" s="1046"/>
      <c r="K194" s="1047"/>
      <c r="L194" s="984"/>
      <c r="M194" s="985"/>
      <c r="N194" s="985"/>
      <c r="O194" s="985"/>
      <c r="P194" s="985"/>
      <c r="Q194" s="1013"/>
      <c r="R194" s="1814"/>
      <c r="S194" s="1270"/>
      <c r="T194" s="1258"/>
      <c r="U194" s="1339"/>
      <c r="V194" s="72">
        <f t="shared" si="4"/>
        <v>0</v>
      </c>
      <c r="X194" s="74"/>
      <c r="AB194" s="72">
        <f t="shared" si="5"/>
        <v>0</v>
      </c>
    </row>
    <row r="195" spans="1:32" ht="14.25" customHeight="1" x14ac:dyDescent="0.25">
      <c r="A195" s="1864"/>
      <c r="B195" s="1308" t="s">
        <v>261</v>
      </c>
      <c r="C195" s="1309"/>
      <c r="D195" s="1309"/>
      <c r="E195" s="1309"/>
      <c r="F195" s="1309"/>
      <c r="G195" s="1310"/>
      <c r="H195" s="316" t="s">
        <v>100</v>
      </c>
      <c r="I195" s="1017"/>
      <c r="J195" s="1046"/>
      <c r="K195" s="1047"/>
      <c r="L195" s="984"/>
      <c r="M195" s="985"/>
      <c r="N195" s="985"/>
      <c r="O195" s="985"/>
      <c r="P195" s="985"/>
      <c r="Q195" s="1013" t="s">
        <v>100</v>
      </c>
      <c r="R195" s="1812"/>
      <c r="S195" s="1006"/>
      <c r="T195" s="1258"/>
      <c r="U195" s="1339"/>
      <c r="V195" s="72">
        <f t="shared" si="4"/>
        <v>0</v>
      </c>
      <c r="W195" s="74">
        <f>IF(H195="ja",X195,0)</f>
        <v>0</v>
      </c>
      <c r="X195" s="74">
        <v>2.5000000000000001E-3</v>
      </c>
      <c r="Y195" s="152"/>
      <c r="AB195" s="72">
        <f t="shared" si="5"/>
        <v>0</v>
      </c>
    </row>
    <row r="196" spans="1:32" ht="14.25" customHeight="1" x14ac:dyDescent="0.25">
      <c r="A196" s="1864"/>
      <c r="B196" s="1077" t="s">
        <v>266</v>
      </c>
      <c r="C196" s="1078"/>
      <c r="D196" s="1078"/>
      <c r="E196" s="1078"/>
      <c r="F196" s="1078"/>
      <c r="G196" s="1079"/>
      <c r="H196" s="316" t="s">
        <v>100</v>
      </c>
      <c r="I196" s="1017"/>
      <c r="J196" s="1046"/>
      <c r="K196" s="1047"/>
      <c r="L196" s="984"/>
      <c r="M196" s="985"/>
      <c r="N196" s="985"/>
      <c r="O196" s="985"/>
      <c r="P196" s="985"/>
      <c r="Q196" s="1013"/>
      <c r="R196" s="1813"/>
      <c r="S196" s="1008"/>
      <c r="T196" s="1258"/>
      <c r="U196" s="1339"/>
      <c r="V196" s="72">
        <f t="shared" si="4"/>
        <v>0</v>
      </c>
      <c r="W196" s="74">
        <f>IF(H196="ja",X196,0)</f>
        <v>0</v>
      </c>
      <c r="X196" s="74">
        <v>2.5000000000000001E-3</v>
      </c>
      <c r="Y196" s="152"/>
      <c r="AB196" s="72">
        <f t="shared" si="5"/>
        <v>0</v>
      </c>
    </row>
    <row r="197" spans="1:32" ht="14.25" customHeight="1" x14ac:dyDescent="0.25">
      <c r="A197" s="1864"/>
      <c r="B197" s="1077" t="s">
        <v>270</v>
      </c>
      <c r="C197" s="1078"/>
      <c r="D197" s="1078"/>
      <c r="E197" s="1078"/>
      <c r="F197" s="1078"/>
      <c r="G197" s="1079"/>
      <c r="H197" s="986" t="s">
        <v>100</v>
      </c>
      <c r="I197" s="1017"/>
      <c r="J197" s="1046"/>
      <c r="K197" s="1047"/>
      <c r="L197" s="984"/>
      <c r="M197" s="985"/>
      <c r="N197" s="985"/>
      <c r="O197" s="985"/>
      <c r="P197" s="985"/>
      <c r="Q197" s="1013"/>
      <c r="R197" s="1814"/>
      <c r="S197" s="1270"/>
      <c r="T197" s="1258"/>
      <c r="U197" s="1339"/>
      <c r="V197" s="72">
        <f t="shared" si="4"/>
        <v>0</v>
      </c>
      <c r="W197" s="74">
        <f>IF(H197="ja",X197,0)</f>
        <v>0</v>
      </c>
      <c r="X197" s="74">
        <v>5.0000000000000001E-3</v>
      </c>
      <c r="Y197" s="152"/>
      <c r="AB197" s="72">
        <f t="shared" si="5"/>
        <v>0</v>
      </c>
    </row>
    <row r="198" spans="1:32" ht="14.25" customHeight="1" x14ac:dyDescent="0.25">
      <c r="A198" s="1864"/>
      <c r="B198" s="1074"/>
      <c r="C198" s="1075"/>
      <c r="D198" s="1075"/>
      <c r="E198" s="1075"/>
      <c r="F198" s="1075"/>
      <c r="G198" s="1076"/>
      <c r="H198" s="986"/>
      <c r="I198" s="1017"/>
      <c r="J198" s="1046"/>
      <c r="K198" s="1047"/>
      <c r="L198" s="984"/>
      <c r="M198" s="985"/>
      <c r="N198" s="985"/>
      <c r="O198" s="985"/>
      <c r="P198" s="985"/>
      <c r="Q198" s="1013" t="s">
        <v>100</v>
      </c>
      <c r="R198" s="1812"/>
      <c r="S198" s="1006"/>
      <c r="T198" s="1258"/>
      <c r="U198" s="1339"/>
      <c r="V198" s="72">
        <f t="shared" si="4"/>
        <v>0</v>
      </c>
      <c r="X198" s="74"/>
      <c r="Y198" s="151"/>
      <c r="AB198" s="72">
        <f t="shared" si="5"/>
        <v>0</v>
      </c>
    </row>
    <row r="199" spans="1:32" ht="14.25" customHeight="1" x14ac:dyDescent="0.25">
      <c r="A199" s="1864"/>
      <c r="B199" s="1077" t="s">
        <v>268</v>
      </c>
      <c r="C199" s="1078"/>
      <c r="D199" s="1078"/>
      <c r="E199" s="1078"/>
      <c r="F199" s="1078"/>
      <c r="G199" s="1079"/>
      <c r="H199" s="312" t="s">
        <v>100</v>
      </c>
      <c r="I199" s="1017"/>
      <c r="J199" s="1046"/>
      <c r="K199" s="1047"/>
      <c r="L199" s="984"/>
      <c r="M199" s="985"/>
      <c r="N199" s="985"/>
      <c r="O199" s="985"/>
      <c r="P199" s="985"/>
      <c r="Q199" s="1013"/>
      <c r="R199" s="1813"/>
      <c r="S199" s="1008"/>
      <c r="T199" s="1258"/>
      <c r="U199" s="1339"/>
      <c r="V199" s="72">
        <f t="shared" si="4"/>
        <v>0</v>
      </c>
      <c r="W199" s="74">
        <f>IF(H199="ja",X199,0)</f>
        <v>0</v>
      </c>
      <c r="X199" s="74">
        <v>2.5000000000000001E-3</v>
      </c>
      <c r="Y199" s="152"/>
      <c r="AB199" s="72">
        <f t="shared" si="5"/>
        <v>0</v>
      </c>
    </row>
    <row r="200" spans="1:32" ht="14.25" customHeight="1" x14ac:dyDescent="0.25">
      <c r="A200" s="1864"/>
      <c r="B200" s="1308" t="s">
        <v>652</v>
      </c>
      <c r="C200" s="1309"/>
      <c r="D200" s="1309"/>
      <c r="E200" s="1309"/>
      <c r="F200" s="1309"/>
      <c r="G200" s="1310"/>
      <c r="H200" s="316" t="s">
        <v>100</v>
      </c>
      <c r="I200" s="1017"/>
      <c r="J200" s="1046"/>
      <c r="K200" s="1047"/>
      <c r="L200" s="984"/>
      <c r="M200" s="985"/>
      <c r="N200" s="985"/>
      <c r="O200" s="985"/>
      <c r="P200" s="985"/>
      <c r="Q200" s="1013"/>
      <c r="R200" s="1814"/>
      <c r="S200" s="1270"/>
      <c r="T200" s="1258"/>
      <c r="U200" s="1339"/>
      <c r="V200" s="72">
        <f t="shared" si="4"/>
        <v>0</v>
      </c>
      <c r="W200" s="74">
        <f>IF(H200="ja",X200,0)</f>
        <v>0</v>
      </c>
      <c r="X200" s="74">
        <v>5.0000000000000001E-3</v>
      </c>
      <c r="Y200" s="152"/>
      <c r="AB200" s="72">
        <f t="shared" si="5"/>
        <v>0</v>
      </c>
    </row>
    <row r="201" spans="1:32" ht="14.25" customHeight="1" x14ac:dyDescent="0.25">
      <c r="A201" s="1864"/>
      <c r="B201" s="1308" t="s">
        <v>256</v>
      </c>
      <c r="C201" s="1309"/>
      <c r="D201" s="1309"/>
      <c r="E201" s="1309"/>
      <c r="F201" s="1309"/>
      <c r="G201" s="1310"/>
      <c r="H201" s="316" t="s">
        <v>100</v>
      </c>
      <c r="I201" s="1017"/>
      <c r="J201" s="1046"/>
      <c r="K201" s="1047"/>
      <c r="L201" s="984"/>
      <c r="M201" s="985"/>
      <c r="N201" s="985"/>
      <c r="O201" s="985"/>
      <c r="P201" s="985"/>
      <c r="Q201" s="1013" t="s">
        <v>100</v>
      </c>
      <c r="R201" s="1812"/>
      <c r="S201" s="1006"/>
      <c r="T201" s="1258"/>
      <c r="U201" s="1339"/>
      <c r="V201" s="72">
        <f t="shared" si="4"/>
        <v>0</v>
      </c>
      <c r="W201" s="74">
        <f>IF(H201="ja",X201,0)</f>
        <v>0</v>
      </c>
      <c r="X201" s="74">
        <v>5.0000000000000001E-3</v>
      </c>
      <c r="Y201" s="152"/>
      <c r="AB201" s="72">
        <f t="shared" si="5"/>
        <v>0</v>
      </c>
    </row>
    <row r="202" spans="1:32" ht="14.25" customHeight="1" x14ac:dyDescent="0.25">
      <c r="A202" s="1864"/>
      <c r="B202" s="1077" t="s">
        <v>653</v>
      </c>
      <c r="C202" s="1078"/>
      <c r="D202" s="1078"/>
      <c r="E202" s="1078"/>
      <c r="F202" s="1078"/>
      <c r="G202" s="1079"/>
      <c r="H202" s="316" t="s">
        <v>100</v>
      </c>
      <c r="I202" s="1017"/>
      <c r="J202" s="1046"/>
      <c r="K202" s="1047"/>
      <c r="L202" s="984"/>
      <c r="M202" s="985"/>
      <c r="N202" s="985"/>
      <c r="O202" s="985"/>
      <c r="P202" s="985"/>
      <c r="Q202" s="1013"/>
      <c r="R202" s="1813"/>
      <c r="S202" s="1008"/>
      <c r="T202" s="1258"/>
      <c r="U202" s="1339"/>
      <c r="V202" s="72">
        <f t="shared" si="4"/>
        <v>0</v>
      </c>
      <c r="W202" s="74">
        <f>IF(H202="ja",X202,0)</f>
        <v>0</v>
      </c>
      <c r="X202" s="74">
        <v>0.01</v>
      </c>
      <c r="Y202" s="152"/>
      <c r="AB202" s="72">
        <f t="shared" si="5"/>
        <v>0</v>
      </c>
    </row>
    <row r="203" spans="1:32" ht="14.25" customHeight="1" thickBot="1" x14ac:dyDescent="0.3">
      <c r="A203" s="1864"/>
      <c r="B203" s="1319" t="s">
        <v>654</v>
      </c>
      <c r="C203" s="1320"/>
      <c r="D203" s="1320"/>
      <c r="E203" s="1320"/>
      <c r="F203" s="1320"/>
      <c r="G203" s="1876"/>
      <c r="H203" s="316" t="s">
        <v>100</v>
      </c>
      <c r="I203" s="1018"/>
      <c r="J203" s="1048"/>
      <c r="K203" s="1049"/>
      <c r="L203" s="1369"/>
      <c r="M203" s="1370"/>
      <c r="N203" s="1370"/>
      <c r="O203" s="1370"/>
      <c r="P203" s="1370"/>
      <c r="Q203" s="981"/>
      <c r="R203" s="1813"/>
      <c r="S203" s="1008"/>
      <c r="T203" s="1259"/>
      <c r="U203" s="1340"/>
      <c r="V203" s="72">
        <f t="shared" si="4"/>
        <v>0</v>
      </c>
      <c r="W203" s="74">
        <f>IF(H203="ja",X203,0)</f>
        <v>0</v>
      </c>
      <c r="X203" s="74">
        <v>2.5000000000000001E-3</v>
      </c>
      <c r="AB203" s="72">
        <f t="shared" si="5"/>
        <v>0</v>
      </c>
    </row>
    <row r="204" spans="1:32" ht="14.25" customHeight="1" thickBot="1" x14ac:dyDescent="0.3">
      <c r="A204" s="1864"/>
      <c r="B204" s="1082" t="s">
        <v>272</v>
      </c>
      <c r="C204" s="1083"/>
      <c r="D204" s="1083"/>
      <c r="E204" s="1083"/>
      <c r="F204" s="1083"/>
      <c r="G204" s="1084"/>
      <c r="H204" s="144"/>
      <c r="I204" s="1238"/>
      <c r="J204" s="1239"/>
      <c r="K204" s="1240"/>
      <c r="L204" s="1331">
        <f>SUM(R174:S203)</f>
        <v>0</v>
      </c>
      <c r="M204" s="1332"/>
      <c r="N204" s="1332"/>
      <c r="O204" s="1332"/>
      <c r="P204" s="1332"/>
      <c r="Q204" s="1332"/>
      <c r="R204" s="1332"/>
      <c r="S204" s="1856"/>
      <c r="T204" s="529"/>
      <c r="U204" s="335" t="s">
        <v>157</v>
      </c>
      <c r="V204" s="72">
        <f t="shared" si="4"/>
        <v>0</v>
      </c>
      <c r="W204" s="77">
        <f>SUM(W174:W203)</f>
        <v>0</v>
      </c>
      <c r="X204" s="150"/>
      <c r="Y204" s="150"/>
      <c r="Z204" s="150"/>
      <c r="AB204" s="72">
        <f t="shared" si="5"/>
        <v>0</v>
      </c>
      <c r="AD204" s="68"/>
      <c r="AE204" s="68"/>
      <c r="AF204" s="68"/>
    </row>
    <row r="205" spans="1:32" ht="14.25" customHeight="1" thickBot="1" x14ac:dyDescent="0.3">
      <c r="A205" s="1864"/>
      <c r="B205" s="1313" t="s">
        <v>655</v>
      </c>
      <c r="C205" s="1314"/>
      <c r="D205" s="1314"/>
      <c r="E205" s="1314"/>
      <c r="F205" s="1314"/>
      <c r="G205" s="1315"/>
      <c r="H205" s="1316" t="s">
        <v>100</v>
      </c>
      <c r="I205" s="1016">
        <f>W214</f>
        <v>0</v>
      </c>
      <c r="J205" s="1044">
        <f>I205*I99</f>
        <v>0</v>
      </c>
      <c r="K205" s="1045"/>
      <c r="L205" s="987"/>
      <c r="M205" s="988"/>
      <c r="N205" s="988"/>
      <c r="O205" s="988"/>
      <c r="P205" s="988"/>
      <c r="Q205" s="1013" t="s">
        <v>100</v>
      </c>
      <c r="R205" s="1812"/>
      <c r="S205" s="1006"/>
      <c r="T205" s="1341" t="str">
        <f>IFERROR(IF((VLOOKUP(U205,Überblick!$M$125:$N$133,2))="ja","ja","nein"),"")</f>
        <v/>
      </c>
      <c r="U205" s="1337"/>
      <c r="V205" s="72">
        <f t="shared" si="4"/>
        <v>0</v>
      </c>
      <c r="W205" s="74">
        <f>IF(H205="ja",X205,0)</f>
        <v>0</v>
      </c>
      <c r="X205" s="74">
        <v>0.01</v>
      </c>
      <c r="Z205" s="288"/>
      <c r="AA205" s="288"/>
      <c r="AB205" s="72">
        <f t="shared" si="5"/>
        <v>0</v>
      </c>
    </row>
    <row r="206" spans="1:32" ht="14.25" customHeight="1" thickBot="1" x14ac:dyDescent="0.3">
      <c r="A206" s="1864"/>
      <c r="B206" s="1072"/>
      <c r="C206" s="913"/>
      <c r="D206" s="913"/>
      <c r="E206" s="913"/>
      <c r="F206" s="913"/>
      <c r="G206" s="1073"/>
      <c r="H206" s="1080"/>
      <c r="I206" s="1017"/>
      <c r="J206" s="1046"/>
      <c r="K206" s="1047"/>
      <c r="L206" s="984"/>
      <c r="M206" s="985"/>
      <c r="N206" s="985"/>
      <c r="O206" s="985"/>
      <c r="P206" s="985"/>
      <c r="Q206" s="1013"/>
      <c r="R206" s="1813"/>
      <c r="S206" s="1008"/>
      <c r="T206" s="1342"/>
      <c r="U206" s="1337"/>
      <c r="V206" s="72">
        <f t="shared" si="4"/>
        <v>0</v>
      </c>
      <c r="X206" s="74"/>
      <c r="Z206" s="288"/>
      <c r="AA206" s="288"/>
      <c r="AB206" s="72">
        <f t="shared" si="5"/>
        <v>0</v>
      </c>
    </row>
    <row r="207" spans="1:32" ht="14.25" customHeight="1" thickBot="1" x14ac:dyDescent="0.3">
      <c r="A207" s="1864"/>
      <c r="B207" s="1072"/>
      <c r="C207" s="913"/>
      <c r="D207" s="913"/>
      <c r="E207" s="913"/>
      <c r="F207" s="913"/>
      <c r="G207" s="1073"/>
      <c r="H207" s="1080"/>
      <c r="I207" s="1017"/>
      <c r="J207" s="1046"/>
      <c r="K207" s="1047"/>
      <c r="L207" s="984"/>
      <c r="M207" s="985"/>
      <c r="N207" s="985"/>
      <c r="O207" s="985"/>
      <c r="P207" s="985"/>
      <c r="Q207" s="981"/>
      <c r="R207" s="1813"/>
      <c r="S207" s="1008"/>
      <c r="T207" s="1342"/>
      <c r="U207" s="1337"/>
      <c r="V207" s="72">
        <f t="shared" si="4"/>
        <v>0</v>
      </c>
      <c r="X207" s="74"/>
      <c r="Z207" s="288"/>
      <c r="AA207" s="288"/>
      <c r="AB207" s="72">
        <f t="shared" si="5"/>
        <v>0</v>
      </c>
    </row>
    <row r="208" spans="1:32" ht="14.25" customHeight="1" thickBot="1" x14ac:dyDescent="0.3">
      <c r="A208" s="1864"/>
      <c r="B208" s="1072"/>
      <c r="C208" s="913"/>
      <c r="D208" s="913"/>
      <c r="E208" s="913"/>
      <c r="F208" s="913"/>
      <c r="G208" s="1073"/>
      <c r="H208" s="1080"/>
      <c r="I208" s="1017"/>
      <c r="J208" s="1046"/>
      <c r="K208" s="1047"/>
      <c r="L208" s="984"/>
      <c r="M208" s="985"/>
      <c r="N208" s="985"/>
      <c r="O208" s="985"/>
      <c r="P208" s="985"/>
      <c r="Q208" s="1013" t="s">
        <v>100</v>
      </c>
      <c r="R208" s="1812"/>
      <c r="S208" s="1006"/>
      <c r="T208" s="1342"/>
      <c r="U208" s="1337"/>
      <c r="V208" s="72">
        <f t="shared" si="4"/>
        <v>0</v>
      </c>
      <c r="X208" s="74"/>
      <c r="Z208" s="288"/>
      <c r="AA208" s="288"/>
      <c r="AB208" s="72">
        <f t="shared" si="5"/>
        <v>0</v>
      </c>
    </row>
    <row r="209" spans="1:32" ht="14.25" customHeight="1" thickBot="1" x14ac:dyDescent="0.3">
      <c r="A209" s="1864"/>
      <c r="B209" s="1074"/>
      <c r="C209" s="1075"/>
      <c r="D209" s="1075"/>
      <c r="E209" s="1075"/>
      <c r="F209" s="1075"/>
      <c r="G209" s="1076"/>
      <c r="H209" s="1081"/>
      <c r="I209" s="1017"/>
      <c r="J209" s="1046"/>
      <c r="K209" s="1047"/>
      <c r="L209" s="984"/>
      <c r="M209" s="985"/>
      <c r="N209" s="985"/>
      <c r="O209" s="985"/>
      <c r="P209" s="985"/>
      <c r="Q209" s="1013"/>
      <c r="R209" s="1813"/>
      <c r="S209" s="1008"/>
      <c r="T209" s="1342"/>
      <c r="U209" s="1337"/>
      <c r="V209" s="72">
        <f t="shared" si="4"/>
        <v>0</v>
      </c>
      <c r="X209" s="74"/>
      <c r="Z209" s="288"/>
      <c r="AA209" s="288"/>
      <c r="AB209" s="72">
        <f t="shared" si="5"/>
        <v>0</v>
      </c>
    </row>
    <row r="210" spans="1:32" ht="14.25" customHeight="1" thickBot="1" x14ac:dyDescent="0.3">
      <c r="A210" s="1864"/>
      <c r="B210" s="1072" t="s">
        <v>275</v>
      </c>
      <c r="C210" s="913"/>
      <c r="D210" s="913"/>
      <c r="E210" s="913"/>
      <c r="F210" s="913"/>
      <c r="G210" s="1073"/>
      <c r="H210" s="986" t="s">
        <v>100</v>
      </c>
      <c r="I210" s="1017"/>
      <c r="J210" s="1046"/>
      <c r="K210" s="1047"/>
      <c r="L210" s="984"/>
      <c r="M210" s="985"/>
      <c r="N210" s="985"/>
      <c r="O210" s="985"/>
      <c r="P210" s="985"/>
      <c r="Q210" s="981"/>
      <c r="R210" s="1813"/>
      <c r="S210" s="1008"/>
      <c r="T210" s="1342"/>
      <c r="U210" s="1337"/>
      <c r="V210" s="72">
        <f t="shared" si="4"/>
        <v>0</v>
      </c>
      <c r="W210" s="74">
        <f>IF(H210="ja",X210,0)</f>
        <v>0</v>
      </c>
      <c r="X210" s="74">
        <v>8.0000000000000002E-3</v>
      </c>
      <c r="Z210" s="288"/>
      <c r="AA210" s="288"/>
      <c r="AB210" s="72">
        <f t="shared" si="5"/>
        <v>0</v>
      </c>
    </row>
    <row r="211" spans="1:32" ht="14.25" customHeight="1" thickBot="1" x14ac:dyDescent="0.3">
      <c r="A211" s="1864"/>
      <c r="B211" s="1072"/>
      <c r="C211" s="913"/>
      <c r="D211" s="913"/>
      <c r="E211" s="913"/>
      <c r="F211" s="913"/>
      <c r="G211" s="1073"/>
      <c r="H211" s="986"/>
      <c r="I211" s="1017"/>
      <c r="J211" s="1046"/>
      <c r="K211" s="1047"/>
      <c r="L211" s="984"/>
      <c r="M211" s="985"/>
      <c r="N211" s="985"/>
      <c r="O211" s="985"/>
      <c r="P211" s="985"/>
      <c r="Q211" s="1013" t="s">
        <v>100</v>
      </c>
      <c r="R211" s="1812"/>
      <c r="S211" s="1006"/>
      <c r="T211" s="1342"/>
      <c r="U211" s="1337"/>
      <c r="V211" s="72">
        <f t="shared" si="4"/>
        <v>0</v>
      </c>
      <c r="X211" s="74"/>
      <c r="Z211" s="288"/>
      <c r="AA211" s="288"/>
      <c r="AB211" s="72">
        <f t="shared" si="5"/>
        <v>0</v>
      </c>
    </row>
    <row r="212" spans="1:32" ht="14.25" customHeight="1" thickBot="1" x14ac:dyDescent="0.3">
      <c r="A212" s="1864"/>
      <c r="B212" s="1074"/>
      <c r="C212" s="1075"/>
      <c r="D212" s="1075"/>
      <c r="E212" s="1075"/>
      <c r="F212" s="1075"/>
      <c r="G212" s="1076"/>
      <c r="H212" s="986"/>
      <c r="I212" s="1017"/>
      <c r="J212" s="1046"/>
      <c r="K212" s="1047"/>
      <c r="L212" s="984"/>
      <c r="M212" s="985"/>
      <c r="N212" s="985"/>
      <c r="O212" s="985"/>
      <c r="P212" s="985"/>
      <c r="Q212" s="1013"/>
      <c r="R212" s="1813"/>
      <c r="S212" s="1008"/>
      <c r="T212" s="1342"/>
      <c r="U212" s="1337"/>
      <c r="V212" s="72">
        <f t="shared" si="4"/>
        <v>0</v>
      </c>
      <c r="X212" s="74"/>
      <c r="Z212" s="288"/>
      <c r="AA212" s="288"/>
      <c r="AB212" s="72">
        <f t="shared" si="5"/>
        <v>0</v>
      </c>
    </row>
    <row r="213" spans="1:32" ht="14.25" customHeight="1" thickBot="1" x14ac:dyDescent="0.3">
      <c r="A213" s="1864"/>
      <c r="B213" s="1319" t="s">
        <v>276</v>
      </c>
      <c r="C213" s="1320"/>
      <c r="D213" s="1320"/>
      <c r="E213" s="1320"/>
      <c r="F213" s="1320"/>
      <c r="G213" s="1320"/>
      <c r="H213" s="317" t="s">
        <v>100</v>
      </c>
      <c r="I213" s="1018"/>
      <c r="J213" s="1048"/>
      <c r="K213" s="1049"/>
      <c r="L213" s="1182"/>
      <c r="M213" s="1183"/>
      <c r="N213" s="1183"/>
      <c r="O213" s="1183"/>
      <c r="P213" s="1183"/>
      <c r="Q213" s="1102"/>
      <c r="R213" s="1813"/>
      <c r="S213" s="1008"/>
      <c r="T213" s="1343"/>
      <c r="U213" s="1337"/>
      <c r="V213" s="72">
        <f t="shared" si="4"/>
        <v>0</v>
      </c>
      <c r="W213" s="74">
        <f>IF(H213="ja",X213,0)</f>
        <v>0</v>
      </c>
      <c r="X213" s="74">
        <v>2E-3</v>
      </c>
      <c r="Z213" s="288"/>
      <c r="AA213" s="288"/>
      <c r="AB213" s="72">
        <f t="shared" si="5"/>
        <v>0</v>
      </c>
    </row>
    <row r="214" spans="1:32" ht="14.25" customHeight="1" thickBot="1" x14ac:dyDescent="0.3">
      <c r="B214" s="1502" t="s">
        <v>277</v>
      </c>
      <c r="C214" s="1503"/>
      <c r="D214" s="1503"/>
      <c r="E214" s="1503"/>
      <c r="F214" s="1503"/>
      <c r="G214" s="1503"/>
      <c r="H214" s="1503"/>
      <c r="I214" s="1500">
        <f>I37+I48+I76+I103+I121++I125+I127+I129+I138+I139+I142+I158+I174+I205</f>
        <v>0</v>
      </c>
      <c r="J214" s="1506">
        <f>J205+J174+J158+J142+J139+J138+J129+J127+J125+J121+J103+J76+J48+J37</f>
        <v>0</v>
      </c>
      <c r="K214" s="1161"/>
      <c r="L214" s="1323">
        <f>SUM(R205:S213)</f>
        <v>0</v>
      </c>
      <c r="M214" s="1323"/>
      <c r="N214" s="1323"/>
      <c r="O214" s="1323"/>
      <c r="P214" s="1355"/>
      <c r="Q214" s="1832"/>
      <c r="R214" s="1036">
        <f>SUM(R205:S213)+SUM(R174:S203)+SUM(R158:S172)+SUM(R142:S155)+SUM(R121:S140)+SUM(R103:S119)+SUM(R76:S98)+SUM(R48:S71)+SUM(R37:S46)</f>
        <v>0</v>
      </c>
      <c r="S214" s="1037"/>
      <c r="T214" s="1371"/>
      <c r="U214" s="1773"/>
      <c r="W214" s="74">
        <f>SUM(W205:W213)</f>
        <v>0</v>
      </c>
      <c r="X214" s="78"/>
      <c r="Y214" s="78"/>
      <c r="Z214" s="78"/>
      <c r="AD214" s="68"/>
      <c r="AE214" s="68"/>
      <c r="AF214" s="68"/>
    </row>
    <row r="215" spans="1:32" ht="15" customHeight="1" thickBot="1" x14ac:dyDescent="0.3">
      <c r="B215" s="1504"/>
      <c r="C215" s="1505"/>
      <c r="D215" s="1505"/>
      <c r="E215" s="1505"/>
      <c r="F215" s="1505"/>
      <c r="G215" s="1505"/>
      <c r="H215" s="1505"/>
      <c r="I215" s="1501"/>
      <c r="J215" s="1507"/>
      <c r="K215" s="1163"/>
      <c r="L215" s="1325"/>
      <c r="M215" s="1325"/>
      <c r="N215" s="1325"/>
      <c r="O215" s="1325"/>
      <c r="P215" s="1359"/>
      <c r="Q215" s="1833"/>
      <c r="R215" s="1042"/>
      <c r="S215" s="1043"/>
      <c r="T215" s="1371"/>
      <c r="U215" s="1774"/>
      <c r="V215" s="206">
        <f>SUM(V33:V213)+R21</f>
        <v>0</v>
      </c>
      <c r="W215" s="207"/>
      <c r="X215" s="207"/>
      <c r="AB215" s="72">
        <f>SUM(AB37:AB213)</f>
        <v>0</v>
      </c>
      <c r="AD215" s="68"/>
      <c r="AE215" s="68"/>
      <c r="AF215" s="68"/>
    </row>
    <row r="216" spans="1:32" ht="15" customHeight="1" x14ac:dyDescent="0.25">
      <c r="B216" s="136"/>
      <c r="C216" s="136"/>
      <c r="D216" s="136"/>
      <c r="E216" s="136"/>
      <c r="F216" s="136"/>
      <c r="G216" s="136"/>
      <c r="H216" s="136"/>
      <c r="I216" s="137"/>
      <c r="J216" s="138"/>
      <c r="K216" s="138"/>
      <c r="L216" s="139"/>
      <c r="M216" s="137"/>
      <c r="N216" s="137"/>
      <c r="O216" s="137"/>
      <c r="P216" s="138"/>
      <c r="Q216" s="138"/>
      <c r="R216" s="140"/>
      <c r="S216" s="79"/>
      <c r="T216" s="80"/>
      <c r="U216" s="195"/>
      <c r="AD216" s="68"/>
      <c r="AE216" s="68"/>
      <c r="AF216" s="68"/>
    </row>
    <row r="217" spans="1:32" ht="15" customHeight="1" x14ac:dyDescent="0.25">
      <c r="B217" s="1317" t="s">
        <v>278</v>
      </c>
      <c r="C217" s="1318"/>
      <c r="D217" s="1318"/>
      <c r="E217" s="1318"/>
      <c r="F217" s="1318"/>
      <c r="G217" s="1318"/>
      <c r="H217" s="1318"/>
      <c r="I217" s="1318"/>
      <c r="J217" s="1318"/>
      <c r="K217" s="1318"/>
      <c r="L217" s="1318"/>
      <c r="M217" s="1318"/>
      <c r="N217" s="1318"/>
      <c r="O217" s="1318"/>
      <c r="P217" s="1318"/>
      <c r="Q217" s="1318"/>
      <c r="R217" s="1318"/>
      <c r="S217" s="79"/>
      <c r="T217" s="80"/>
      <c r="U217" s="195"/>
      <c r="AD217" s="68"/>
      <c r="AE217" s="68"/>
      <c r="AF217" s="68"/>
    </row>
    <row r="218" spans="1:32" ht="15" customHeight="1" x14ac:dyDescent="0.25">
      <c r="B218" s="1318"/>
      <c r="C218" s="1318"/>
      <c r="D218" s="1318"/>
      <c r="E218" s="1318"/>
      <c r="F218" s="1318"/>
      <c r="G218" s="1318"/>
      <c r="H218" s="1318"/>
      <c r="I218" s="1318"/>
      <c r="J218" s="1318"/>
      <c r="K218" s="1318"/>
      <c r="L218" s="1318"/>
      <c r="M218" s="1318"/>
      <c r="N218" s="1318"/>
      <c r="O218" s="1318"/>
      <c r="P218" s="1318"/>
      <c r="Q218" s="1318"/>
      <c r="R218" s="1318"/>
      <c r="S218" s="79"/>
      <c r="T218" s="80"/>
      <c r="U218" s="80"/>
    </row>
    <row r="219" spans="1:32" ht="15" customHeight="1" x14ac:dyDescent="0.25">
      <c r="B219" s="327"/>
      <c r="C219" s="327"/>
      <c r="D219" s="327"/>
      <c r="E219" s="327"/>
      <c r="F219" s="327"/>
      <c r="G219" s="327"/>
      <c r="H219" s="327"/>
      <c r="I219" s="327"/>
      <c r="J219" s="327"/>
      <c r="K219" s="327"/>
      <c r="L219" s="327"/>
      <c r="M219" s="327"/>
      <c r="N219" s="327"/>
      <c r="O219" s="327"/>
      <c r="P219" s="327"/>
      <c r="Q219" s="327"/>
      <c r="R219" s="327"/>
      <c r="S219" s="79"/>
      <c r="T219" s="80"/>
      <c r="U219" s="80"/>
    </row>
    <row r="220" spans="1:32" x14ac:dyDescent="0.25">
      <c r="A220" s="491" t="s">
        <v>279</v>
      </c>
      <c r="B220" s="40" t="str">
        <f>IF(B1=V2,"Honorarvereinbarung für die zunächst beauftragten und für die optionalen Leistungen ","Honorarangebot für die zunächst beauftragten und für die optionalen Leistungen")</f>
        <v>Honorarangebot für die zunächst beauftragten und für die optionalen Leistungen</v>
      </c>
      <c r="Q220" s="40"/>
      <c r="AA220" s="151"/>
    </row>
    <row r="221" spans="1:32" ht="14.55" thickBot="1" x14ac:dyDescent="0.3"/>
    <row r="222" spans="1:32" x14ac:dyDescent="0.25">
      <c r="B222" s="941" t="s">
        <v>55</v>
      </c>
      <c r="C222" s="942"/>
      <c r="D222" s="942"/>
      <c r="E222" s="942"/>
      <c r="F222" s="943"/>
      <c r="G222" s="99"/>
      <c r="H222" s="944">
        <f>J214</f>
        <v>0</v>
      </c>
      <c r="I222" s="944"/>
      <c r="J222" s="945"/>
    </row>
    <row r="223" spans="1:32" x14ac:dyDescent="0.25">
      <c r="B223" s="301"/>
      <c r="C223" s="41"/>
      <c r="D223" s="41"/>
      <c r="E223" s="41"/>
      <c r="F223" s="302"/>
      <c r="G223" s="101"/>
      <c r="H223" s="303"/>
      <c r="I223" s="303"/>
      <c r="J223" s="304"/>
    </row>
    <row r="224" spans="1:32" ht="15.95" customHeight="1" thickBot="1" x14ac:dyDescent="0.3">
      <c r="B224" s="1298" t="s">
        <v>280</v>
      </c>
      <c r="C224" s="1299"/>
      <c r="D224" s="1299"/>
      <c r="E224" s="1299"/>
      <c r="F224" s="1300"/>
      <c r="G224" s="102">
        <f>F21</f>
        <v>0</v>
      </c>
      <c r="H224" s="956">
        <f>H222*G224</f>
        <v>0</v>
      </c>
      <c r="I224" s="956"/>
      <c r="J224" s="957"/>
      <c r="K224" s="96">
        <f>H222+H224</f>
        <v>0</v>
      </c>
    </row>
    <row r="225" spans="1:26" x14ac:dyDescent="0.25">
      <c r="B225" s="90"/>
      <c r="C225" s="91"/>
      <c r="D225" s="91"/>
      <c r="E225" s="91"/>
      <c r="F225" s="92"/>
      <c r="G225" s="88"/>
      <c r="J225" s="89"/>
    </row>
    <row r="226" spans="1:26" x14ac:dyDescent="0.25">
      <c r="B226" s="926" t="s">
        <v>57</v>
      </c>
      <c r="C226" s="927"/>
      <c r="D226" s="927"/>
      <c r="E226" s="927"/>
      <c r="F226" s="928"/>
      <c r="G226" s="101"/>
      <c r="H226" s="954">
        <f>R214</f>
        <v>0</v>
      </c>
      <c r="I226" s="954"/>
      <c r="J226" s="955"/>
    </row>
    <row r="227" spans="1:26" ht="14.55" thickBot="1" x14ac:dyDescent="0.3">
      <c r="B227" s="296"/>
      <c r="C227" s="297"/>
      <c r="D227" s="297"/>
      <c r="E227" s="297"/>
      <c r="F227" s="298"/>
      <c r="G227" s="1333"/>
      <c r="H227" s="1334"/>
      <c r="I227" s="1334"/>
      <c r="J227" s="1335"/>
    </row>
    <row r="228" spans="1:26" ht="15.95" customHeight="1" thickBot="1" x14ac:dyDescent="0.3">
      <c r="B228" s="929" t="s">
        <v>59</v>
      </c>
      <c r="C228" s="930"/>
      <c r="D228" s="930"/>
      <c r="E228" s="930"/>
      <c r="F228" s="931"/>
      <c r="G228" s="107"/>
      <c r="H228" s="935">
        <f>SUM(H222:J226)</f>
        <v>0</v>
      </c>
      <c r="I228" s="935"/>
      <c r="J228" s="936"/>
    </row>
    <row r="229" spans="1:26" x14ac:dyDescent="0.25">
      <c r="B229" s="320"/>
      <c r="C229" s="321"/>
      <c r="D229" s="321"/>
      <c r="E229" s="321"/>
      <c r="F229" s="322"/>
      <c r="G229" s="45"/>
      <c r="H229" s="93"/>
      <c r="I229" s="93"/>
      <c r="J229" s="94"/>
    </row>
    <row r="230" spans="1:26" ht="15" customHeight="1" x14ac:dyDescent="0.25">
      <c r="B230" s="917" t="s">
        <v>60</v>
      </c>
      <c r="C230" s="918"/>
      <c r="D230" s="918"/>
      <c r="E230" s="918"/>
      <c r="F230" s="919"/>
      <c r="G230" s="100">
        <f>Überblick!$G$98</f>
        <v>0.19</v>
      </c>
      <c r="H230" s="954">
        <f>H228*G230</f>
        <v>0</v>
      </c>
      <c r="I230" s="954"/>
      <c r="J230" s="955"/>
    </row>
    <row r="231" spans="1:26" ht="14.55" thickBot="1" x14ac:dyDescent="0.3">
      <c r="B231" s="305"/>
      <c r="C231" s="306"/>
      <c r="D231" s="306"/>
      <c r="E231" s="306"/>
      <c r="F231" s="307"/>
      <c r="G231" s="102"/>
      <c r="H231" s="299"/>
      <c r="I231" s="299"/>
      <c r="J231" s="300"/>
    </row>
    <row r="232" spans="1:26" ht="15" customHeight="1" x14ac:dyDescent="0.25">
      <c r="B232" s="920" t="s">
        <v>281</v>
      </c>
      <c r="C232" s="921"/>
      <c r="D232" s="921"/>
      <c r="E232" s="921"/>
      <c r="F232" s="922"/>
      <c r="G232" s="97"/>
      <c r="H232" s="937">
        <f>H228+H230</f>
        <v>0</v>
      </c>
      <c r="I232" s="937"/>
      <c r="J232" s="938"/>
    </row>
    <row r="233" spans="1:26" ht="14.55" thickBot="1" x14ac:dyDescent="0.3">
      <c r="B233" s="923"/>
      <c r="C233" s="924"/>
      <c r="D233" s="924"/>
      <c r="E233" s="924"/>
      <c r="F233" s="925"/>
      <c r="G233" s="98"/>
      <c r="H233" s="939"/>
      <c r="I233" s="939"/>
      <c r="J233" s="940"/>
    </row>
    <row r="235" spans="1:26" x14ac:dyDescent="0.25">
      <c r="A235" s="491" t="s">
        <v>282</v>
      </c>
      <c r="B235" s="60" t="str">
        <f>IF(B1=V2,"Honorarvereinbarung für die zunächst beauftragenden Leistungen","Honorangebot für die zunächst beauftragenden Leistungen ")</f>
        <v xml:space="preserve">Honorangebot für die zunächst beauftragenden Leistungen </v>
      </c>
      <c r="C235" s="60"/>
      <c r="D235" s="60"/>
      <c r="E235" s="60"/>
      <c r="F235" s="65"/>
      <c r="G235" s="65"/>
      <c r="H235" s="65"/>
      <c r="I235" s="66"/>
      <c r="J235" s="66"/>
      <c r="K235" s="66"/>
      <c r="L235" s="66"/>
      <c r="M235" s="66"/>
      <c r="N235" s="66"/>
      <c r="O235" s="66"/>
      <c r="P235" s="67"/>
      <c r="Q235" s="60"/>
      <c r="R235" s="67"/>
      <c r="S235" s="67"/>
      <c r="T235" s="67"/>
      <c r="U235" s="67"/>
      <c r="Z235" s="461"/>
    </row>
    <row r="236" spans="1:26" ht="14.55" thickBot="1" x14ac:dyDescent="0.3">
      <c r="B236" s="60"/>
      <c r="C236" s="60"/>
      <c r="D236" s="60"/>
      <c r="E236" s="60"/>
      <c r="F236" s="65"/>
      <c r="G236" s="65"/>
      <c r="H236" s="65"/>
      <c r="I236" s="66"/>
      <c r="J236" s="66"/>
      <c r="K236" s="66"/>
      <c r="L236" s="66"/>
      <c r="M236" s="66"/>
      <c r="N236" s="66"/>
      <c r="O236" s="66"/>
      <c r="P236" s="67"/>
      <c r="Q236" s="67"/>
      <c r="R236" s="67"/>
      <c r="S236" s="67"/>
      <c r="T236" s="67"/>
      <c r="U236" s="67"/>
    </row>
    <row r="237" spans="1:26" x14ac:dyDescent="0.25">
      <c r="B237" s="941" t="s">
        <v>55</v>
      </c>
      <c r="C237" s="942"/>
      <c r="D237" s="942"/>
      <c r="E237" s="942"/>
      <c r="F237" s="943"/>
      <c r="G237" s="99"/>
      <c r="H237" s="944">
        <f>'Berechnung - Freianlagen'!H126</f>
        <v>0</v>
      </c>
      <c r="I237" s="944"/>
      <c r="J237" s="945"/>
      <c r="K237" s="66"/>
      <c r="L237" s="66"/>
      <c r="M237" s="66"/>
      <c r="N237" s="66"/>
      <c r="O237" s="66"/>
      <c r="P237" s="67"/>
      <c r="Q237" s="67"/>
      <c r="R237" s="67"/>
      <c r="S237" s="67"/>
      <c r="T237" s="67"/>
      <c r="U237" s="67"/>
    </row>
    <row r="238" spans="1:26" x14ac:dyDescent="0.25">
      <c r="B238" s="301"/>
      <c r="C238" s="41"/>
      <c r="D238" s="41"/>
      <c r="E238" s="41"/>
      <c r="F238" s="302"/>
      <c r="G238" s="101"/>
      <c r="H238" s="303"/>
      <c r="I238" s="303"/>
      <c r="J238" s="304"/>
      <c r="K238" s="66"/>
      <c r="L238" s="66"/>
      <c r="M238" s="66"/>
      <c r="N238" s="66"/>
      <c r="O238" s="66"/>
      <c r="P238" s="67"/>
      <c r="Q238" s="67"/>
      <c r="R238" s="67"/>
      <c r="S238" s="67"/>
      <c r="T238" s="67"/>
      <c r="U238" s="67"/>
    </row>
    <row r="239" spans="1:26" ht="15" customHeight="1" thickBot="1" x14ac:dyDescent="0.3">
      <c r="B239" s="1298" t="s">
        <v>280</v>
      </c>
      <c r="C239" s="1299"/>
      <c r="D239" s="1299"/>
      <c r="E239" s="1299"/>
      <c r="F239" s="1300"/>
      <c r="G239" s="102">
        <f>F21</f>
        <v>0</v>
      </c>
      <c r="H239" s="956">
        <f>H237*G239</f>
        <v>0</v>
      </c>
      <c r="I239" s="956"/>
      <c r="J239" s="957"/>
      <c r="K239" s="66"/>
      <c r="L239" s="66"/>
      <c r="M239" s="66"/>
      <c r="N239" s="66"/>
      <c r="O239" s="66"/>
      <c r="P239" s="67"/>
      <c r="Q239" s="67"/>
      <c r="R239" s="67"/>
      <c r="S239" s="67"/>
      <c r="T239" s="67"/>
      <c r="U239" s="67"/>
    </row>
    <row r="240" spans="1:26" x14ac:dyDescent="0.25">
      <c r="B240" s="90"/>
      <c r="C240" s="91"/>
      <c r="D240" s="91"/>
      <c r="E240" s="91"/>
      <c r="F240" s="92"/>
      <c r="G240" s="45"/>
      <c r="H240" s="46"/>
      <c r="I240" s="46"/>
      <c r="J240" s="105"/>
      <c r="K240" s="66"/>
      <c r="L240" s="66"/>
      <c r="M240" s="66"/>
      <c r="N240" s="66"/>
      <c r="O240" s="66"/>
      <c r="P240" s="67"/>
      <c r="Q240" s="67"/>
      <c r="R240" s="67"/>
      <c r="S240" s="67"/>
      <c r="T240" s="67"/>
      <c r="U240" s="67"/>
    </row>
    <row r="241" spans="1:21" x14ac:dyDescent="0.25">
      <c r="B241" s="926" t="s">
        <v>57</v>
      </c>
      <c r="C241" s="927"/>
      <c r="D241" s="927"/>
      <c r="E241" s="927"/>
      <c r="F241" s="928"/>
      <c r="G241" s="101"/>
      <c r="H241" s="954">
        <f>'Berechnung - Freianlagen'!J126</f>
        <v>0</v>
      </c>
      <c r="I241" s="954"/>
      <c r="J241" s="955"/>
      <c r="K241" s="66"/>
      <c r="L241" s="66"/>
      <c r="M241" s="66"/>
      <c r="N241" s="66"/>
      <c r="O241" s="66"/>
      <c r="P241" s="67"/>
      <c r="Q241" s="67"/>
      <c r="R241" s="67"/>
      <c r="S241" s="67"/>
      <c r="T241" s="67"/>
      <c r="U241" s="67"/>
    </row>
    <row r="242" spans="1:21" ht="14.55" thickBot="1" x14ac:dyDescent="0.3">
      <c r="B242" s="90"/>
      <c r="C242" s="91"/>
      <c r="D242" s="91"/>
      <c r="E242" s="91"/>
      <c r="F242" s="92"/>
      <c r="G242" s="1333"/>
      <c r="H242" s="1334"/>
      <c r="I242" s="1334"/>
      <c r="J242" s="1335"/>
      <c r="K242" s="66"/>
      <c r="L242" s="66"/>
      <c r="M242" s="66"/>
      <c r="N242" s="66"/>
      <c r="O242" s="66"/>
      <c r="P242" s="67"/>
      <c r="Q242" s="67"/>
      <c r="R242" s="67"/>
      <c r="S242" s="67"/>
      <c r="T242" s="67"/>
      <c r="U242" s="67"/>
    </row>
    <row r="243" spans="1:21" ht="15.95" customHeight="1" thickBot="1" x14ac:dyDescent="0.3">
      <c r="B243" s="929" t="s">
        <v>59</v>
      </c>
      <c r="C243" s="930"/>
      <c r="D243" s="930"/>
      <c r="E243" s="930"/>
      <c r="F243" s="931"/>
      <c r="G243" s="107"/>
      <c r="H243" s="935">
        <f>SUM(H237:J241)</f>
        <v>0</v>
      </c>
      <c r="I243" s="935"/>
      <c r="J243" s="936"/>
      <c r="K243" s="66"/>
      <c r="L243" s="66"/>
      <c r="M243" s="66"/>
      <c r="N243" s="66"/>
      <c r="O243" s="66"/>
      <c r="P243" s="67"/>
      <c r="Q243" s="67"/>
      <c r="R243" s="67"/>
      <c r="S243" s="67"/>
      <c r="T243" s="67"/>
      <c r="U243" s="67"/>
    </row>
    <row r="244" spans="1:21" x14ac:dyDescent="0.25">
      <c r="B244" s="320"/>
      <c r="C244" s="321"/>
      <c r="D244" s="321"/>
      <c r="E244" s="321"/>
      <c r="F244" s="322"/>
      <c r="G244" s="45"/>
      <c r="H244" s="93"/>
      <c r="I244" s="93"/>
      <c r="J244" s="94"/>
      <c r="K244" s="66"/>
      <c r="L244" s="66"/>
      <c r="M244" s="66"/>
      <c r="N244" s="66"/>
      <c r="O244" s="66"/>
      <c r="P244" s="67"/>
      <c r="Q244" s="67"/>
      <c r="R244" s="67"/>
      <c r="S244" s="67"/>
      <c r="T244" s="67"/>
      <c r="U244" s="67"/>
    </row>
    <row r="245" spans="1:21" ht="15" customHeight="1" x14ac:dyDescent="0.25">
      <c r="B245" s="917" t="s">
        <v>94</v>
      </c>
      <c r="C245" s="918"/>
      <c r="D245" s="918"/>
      <c r="E245" s="918"/>
      <c r="F245" s="919"/>
      <c r="G245" s="100">
        <f>Überblick!$G$98</f>
        <v>0.19</v>
      </c>
      <c r="H245" s="954">
        <f>H243*G245</f>
        <v>0</v>
      </c>
      <c r="I245" s="954"/>
      <c r="J245" s="955"/>
      <c r="K245" s="66"/>
      <c r="L245" s="66"/>
      <c r="M245" s="66"/>
      <c r="N245" s="66"/>
      <c r="O245" s="66"/>
      <c r="P245" s="67"/>
      <c r="Q245" s="67"/>
      <c r="R245" s="67"/>
      <c r="S245" s="67"/>
      <c r="T245" s="67"/>
      <c r="U245" s="67"/>
    </row>
    <row r="246" spans="1:21" ht="14.55" thickBot="1" x14ac:dyDescent="0.3">
      <c r="B246" s="305"/>
      <c r="C246" s="306"/>
      <c r="D246" s="306"/>
      <c r="E246" s="306"/>
      <c r="F246" s="307"/>
      <c r="G246" s="102"/>
      <c r="H246" s="299"/>
      <c r="I246" s="299"/>
      <c r="J246" s="300"/>
      <c r="K246" s="66"/>
      <c r="L246" s="66"/>
      <c r="M246" s="66"/>
      <c r="N246" s="66"/>
      <c r="O246" s="66"/>
      <c r="P246" s="67"/>
      <c r="Q246" s="67"/>
      <c r="R246" s="67"/>
      <c r="S246" s="67"/>
      <c r="T246" s="67"/>
      <c r="U246" s="67"/>
    </row>
    <row r="247" spans="1:21" ht="15" customHeight="1" x14ac:dyDescent="0.25">
      <c r="B247" s="920" t="s">
        <v>98</v>
      </c>
      <c r="C247" s="921"/>
      <c r="D247" s="921"/>
      <c r="E247" s="921"/>
      <c r="F247" s="922"/>
      <c r="G247" s="172"/>
      <c r="H247" s="937">
        <f>H243+H245</f>
        <v>0</v>
      </c>
      <c r="I247" s="937"/>
      <c r="J247" s="938"/>
      <c r="K247" s="66"/>
      <c r="L247" s="66"/>
      <c r="M247" s="66"/>
      <c r="N247" s="66"/>
      <c r="O247" s="66"/>
      <c r="P247" s="67"/>
      <c r="Q247" s="67"/>
      <c r="R247" s="67"/>
      <c r="S247" s="67"/>
      <c r="T247" s="67"/>
      <c r="U247" s="67"/>
    </row>
    <row r="248" spans="1:21" ht="14.55" thickBot="1" x14ac:dyDescent="0.3">
      <c r="B248" s="923"/>
      <c r="C248" s="924"/>
      <c r="D248" s="924"/>
      <c r="E248" s="924"/>
      <c r="F248" s="925"/>
      <c r="G248" s="98"/>
      <c r="H248" s="939"/>
      <c r="I248" s="939"/>
      <c r="J248" s="940"/>
      <c r="K248" s="66"/>
      <c r="L248" s="66"/>
      <c r="M248" s="66"/>
      <c r="N248" s="66"/>
      <c r="O248" s="66"/>
      <c r="P248" s="67"/>
      <c r="Q248" s="67"/>
      <c r="R248" s="67"/>
      <c r="S248" s="67"/>
      <c r="T248" s="67"/>
      <c r="U248" s="67"/>
    </row>
    <row r="249" spans="1:21" x14ac:dyDescent="0.25">
      <c r="B249" s="60"/>
      <c r="C249" s="60"/>
      <c r="D249" s="60"/>
      <c r="E249" s="60"/>
      <c r="F249" s="65"/>
      <c r="G249" s="65"/>
      <c r="H249" s="65"/>
      <c r="I249" s="66"/>
      <c r="J249" s="66"/>
      <c r="K249" s="66"/>
      <c r="L249" s="66"/>
      <c r="M249" s="66"/>
      <c r="N249" s="66"/>
      <c r="O249" s="66"/>
      <c r="P249" s="67"/>
      <c r="Q249" s="67"/>
      <c r="R249" s="67"/>
      <c r="S249" s="67"/>
      <c r="T249" s="67"/>
      <c r="U249" s="67"/>
    </row>
    <row r="250" spans="1:21" x14ac:dyDescent="0.25">
      <c r="A250" s="491" t="s">
        <v>284</v>
      </c>
      <c r="B250" s="40" t="str">
        <f>IF(B1=V2,"Gemäß der Honorarvereinbarung werden die Stufen wie folgt vergütet (netto): ","Gemäß des Honorarangebotes werden die Stufen wie folgt vergütet (netto): ")</f>
        <v xml:space="preserve">Gemäß des Honorarangebotes werden die Stufen wie folgt vergütet (netto): </v>
      </c>
      <c r="C250" s="40"/>
      <c r="D250" s="40"/>
      <c r="E250" s="40"/>
      <c r="F250" s="40"/>
      <c r="G250" s="40"/>
      <c r="H250" s="40"/>
      <c r="I250" s="40"/>
      <c r="J250" s="40"/>
      <c r="K250" s="40"/>
      <c r="L250" s="60"/>
      <c r="M250" s="66"/>
      <c r="N250" s="66"/>
      <c r="O250" s="40"/>
      <c r="P250" s="67"/>
      <c r="Q250" s="67"/>
      <c r="R250" s="67"/>
      <c r="S250" s="67"/>
      <c r="T250" s="67"/>
      <c r="U250" s="67"/>
    </row>
    <row r="251" spans="1:21" ht="14.55" thickBot="1" x14ac:dyDescent="0.3">
      <c r="B251" s="60"/>
      <c r="C251" s="60"/>
      <c r="D251" s="60"/>
      <c r="E251" s="60"/>
      <c r="F251" s="65"/>
      <c r="G251" s="65"/>
      <c r="H251" s="65"/>
      <c r="I251" s="66"/>
      <c r="J251" s="66"/>
      <c r="K251" s="66"/>
      <c r="L251" s="66"/>
      <c r="M251" s="66"/>
      <c r="N251" s="66"/>
      <c r="O251" s="40"/>
      <c r="P251" s="67"/>
      <c r="Q251" s="67"/>
      <c r="R251" s="67"/>
      <c r="S251" s="67"/>
      <c r="T251" s="67"/>
      <c r="U251" s="67"/>
    </row>
    <row r="252" spans="1:21" ht="15.2" thickTop="1" thickBot="1" x14ac:dyDescent="0.3">
      <c r="B252" s="357" t="s">
        <v>105</v>
      </c>
      <c r="C252" s="358" t="s">
        <v>285</v>
      </c>
      <c r="D252" s="359" t="s">
        <v>286</v>
      </c>
      <c r="E252" s="360" t="s">
        <v>287</v>
      </c>
      <c r="F252" s="360" t="s">
        <v>288</v>
      </c>
      <c r="G252" s="361" t="s">
        <v>289</v>
      </c>
      <c r="H252" s="361" t="s">
        <v>290</v>
      </c>
      <c r="I252" s="362" t="s">
        <v>291</v>
      </c>
      <c r="J252" s="362" t="s">
        <v>292</v>
      </c>
      <c r="K252" s="362" t="s">
        <v>293</v>
      </c>
      <c r="L252" s="362" t="s">
        <v>294</v>
      </c>
      <c r="M252" s="362" t="s">
        <v>295</v>
      </c>
      <c r="N252" s="362" t="s">
        <v>296</v>
      </c>
      <c r="O252" s="362" t="s">
        <v>297</v>
      </c>
      <c r="P252" s="363" t="s">
        <v>298</v>
      </c>
      <c r="Q252" s="67"/>
      <c r="R252" s="67"/>
      <c r="S252" s="67"/>
      <c r="T252" s="67"/>
      <c r="U252" s="67"/>
    </row>
    <row r="253" spans="1:21" x14ac:dyDescent="0.25">
      <c r="A253" s="492"/>
      <c r="B253" s="153" t="str">
        <f>IF(Überblick!$H$53&gt;=1,"1:",0)</f>
        <v>1:</v>
      </c>
      <c r="C253" s="481">
        <f>'Berechnung - Freianlagen'!C131</f>
        <v>0</v>
      </c>
      <c r="D253" s="481">
        <f>'Berechnung - Freianlagen'!D131</f>
        <v>0</v>
      </c>
      <c r="E253" s="481">
        <f>'Berechnung - Freianlagen'!E131</f>
        <v>0</v>
      </c>
      <c r="F253" s="481">
        <f>'Berechnung - Freianlagen'!F131</f>
        <v>0</v>
      </c>
      <c r="G253" s="481">
        <f>'Berechnung - Freianlagen'!G131</f>
        <v>0</v>
      </c>
      <c r="H253" s="481">
        <f>'Berechnung - Freianlagen'!H131</f>
        <v>0</v>
      </c>
      <c r="I253" s="481">
        <f>'Berechnung - Freianlagen'!I131</f>
        <v>0</v>
      </c>
      <c r="J253" s="481">
        <f>'Berechnung - Freianlagen'!J131</f>
        <v>0</v>
      </c>
      <c r="K253" s="481">
        <f>'Berechnung - Freianlagen'!K131</f>
        <v>0</v>
      </c>
      <c r="L253" s="481">
        <f>'Berechnung - Freianlagen'!L131</f>
        <v>0</v>
      </c>
      <c r="M253" s="481">
        <f>'Berechnung - Freianlagen'!M131</f>
        <v>0</v>
      </c>
      <c r="N253" s="481">
        <f>'Berechnung - Freianlagen'!N131</f>
        <v>0</v>
      </c>
      <c r="O253" s="481">
        <f>'Berechnung - Freianlagen'!O131</f>
        <v>0</v>
      </c>
      <c r="P253" s="481">
        <f>'Berechnung - Freianlagen'!P131</f>
        <v>0</v>
      </c>
      <c r="Q253" s="96">
        <f>SUM(C253:P253)</f>
        <v>0</v>
      </c>
      <c r="S253" s="63"/>
      <c r="T253" s="63"/>
      <c r="U253" s="63"/>
    </row>
    <row r="254" spans="1:21" ht="15.95" customHeight="1" x14ac:dyDescent="0.25">
      <c r="A254" s="492"/>
      <c r="B254" s="153" t="str">
        <f>IF(Überblick!$H$53&gt;=2,"2:",0)</f>
        <v>2:</v>
      </c>
      <c r="C254" s="481">
        <f>'Berechnung - Freianlagen'!C132</f>
        <v>0</v>
      </c>
      <c r="D254" s="481">
        <f>'Berechnung - Freianlagen'!D132</f>
        <v>0</v>
      </c>
      <c r="E254" s="481">
        <f>'Berechnung - Freianlagen'!E132</f>
        <v>0</v>
      </c>
      <c r="F254" s="481">
        <f>'Berechnung - Freianlagen'!F132</f>
        <v>0</v>
      </c>
      <c r="G254" s="481">
        <f>'Berechnung - Freianlagen'!G132</f>
        <v>0</v>
      </c>
      <c r="H254" s="481">
        <f>'Berechnung - Freianlagen'!H132</f>
        <v>0</v>
      </c>
      <c r="I254" s="481">
        <f>'Berechnung - Freianlagen'!I132</f>
        <v>0</v>
      </c>
      <c r="J254" s="481">
        <f>'Berechnung - Freianlagen'!J132</f>
        <v>0</v>
      </c>
      <c r="K254" s="481">
        <f>'Berechnung - Freianlagen'!K132</f>
        <v>0</v>
      </c>
      <c r="L254" s="481">
        <f>'Berechnung - Freianlagen'!L132</f>
        <v>0</v>
      </c>
      <c r="M254" s="481">
        <f>'Berechnung - Freianlagen'!M132</f>
        <v>0</v>
      </c>
      <c r="N254" s="481">
        <f>'Berechnung - Freianlagen'!N132</f>
        <v>0</v>
      </c>
      <c r="O254" s="481">
        <f>'Berechnung - Freianlagen'!O132</f>
        <v>0</v>
      </c>
      <c r="P254" s="481">
        <f>'Berechnung - Freianlagen'!P132</f>
        <v>0</v>
      </c>
      <c r="Q254" s="96">
        <f t="shared" ref="Q254:Q260" si="6">SUM(C254:P254)</f>
        <v>0</v>
      </c>
    </row>
    <row r="255" spans="1:21" x14ac:dyDescent="0.25">
      <c r="A255" s="59"/>
      <c r="B255" s="153" t="str">
        <f>IF(Überblick!$H$53&gt;=3,"3:",0)</f>
        <v>3:</v>
      </c>
      <c r="C255" s="481">
        <f>'Berechnung - Freianlagen'!C133</f>
        <v>0</v>
      </c>
      <c r="D255" s="481">
        <f>'Berechnung - Freianlagen'!D133</f>
        <v>0</v>
      </c>
      <c r="E255" s="481">
        <f>'Berechnung - Freianlagen'!E133</f>
        <v>0</v>
      </c>
      <c r="F255" s="481">
        <f>'Berechnung - Freianlagen'!F133</f>
        <v>0</v>
      </c>
      <c r="G255" s="481">
        <f>'Berechnung - Freianlagen'!G133</f>
        <v>0</v>
      </c>
      <c r="H255" s="481">
        <f>'Berechnung - Freianlagen'!H133</f>
        <v>0</v>
      </c>
      <c r="I255" s="481">
        <f>'Berechnung - Freianlagen'!I133</f>
        <v>0</v>
      </c>
      <c r="J255" s="481">
        <f>'Berechnung - Freianlagen'!J133</f>
        <v>0</v>
      </c>
      <c r="K255" s="481">
        <f>'Berechnung - Freianlagen'!K133</f>
        <v>0</v>
      </c>
      <c r="L255" s="481">
        <f>'Berechnung - Freianlagen'!L133</f>
        <v>0</v>
      </c>
      <c r="M255" s="481">
        <f>'Berechnung - Freianlagen'!M133</f>
        <v>0</v>
      </c>
      <c r="N255" s="481">
        <f>'Berechnung - Freianlagen'!N133</f>
        <v>0</v>
      </c>
      <c r="O255" s="481">
        <f>'Berechnung - Freianlagen'!O133</f>
        <v>0</v>
      </c>
      <c r="P255" s="481">
        <f>'Berechnung - Freianlagen'!P133</f>
        <v>0</v>
      </c>
      <c r="Q255" s="96">
        <f t="shared" si="6"/>
        <v>0</v>
      </c>
    </row>
    <row r="256" spans="1:21" x14ac:dyDescent="0.25">
      <c r="B256" s="153" t="str">
        <f>IF(Überblick!$H$53&gt;=4,"4:",0)</f>
        <v>4:</v>
      </c>
      <c r="C256" s="481">
        <f>'Berechnung - Freianlagen'!C134</f>
        <v>0</v>
      </c>
      <c r="D256" s="481">
        <f>'Berechnung - Freianlagen'!D134</f>
        <v>0</v>
      </c>
      <c r="E256" s="481">
        <f>'Berechnung - Freianlagen'!E134</f>
        <v>0</v>
      </c>
      <c r="F256" s="481">
        <f>'Berechnung - Freianlagen'!F134</f>
        <v>0</v>
      </c>
      <c r="G256" s="481">
        <f>'Berechnung - Freianlagen'!G134</f>
        <v>0</v>
      </c>
      <c r="H256" s="481">
        <f>'Berechnung - Freianlagen'!H134</f>
        <v>0</v>
      </c>
      <c r="I256" s="481">
        <f>'Berechnung - Freianlagen'!I134</f>
        <v>0</v>
      </c>
      <c r="J256" s="481">
        <f>'Berechnung - Freianlagen'!J134</f>
        <v>0</v>
      </c>
      <c r="K256" s="481">
        <f>'Berechnung - Freianlagen'!K134</f>
        <v>0</v>
      </c>
      <c r="L256" s="481">
        <f>'Berechnung - Freianlagen'!L134</f>
        <v>0</v>
      </c>
      <c r="M256" s="481">
        <f>'Berechnung - Freianlagen'!M134</f>
        <v>0</v>
      </c>
      <c r="N256" s="481">
        <f>'Berechnung - Freianlagen'!N134</f>
        <v>0</v>
      </c>
      <c r="O256" s="481">
        <f>'Berechnung - Freianlagen'!O134</f>
        <v>0</v>
      </c>
      <c r="P256" s="481">
        <f>'Berechnung - Freianlagen'!P134</f>
        <v>0</v>
      </c>
      <c r="Q256" s="96">
        <f t="shared" si="6"/>
        <v>0</v>
      </c>
    </row>
    <row r="257" spans="2:17" x14ac:dyDescent="0.25">
      <c r="B257" s="153" t="str">
        <f>IF(Überblick!$H$53&gt;=5,"5:",0)</f>
        <v>5:</v>
      </c>
      <c r="C257" s="481">
        <f>'Berechnung - Freianlagen'!C135</f>
        <v>0</v>
      </c>
      <c r="D257" s="481">
        <f>'Berechnung - Freianlagen'!D135</f>
        <v>0</v>
      </c>
      <c r="E257" s="481">
        <f>'Berechnung - Freianlagen'!E135</f>
        <v>0</v>
      </c>
      <c r="F257" s="481">
        <f>'Berechnung - Freianlagen'!F135</f>
        <v>0</v>
      </c>
      <c r="G257" s="481">
        <f>'Berechnung - Freianlagen'!G135</f>
        <v>0</v>
      </c>
      <c r="H257" s="481">
        <f>'Berechnung - Freianlagen'!H135</f>
        <v>0</v>
      </c>
      <c r="I257" s="481">
        <f>'Berechnung - Freianlagen'!I135</f>
        <v>0</v>
      </c>
      <c r="J257" s="481">
        <f>'Berechnung - Freianlagen'!J135</f>
        <v>0</v>
      </c>
      <c r="K257" s="481">
        <f>'Berechnung - Freianlagen'!K135</f>
        <v>0</v>
      </c>
      <c r="L257" s="481">
        <f>'Berechnung - Freianlagen'!L135</f>
        <v>0</v>
      </c>
      <c r="M257" s="481">
        <f>'Berechnung - Freianlagen'!M135</f>
        <v>0</v>
      </c>
      <c r="N257" s="481">
        <f>'Berechnung - Freianlagen'!N135</f>
        <v>0</v>
      </c>
      <c r="O257" s="481">
        <f>'Berechnung - Freianlagen'!O135</f>
        <v>0</v>
      </c>
      <c r="P257" s="481">
        <f>'Berechnung - Freianlagen'!P135</f>
        <v>0</v>
      </c>
      <c r="Q257" s="96">
        <f t="shared" si="6"/>
        <v>0</v>
      </c>
    </row>
    <row r="258" spans="2:17" ht="15.95" customHeight="1" x14ac:dyDescent="0.25">
      <c r="B258" s="153" t="str">
        <f>IF(Überblick!$H$53&gt;=6,"6:",0)</f>
        <v>6:</v>
      </c>
      <c r="C258" s="481">
        <f>'Berechnung - Freianlagen'!C136</f>
        <v>0</v>
      </c>
      <c r="D258" s="481">
        <f>'Berechnung - Freianlagen'!D136</f>
        <v>0</v>
      </c>
      <c r="E258" s="481">
        <f>'Berechnung - Freianlagen'!E136</f>
        <v>0</v>
      </c>
      <c r="F258" s="481">
        <f>'Berechnung - Freianlagen'!F136</f>
        <v>0</v>
      </c>
      <c r="G258" s="481">
        <f>'Berechnung - Freianlagen'!G136</f>
        <v>0</v>
      </c>
      <c r="H258" s="481">
        <f>'Berechnung - Freianlagen'!H136</f>
        <v>0</v>
      </c>
      <c r="I258" s="481">
        <f>'Berechnung - Freianlagen'!I136</f>
        <v>0</v>
      </c>
      <c r="J258" s="481">
        <f>'Berechnung - Freianlagen'!J136</f>
        <v>0</v>
      </c>
      <c r="K258" s="481">
        <f>'Berechnung - Freianlagen'!K136</f>
        <v>0</v>
      </c>
      <c r="L258" s="481">
        <f>'Berechnung - Freianlagen'!L136</f>
        <v>0</v>
      </c>
      <c r="M258" s="481">
        <f>'Berechnung - Freianlagen'!M136</f>
        <v>0</v>
      </c>
      <c r="N258" s="481">
        <f>'Berechnung - Freianlagen'!N136</f>
        <v>0</v>
      </c>
      <c r="O258" s="481">
        <f>'Berechnung - Freianlagen'!O136</f>
        <v>0</v>
      </c>
      <c r="P258" s="481">
        <f>'Berechnung - Freianlagen'!P136</f>
        <v>0</v>
      </c>
      <c r="Q258" s="96">
        <f t="shared" si="6"/>
        <v>0</v>
      </c>
    </row>
    <row r="259" spans="2:17" x14ac:dyDescent="0.25">
      <c r="B259" s="153">
        <f>IF(Überblick!$H$53&gt;=7,"7:",0)</f>
        <v>0</v>
      </c>
      <c r="C259" s="481">
        <f>'Berechnung - Freianlagen'!C137</f>
        <v>0</v>
      </c>
      <c r="D259" s="481">
        <f>'Berechnung - Freianlagen'!D137</f>
        <v>0</v>
      </c>
      <c r="E259" s="481">
        <f>'Berechnung - Freianlagen'!E137</f>
        <v>0</v>
      </c>
      <c r="F259" s="481">
        <f>'Berechnung - Freianlagen'!F137</f>
        <v>0</v>
      </c>
      <c r="G259" s="481">
        <f>'Berechnung - Freianlagen'!G137</f>
        <v>0</v>
      </c>
      <c r="H259" s="481">
        <f>'Berechnung - Freianlagen'!H137</f>
        <v>0</v>
      </c>
      <c r="I259" s="481">
        <f>'Berechnung - Freianlagen'!I137</f>
        <v>0</v>
      </c>
      <c r="J259" s="481">
        <f>'Berechnung - Freianlagen'!J137</f>
        <v>0</v>
      </c>
      <c r="K259" s="481">
        <f>'Berechnung - Freianlagen'!K137</f>
        <v>0</v>
      </c>
      <c r="L259" s="481">
        <f>'Berechnung - Freianlagen'!L137</f>
        <v>0</v>
      </c>
      <c r="M259" s="481">
        <f>'Berechnung - Freianlagen'!M137</f>
        <v>0</v>
      </c>
      <c r="N259" s="481">
        <f>'Berechnung - Freianlagen'!N137</f>
        <v>0</v>
      </c>
      <c r="O259" s="481">
        <f>'Berechnung - Freianlagen'!O137</f>
        <v>0</v>
      </c>
      <c r="P259" s="481">
        <f>'Berechnung - Freianlagen'!P137</f>
        <v>0</v>
      </c>
      <c r="Q259" s="96">
        <f t="shared" si="6"/>
        <v>0</v>
      </c>
    </row>
    <row r="260" spans="2:17" ht="15" customHeight="1" x14ac:dyDescent="0.25">
      <c r="B260" s="153">
        <f>IF(Überblick!$H$53&gt;=8,"8:",0)</f>
        <v>0</v>
      </c>
      <c r="C260" s="481">
        <f>'Berechnung - Freianlagen'!C138</f>
        <v>0</v>
      </c>
      <c r="D260" s="481">
        <f>'Berechnung - Freianlagen'!D138</f>
        <v>0</v>
      </c>
      <c r="E260" s="481">
        <f>'Berechnung - Freianlagen'!E138</f>
        <v>0</v>
      </c>
      <c r="F260" s="481">
        <f>'Berechnung - Freianlagen'!F138</f>
        <v>0</v>
      </c>
      <c r="G260" s="481">
        <f>'Berechnung - Freianlagen'!G138</f>
        <v>0</v>
      </c>
      <c r="H260" s="481">
        <f>'Berechnung - Freianlagen'!H138</f>
        <v>0</v>
      </c>
      <c r="I260" s="481">
        <f>'Berechnung - Freianlagen'!I138</f>
        <v>0</v>
      </c>
      <c r="J260" s="481">
        <f>'Berechnung - Freianlagen'!J138</f>
        <v>0</v>
      </c>
      <c r="K260" s="481">
        <f>'Berechnung - Freianlagen'!K138</f>
        <v>0</v>
      </c>
      <c r="L260" s="481">
        <f>'Berechnung - Freianlagen'!L138</f>
        <v>0</v>
      </c>
      <c r="M260" s="481">
        <f>'Berechnung - Freianlagen'!M138</f>
        <v>0</v>
      </c>
      <c r="N260" s="481">
        <f>'Berechnung - Freianlagen'!N138</f>
        <v>0</v>
      </c>
      <c r="O260" s="481">
        <f>'Berechnung - Freianlagen'!O138</f>
        <v>0</v>
      </c>
      <c r="P260" s="481">
        <f>'Berechnung - Freianlagen'!P138</f>
        <v>0</v>
      </c>
      <c r="Q260" s="96">
        <f t="shared" si="6"/>
        <v>0</v>
      </c>
    </row>
    <row r="261" spans="2:17" x14ac:dyDescent="0.25">
      <c r="B261" s="153">
        <f>IF(Überblick!$H$53&gt;=9,"9:",0)</f>
        <v>0</v>
      </c>
      <c r="C261" s="481">
        <f>'Berechnung - Freianlagen'!C139</f>
        <v>0</v>
      </c>
      <c r="D261" s="481">
        <f>'Berechnung - Freianlagen'!D139</f>
        <v>0</v>
      </c>
      <c r="E261" s="481">
        <f>'Berechnung - Freianlagen'!E139</f>
        <v>0</v>
      </c>
      <c r="F261" s="481">
        <f>'Berechnung - Freianlagen'!F139</f>
        <v>0</v>
      </c>
      <c r="G261" s="481">
        <f>'Berechnung - Freianlagen'!G139</f>
        <v>0</v>
      </c>
      <c r="H261" s="481">
        <f>'Berechnung - Freianlagen'!H139</f>
        <v>0</v>
      </c>
      <c r="I261" s="481">
        <f>'Berechnung - Freianlagen'!I139</f>
        <v>0</v>
      </c>
      <c r="J261" s="481">
        <f>'Berechnung - Freianlagen'!J139</f>
        <v>0</v>
      </c>
      <c r="K261" s="481">
        <f>'Berechnung - Freianlagen'!K139</f>
        <v>0</v>
      </c>
      <c r="L261" s="481">
        <f>'Berechnung - Freianlagen'!L139</f>
        <v>0</v>
      </c>
      <c r="M261" s="481">
        <f>'Berechnung - Freianlagen'!M139</f>
        <v>0</v>
      </c>
      <c r="N261" s="481">
        <f>'Berechnung - Freianlagen'!N139</f>
        <v>0</v>
      </c>
      <c r="O261" s="481">
        <f>'Berechnung - Freianlagen'!O139</f>
        <v>0</v>
      </c>
      <c r="P261" s="481">
        <f>'Berechnung - Freianlagen'!P139</f>
        <v>0</v>
      </c>
      <c r="Q261" s="96"/>
    </row>
    <row r="262" spans="2:17" ht="14.25" customHeight="1" x14ac:dyDescent="0.25">
      <c r="B262" s="140"/>
      <c r="C262" s="140"/>
      <c r="D262" s="140"/>
      <c r="E262" s="140"/>
      <c r="F262" s="140"/>
      <c r="G262" s="140"/>
      <c r="H262" s="140"/>
      <c r="I262" s="140"/>
      <c r="J262" s="140"/>
      <c r="K262" s="140"/>
      <c r="L262" s="140"/>
      <c r="M262" s="140"/>
      <c r="N262" s="140"/>
      <c r="O262" s="140"/>
      <c r="P262" s="140"/>
      <c r="Q262" s="96"/>
    </row>
    <row r="263" spans="2:17" x14ac:dyDescent="0.25">
      <c r="B263" s="140"/>
      <c r="C263" s="140"/>
      <c r="D263" s="140"/>
      <c r="E263" s="140"/>
      <c r="F263" s="140"/>
      <c r="G263" s="140"/>
      <c r="H263" s="140"/>
      <c r="I263" s="140"/>
      <c r="J263" s="140"/>
      <c r="K263" s="140"/>
      <c r="L263" s="140"/>
      <c r="M263" s="140"/>
      <c r="N263" s="140"/>
      <c r="O263" s="140"/>
      <c r="P263" s="140"/>
      <c r="Q263" s="96"/>
    </row>
    <row r="264" spans="2:17" x14ac:dyDescent="0.25">
      <c r="B264" s="140"/>
      <c r="C264" s="140"/>
      <c r="D264" s="140"/>
      <c r="E264" s="140"/>
      <c r="F264" s="140"/>
      <c r="G264" s="140"/>
      <c r="H264" s="140"/>
      <c r="I264" s="140"/>
      <c r="J264" s="140"/>
      <c r="K264" s="140"/>
      <c r="L264" s="140"/>
      <c r="M264" s="140"/>
      <c r="N264" s="140"/>
      <c r="O264" s="140"/>
      <c r="P264" s="140"/>
      <c r="Q264" s="96"/>
    </row>
    <row r="265" spans="2:17" x14ac:dyDescent="0.25">
      <c r="B265" s="140"/>
      <c r="C265" s="140"/>
      <c r="D265" s="140"/>
      <c r="E265" s="140"/>
      <c r="F265" s="140"/>
      <c r="G265" s="140"/>
      <c r="H265" s="140"/>
      <c r="I265" s="140"/>
      <c r="J265" s="140"/>
      <c r="K265" s="140"/>
      <c r="L265" s="140"/>
      <c r="M265" s="140"/>
      <c r="N265" s="140"/>
      <c r="O265" s="140"/>
      <c r="P265" s="140"/>
      <c r="Q265" s="96"/>
    </row>
  </sheetData>
  <sheetProtection algorithmName="SHA-512" hashValue="m1ZLuIDRMxyEjG/QSs4N6ySMTQIAH4UTiNH3Sg0Yr57vL7Y1OA1kfCzN0BIW877MOen8MrmmWNLUjPrMHy5NVg==" saltValue="aVT+ybE+04YYqdKSrtbBPQ==" spinCount="100000" sheet="1" objects="1" scenarios="1"/>
  <mergeCells count="474">
    <mergeCell ref="S2:U2"/>
    <mergeCell ref="S3:U3"/>
    <mergeCell ref="S4:U4"/>
    <mergeCell ref="T1:U1"/>
    <mergeCell ref="R118:S119"/>
    <mergeCell ref="B103:G110"/>
    <mergeCell ref="B111:G113"/>
    <mergeCell ref="B114:G119"/>
    <mergeCell ref="H103:H110"/>
    <mergeCell ref="H111:H113"/>
    <mergeCell ref="H114:H119"/>
    <mergeCell ref="I99:K101"/>
    <mergeCell ref="H85:H90"/>
    <mergeCell ref="Q118:Q119"/>
    <mergeCell ref="R103:S104"/>
    <mergeCell ref="N5:Q5"/>
    <mergeCell ref="F6:G6"/>
    <mergeCell ref="H6:I6"/>
    <mergeCell ref="J6:K6"/>
    <mergeCell ref="L6:M6"/>
    <mergeCell ref="N6:O6"/>
    <mergeCell ref="P6:Q6"/>
    <mergeCell ref="P7:Q7"/>
    <mergeCell ref="B8:E8"/>
    <mergeCell ref="F8:G8"/>
    <mergeCell ref="H8:I8"/>
    <mergeCell ref="J8:K8"/>
    <mergeCell ref="L8:M8"/>
    <mergeCell ref="B30:G32"/>
    <mergeCell ref="H30:H32"/>
    <mergeCell ref="I30:I32"/>
    <mergeCell ref="J30:K32"/>
    <mergeCell ref="A129:A137"/>
    <mergeCell ref="H129:H137"/>
    <mergeCell ref="I129:I137"/>
    <mergeCell ref="B13:E13"/>
    <mergeCell ref="F13:Q13"/>
    <mergeCell ref="B14:E14"/>
    <mergeCell ref="F14:Q14"/>
    <mergeCell ref="F15:I16"/>
    <mergeCell ref="J15:M16"/>
    <mergeCell ref="N15:Q16"/>
    <mergeCell ref="L47:S47"/>
    <mergeCell ref="B40:G40"/>
    <mergeCell ref="B41:G42"/>
    <mergeCell ref="H41:H42"/>
    <mergeCell ref="L37:P38"/>
    <mergeCell ref="R37:S38"/>
    <mergeCell ref="F5:I5"/>
    <mergeCell ref="J5:M5"/>
    <mergeCell ref="L98:P98"/>
    <mergeCell ref="L103:P104"/>
    <mergeCell ref="L105:P107"/>
    <mergeCell ref="B120:G120"/>
    <mergeCell ref="I120:K120"/>
    <mergeCell ref="B85:G90"/>
    <mergeCell ref="B7:E7"/>
    <mergeCell ref="F7:G7"/>
    <mergeCell ref="H7:I7"/>
    <mergeCell ref="J7:K7"/>
    <mergeCell ref="L7:M7"/>
    <mergeCell ref="N7:O7"/>
    <mergeCell ref="L33:P35"/>
    <mergeCell ref="B47:G47"/>
    <mergeCell ref="I47:K47"/>
    <mergeCell ref="F17:I17"/>
    <mergeCell ref="J17:M17"/>
    <mergeCell ref="N17:Q17"/>
    <mergeCell ref="B21:E21"/>
    <mergeCell ref="F21:Q21"/>
    <mergeCell ref="N8:O8"/>
    <mergeCell ref="P8:Q8"/>
    <mergeCell ref="L39:P40"/>
    <mergeCell ref="R39:S40"/>
    <mergeCell ref="R41:S43"/>
    <mergeCell ref="U33:U35"/>
    <mergeCell ref="B36:G36"/>
    <mergeCell ref="I36:K36"/>
    <mergeCell ref="T37:T46"/>
    <mergeCell ref="U37:U46"/>
    <mergeCell ref="B43:G44"/>
    <mergeCell ref="H43:H44"/>
    <mergeCell ref="B45:G46"/>
    <mergeCell ref="H45:H46"/>
    <mergeCell ref="Q33:Q35"/>
    <mergeCell ref="L41:P43"/>
    <mergeCell ref="B33:G35"/>
    <mergeCell ref="H33:H35"/>
    <mergeCell ref="Q37:Q38"/>
    <mergeCell ref="Q39:Q40"/>
    <mergeCell ref="Q41:Q43"/>
    <mergeCell ref="Q44:Q46"/>
    <mergeCell ref="R33:S35"/>
    <mergeCell ref="T33:T35"/>
    <mergeCell ref="I33:K35"/>
    <mergeCell ref="B37:G39"/>
    <mergeCell ref="H37:H39"/>
    <mergeCell ref="I37:I46"/>
    <mergeCell ref="J37:K46"/>
    <mergeCell ref="L44:P46"/>
    <mergeCell ref="R44:S46"/>
    <mergeCell ref="B48:G49"/>
    <mergeCell ref="H48:H49"/>
    <mergeCell ref="I48:I71"/>
    <mergeCell ref="J48:K71"/>
    <mergeCell ref="R48:S48"/>
    <mergeCell ref="L49:P49"/>
    <mergeCell ref="R49:S49"/>
    <mergeCell ref="L50:P50"/>
    <mergeCell ref="R50:S50"/>
    <mergeCell ref="L51:P52"/>
    <mergeCell ref="R51:S52"/>
    <mergeCell ref="L53:P54"/>
    <mergeCell ref="R53:S54"/>
    <mergeCell ref="L55:P58"/>
    <mergeCell ref="R55:S58"/>
    <mergeCell ref="Q51:Q52"/>
    <mergeCell ref="Q53:Q54"/>
    <mergeCell ref="Q55:Q58"/>
    <mergeCell ref="Q59:Q61"/>
    <mergeCell ref="Q62:Q64"/>
    <mergeCell ref="Q65:Q67"/>
    <mergeCell ref="Q68:Q70"/>
    <mergeCell ref="T48:T71"/>
    <mergeCell ref="U48:U71"/>
    <mergeCell ref="B50:G50"/>
    <mergeCell ref="B51:G52"/>
    <mergeCell ref="H51:H52"/>
    <mergeCell ref="L59:P61"/>
    <mergeCell ref="R59:S61"/>
    <mergeCell ref="L62:P64"/>
    <mergeCell ref="R62:S64"/>
    <mergeCell ref="L65:P67"/>
    <mergeCell ref="R65:S67"/>
    <mergeCell ref="L68:P70"/>
    <mergeCell ref="R68:S70"/>
    <mergeCell ref="L71:P71"/>
    <mergeCell ref="R71:S71"/>
    <mergeCell ref="B53:G65"/>
    <mergeCell ref="H53:H65"/>
    <mergeCell ref="L48:P48"/>
    <mergeCell ref="B66:G67"/>
    <mergeCell ref="H66:H67"/>
    <mergeCell ref="B68:G69"/>
    <mergeCell ref="H68:H69"/>
    <mergeCell ref="B70:G71"/>
    <mergeCell ref="H70:H71"/>
    <mergeCell ref="I72:K74"/>
    <mergeCell ref="T72:T74"/>
    <mergeCell ref="B75:G75"/>
    <mergeCell ref="I75:K75"/>
    <mergeCell ref="B83:G84"/>
    <mergeCell ref="H83:H84"/>
    <mergeCell ref="T76:T98"/>
    <mergeCell ref="L72:S74"/>
    <mergeCell ref="L75:S75"/>
    <mergeCell ref="B72:G74"/>
    <mergeCell ref="H72:H74"/>
    <mergeCell ref="U76:U98"/>
    <mergeCell ref="L78:P79"/>
    <mergeCell ref="R78:S79"/>
    <mergeCell ref="L80:P81"/>
    <mergeCell ref="R80:S81"/>
    <mergeCell ref="L82:P82"/>
    <mergeCell ref="R82:S82"/>
    <mergeCell ref="B76:G82"/>
    <mergeCell ref="H76:H82"/>
    <mergeCell ref="I76:I98"/>
    <mergeCell ref="J76:K98"/>
    <mergeCell ref="L76:P77"/>
    <mergeCell ref="R76:S77"/>
    <mergeCell ref="B91:G93"/>
    <mergeCell ref="H91:H93"/>
    <mergeCell ref="R98:S98"/>
    <mergeCell ref="T99:T101"/>
    <mergeCell ref="B102:G102"/>
    <mergeCell ref="I102:K102"/>
    <mergeCell ref="B94:G95"/>
    <mergeCell ref="H94:H95"/>
    <mergeCell ref="B96:G96"/>
    <mergeCell ref="B97:G98"/>
    <mergeCell ref="H97:H98"/>
    <mergeCell ref="L93:P94"/>
    <mergeCell ref="L95:P95"/>
    <mergeCell ref="L96:P97"/>
    <mergeCell ref="R96:S97"/>
    <mergeCell ref="Q96:Q97"/>
    <mergeCell ref="L99:S101"/>
    <mergeCell ref="L102:S102"/>
    <mergeCell ref="Q93:Q95"/>
    <mergeCell ref="B99:G101"/>
    <mergeCell ref="H99:H101"/>
    <mergeCell ref="A127:A128"/>
    <mergeCell ref="B127:G128"/>
    <mergeCell ref="H127:H128"/>
    <mergeCell ref="I127:I128"/>
    <mergeCell ref="J127:K128"/>
    <mergeCell ref="T127:T128"/>
    <mergeCell ref="T103:T119"/>
    <mergeCell ref="U103:U119"/>
    <mergeCell ref="I103:I119"/>
    <mergeCell ref="J103:K119"/>
    <mergeCell ref="L111:P112"/>
    <mergeCell ref="L113:P113"/>
    <mergeCell ref="L114:P115"/>
    <mergeCell ref="L116:P117"/>
    <mergeCell ref="L118:P119"/>
    <mergeCell ref="R111:S112"/>
    <mergeCell ref="R113:S113"/>
    <mergeCell ref="R114:S115"/>
    <mergeCell ref="R116:S117"/>
    <mergeCell ref="Q103:Q104"/>
    <mergeCell ref="Q105:Q107"/>
    <mergeCell ref="Q108:Q110"/>
    <mergeCell ref="Q111:Q112"/>
    <mergeCell ref="Q114:Q115"/>
    <mergeCell ref="A121:A124"/>
    <mergeCell ref="B121:G124"/>
    <mergeCell ref="H121:H124"/>
    <mergeCell ref="I121:I124"/>
    <mergeCell ref="J121:K124"/>
    <mergeCell ref="T121:T124"/>
    <mergeCell ref="U121:U124"/>
    <mergeCell ref="A125:A126"/>
    <mergeCell ref="B125:G126"/>
    <mergeCell ref="H125:H126"/>
    <mergeCell ref="I125:I126"/>
    <mergeCell ref="J125:K126"/>
    <mergeCell ref="T125:T126"/>
    <mergeCell ref="U125:U126"/>
    <mergeCell ref="U127:U128"/>
    <mergeCell ref="B138:G138"/>
    <mergeCell ref="J138:K138"/>
    <mergeCell ref="J129:K137"/>
    <mergeCell ref="B142:G143"/>
    <mergeCell ref="H142:H143"/>
    <mergeCell ref="I142:I156"/>
    <mergeCell ref="J142:K156"/>
    <mergeCell ref="L129:P131"/>
    <mergeCell ref="R129:S131"/>
    <mergeCell ref="L132:P134"/>
    <mergeCell ref="R132:S134"/>
    <mergeCell ref="L135:P137"/>
    <mergeCell ref="R135:S137"/>
    <mergeCell ref="L142:P144"/>
    <mergeCell ref="R142:S144"/>
    <mergeCell ref="L145:P147"/>
    <mergeCell ref="R145:S147"/>
    <mergeCell ref="T142:T156"/>
    <mergeCell ref="U142:U156"/>
    <mergeCell ref="B152:G153"/>
    <mergeCell ref="H152:H153"/>
    <mergeCell ref="B129:G137"/>
    <mergeCell ref="B144:G145"/>
    <mergeCell ref="A139:A140"/>
    <mergeCell ref="B139:G140"/>
    <mergeCell ref="H139:H140"/>
    <mergeCell ref="I139:I140"/>
    <mergeCell ref="J139:K140"/>
    <mergeCell ref="T139:T140"/>
    <mergeCell ref="U139:U140"/>
    <mergeCell ref="B141:G141"/>
    <mergeCell ref="I141:K141"/>
    <mergeCell ref="L141:S141"/>
    <mergeCell ref="H144:H145"/>
    <mergeCell ref="B146:G148"/>
    <mergeCell ref="H146:H148"/>
    <mergeCell ref="L148:P150"/>
    <mergeCell ref="R148:S150"/>
    <mergeCell ref="B149:G151"/>
    <mergeCell ref="H149:H151"/>
    <mergeCell ref="B154:G155"/>
    <mergeCell ref="H154:H155"/>
    <mergeCell ref="Q142:Q144"/>
    <mergeCell ref="Q145:Q147"/>
    <mergeCell ref="Q148:Q150"/>
    <mergeCell ref="Q151:Q153"/>
    <mergeCell ref="B156:G156"/>
    <mergeCell ref="B157:G157"/>
    <mergeCell ref="I157:K157"/>
    <mergeCell ref="H167:H168"/>
    <mergeCell ref="Q154:Q156"/>
    <mergeCell ref="L157:S157"/>
    <mergeCell ref="Q163:Q165"/>
    <mergeCell ref="Q166:Q168"/>
    <mergeCell ref="L154:P156"/>
    <mergeCell ref="R154:S156"/>
    <mergeCell ref="U158:U172"/>
    <mergeCell ref="B159:G163"/>
    <mergeCell ref="H159:H163"/>
    <mergeCell ref="L160:P162"/>
    <mergeCell ref="R160:S162"/>
    <mergeCell ref="L163:P165"/>
    <mergeCell ref="R163:S165"/>
    <mergeCell ref="B164:G164"/>
    <mergeCell ref="B165:G166"/>
    <mergeCell ref="B158:G158"/>
    <mergeCell ref="I158:I172"/>
    <mergeCell ref="J158:K172"/>
    <mergeCell ref="L158:P159"/>
    <mergeCell ref="R158:S159"/>
    <mergeCell ref="T158:T172"/>
    <mergeCell ref="Q158:Q159"/>
    <mergeCell ref="Q160:Q162"/>
    <mergeCell ref="H165:H166"/>
    <mergeCell ref="L166:P168"/>
    <mergeCell ref="R166:S168"/>
    <mergeCell ref="B167:G168"/>
    <mergeCell ref="Q169:Q171"/>
    <mergeCell ref="H190:H191"/>
    <mergeCell ref="B192:G194"/>
    <mergeCell ref="H192:H194"/>
    <mergeCell ref="L192:P194"/>
    <mergeCell ref="B169:G171"/>
    <mergeCell ref="H169:H171"/>
    <mergeCell ref="L169:P171"/>
    <mergeCell ref="R169:S171"/>
    <mergeCell ref="B172:G172"/>
    <mergeCell ref="L172:P172"/>
    <mergeCell ref="R172:S172"/>
    <mergeCell ref="B173:G173"/>
    <mergeCell ref="I173:K173"/>
    <mergeCell ref="B174:G178"/>
    <mergeCell ref="H174:H178"/>
    <mergeCell ref="B182:G183"/>
    <mergeCell ref="L174:P176"/>
    <mergeCell ref="L177:P179"/>
    <mergeCell ref="L180:P182"/>
    <mergeCell ref="L183:P185"/>
    <mergeCell ref="B179:G179"/>
    <mergeCell ref="B180:G181"/>
    <mergeCell ref="H180:H181"/>
    <mergeCell ref="H182:H183"/>
    <mergeCell ref="B184:G185"/>
    <mergeCell ref="H184:H185"/>
    <mergeCell ref="R192:S194"/>
    <mergeCell ref="B186:G187"/>
    <mergeCell ref="H186:H187"/>
    <mergeCell ref="B188:G189"/>
    <mergeCell ref="H188:H189"/>
    <mergeCell ref="B204:G204"/>
    <mergeCell ref="I204:K204"/>
    <mergeCell ref="B199:G199"/>
    <mergeCell ref="B200:G200"/>
    <mergeCell ref="B203:G203"/>
    <mergeCell ref="B201:G201"/>
    <mergeCell ref="B202:G202"/>
    <mergeCell ref="Q198:Q200"/>
    <mergeCell ref="Q201:Q203"/>
    <mergeCell ref="L198:P200"/>
    <mergeCell ref="L201:P203"/>
    <mergeCell ref="I174:I203"/>
    <mergeCell ref="J174:K203"/>
    <mergeCell ref="B190:G191"/>
    <mergeCell ref="B195:G195"/>
    <mergeCell ref="B196:G196"/>
    <mergeCell ref="B197:G198"/>
    <mergeCell ref="H197:H198"/>
    <mergeCell ref="Q195:Q197"/>
    <mergeCell ref="Q192:Q194"/>
    <mergeCell ref="T205:T213"/>
    <mergeCell ref="B210:G212"/>
    <mergeCell ref="H210:H212"/>
    <mergeCell ref="B232:F233"/>
    <mergeCell ref="H232:J233"/>
    <mergeCell ref="B237:F237"/>
    <mergeCell ref="H237:J237"/>
    <mergeCell ref="L204:S204"/>
    <mergeCell ref="G227:J227"/>
    <mergeCell ref="B228:F228"/>
    <mergeCell ref="H228:J228"/>
    <mergeCell ref="B230:F230"/>
    <mergeCell ref="H230:J230"/>
    <mergeCell ref="T214:T215"/>
    <mergeCell ref="B217:R218"/>
    <mergeCell ref="B222:F222"/>
    <mergeCell ref="H222:J222"/>
    <mergeCell ref="B224:F224"/>
    <mergeCell ref="H224:J224"/>
    <mergeCell ref="B214:H215"/>
    <mergeCell ref="I214:I215"/>
    <mergeCell ref="J214:K215"/>
    <mergeCell ref="L214:P215"/>
    <mergeCell ref="B239:F239"/>
    <mergeCell ref="H239:J239"/>
    <mergeCell ref="B226:F226"/>
    <mergeCell ref="H226:J226"/>
    <mergeCell ref="R208:S210"/>
    <mergeCell ref="L211:P213"/>
    <mergeCell ref="B213:G213"/>
    <mergeCell ref="B205:G209"/>
    <mergeCell ref="H205:H209"/>
    <mergeCell ref="I205:I213"/>
    <mergeCell ref="J205:K213"/>
    <mergeCell ref="L205:P207"/>
    <mergeCell ref="L208:P210"/>
    <mergeCell ref="R205:S207"/>
    <mergeCell ref="R211:S213"/>
    <mergeCell ref="R214:S215"/>
    <mergeCell ref="B247:F248"/>
    <mergeCell ref="H247:J248"/>
    <mergeCell ref="B241:F241"/>
    <mergeCell ref="H241:J241"/>
    <mergeCell ref="G242:J242"/>
    <mergeCell ref="B243:F243"/>
    <mergeCell ref="H243:J243"/>
    <mergeCell ref="B245:F245"/>
    <mergeCell ref="H245:J245"/>
    <mergeCell ref="U72:U74"/>
    <mergeCell ref="Q76:Q77"/>
    <mergeCell ref="Q78:Q79"/>
    <mergeCell ref="Q80:Q81"/>
    <mergeCell ref="Q83:Q92"/>
    <mergeCell ref="U174:U203"/>
    <mergeCell ref="U205:U213"/>
    <mergeCell ref="L186:P188"/>
    <mergeCell ref="R186:S188"/>
    <mergeCell ref="L189:P191"/>
    <mergeCell ref="R189:S191"/>
    <mergeCell ref="L195:P197"/>
    <mergeCell ref="R195:S197"/>
    <mergeCell ref="R198:S200"/>
    <mergeCell ref="R201:S203"/>
    <mergeCell ref="R174:S176"/>
    <mergeCell ref="R177:S179"/>
    <mergeCell ref="R180:S182"/>
    <mergeCell ref="R183:S185"/>
    <mergeCell ref="R125:S126"/>
    <mergeCell ref="R127:S128"/>
    <mergeCell ref="Q205:Q207"/>
    <mergeCell ref="Q208:Q210"/>
    <mergeCell ref="Q211:Q213"/>
    <mergeCell ref="Q183:Q185"/>
    <mergeCell ref="Q186:Q188"/>
    <mergeCell ref="Q189:Q191"/>
    <mergeCell ref="R83:S92"/>
    <mergeCell ref="R93:S95"/>
    <mergeCell ref="Q129:Q131"/>
    <mergeCell ref="Q132:Q134"/>
    <mergeCell ref="Q135:Q137"/>
    <mergeCell ref="L120:S120"/>
    <mergeCell ref="L151:P153"/>
    <mergeCell ref="R151:S153"/>
    <mergeCell ref="Q116:Q117"/>
    <mergeCell ref="R105:S107"/>
    <mergeCell ref="L108:P110"/>
    <mergeCell ref="R108:S110"/>
    <mergeCell ref="L83:P88"/>
    <mergeCell ref="L89:P90"/>
    <mergeCell ref="L91:P92"/>
    <mergeCell ref="A30:A120"/>
    <mergeCell ref="A141:A213"/>
    <mergeCell ref="U99:U101"/>
    <mergeCell ref="T174:T203"/>
    <mergeCell ref="U214:U215"/>
    <mergeCell ref="Q214:Q215"/>
    <mergeCell ref="L121:P124"/>
    <mergeCell ref="Q121:Q124"/>
    <mergeCell ref="L125:P126"/>
    <mergeCell ref="L127:P128"/>
    <mergeCell ref="Q127:Q128"/>
    <mergeCell ref="Q125:Q126"/>
    <mergeCell ref="T129:T137"/>
    <mergeCell ref="U129:U137"/>
    <mergeCell ref="R138:S138"/>
    <mergeCell ref="R139:S140"/>
    <mergeCell ref="Q139:Q140"/>
    <mergeCell ref="L139:P140"/>
    <mergeCell ref="L138:P138"/>
    <mergeCell ref="R121:S124"/>
    <mergeCell ref="L173:S173"/>
    <mergeCell ref="Q174:Q176"/>
    <mergeCell ref="Q177:Q179"/>
    <mergeCell ref="Q180:Q182"/>
  </mergeCells>
  <conditionalFormatting sqref="Z48">
    <cfRule type="containsText" dxfId="700" priority="205" operator="containsText" text="Ja">
      <formula>NOT(ISERROR(SEARCH("Ja",Z48)))</formula>
    </cfRule>
  </conditionalFormatting>
  <conditionalFormatting sqref="T48:T71">
    <cfRule type="expression" dxfId="699" priority="204">
      <formula>$T$48="ja"</formula>
    </cfRule>
  </conditionalFormatting>
  <conditionalFormatting sqref="T76:T98">
    <cfRule type="cellIs" dxfId="698" priority="203" operator="equal">
      <formula>"ja"</formula>
    </cfRule>
  </conditionalFormatting>
  <conditionalFormatting sqref="T103:T119">
    <cfRule type="cellIs" dxfId="697" priority="202" operator="equal">
      <formula>"ja"</formula>
    </cfRule>
  </conditionalFormatting>
  <conditionalFormatting sqref="T205:T213 T158:T172 T121:T129 T174 T142 T138:T140">
    <cfRule type="cellIs" dxfId="696" priority="201" operator="equal">
      <formula>$V$28</formula>
    </cfRule>
  </conditionalFormatting>
  <conditionalFormatting sqref="R41">
    <cfRule type="expression" dxfId="695" priority="196">
      <formula>Q41="JA"</formula>
    </cfRule>
  </conditionalFormatting>
  <conditionalFormatting sqref="Z208">
    <cfRule type="expression" dxfId="694" priority="174">
      <formula>$L208&gt;0</formula>
    </cfRule>
  </conditionalFormatting>
  <conditionalFormatting sqref="Z205">
    <cfRule type="expression" dxfId="693" priority="175">
      <formula>$L205&gt;0</formula>
    </cfRule>
  </conditionalFormatting>
  <conditionalFormatting sqref="Z211">
    <cfRule type="expression" dxfId="692" priority="173">
      <formula>$L211&gt;0</formula>
    </cfRule>
  </conditionalFormatting>
  <conditionalFormatting sqref="T37">
    <cfRule type="expression" dxfId="691" priority="207">
      <formula>$T$37="JA"</formula>
    </cfRule>
  </conditionalFormatting>
  <conditionalFormatting sqref="B253:B261">
    <cfRule type="cellIs" dxfId="690" priority="133" operator="greaterThan">
      <formula>0</formula>
    </cfRule>
  </conditionalFormatting>
  <conditionalFormatting sqref="C253:P261">
    <cfRule type="expression" dxfId="689" priority="132">
      <formula>$B253&gt;=1</formula>
    </cfRule>
  </conditionalFormatting>
  <conditionalFormatting sqref="C254:P254">
    <cfRule type="expression" dxfId="688" priority="131">
      <formula>$B254&gt;=1</formula>
    </cfRule>
  </conditionalFormatting>
  <conditionalFormatting sqref="C255:P255">
    <cfRule type="expression" dxfId="687" priority="130">
      <formula>$B255&gt;=1</formula>
    </cfRule>
  </conditionalFormatting>
  <conditionalFormatting sqref="C256:P256">
    <cfRule type="expression" dxfId="686" priority="129">
      <formula>$B256&gt;=1</formula>
    </cfRule>
  </conditionalFormatting>
  <conditionalFormatting sqref="C257:P257">
    <cfRule type="expression" dxfId="685" priority="128">
      <formula>$B257&gt;=1</formula>
    </cfRule>
  </conditionalFormatting>
  <conditionalFormatting sqref="C258:P258">
    <cfRule type="expression" dxfId="684" priority="127">
      <formula>$B258&gt;=1</formula>
    </cfRule>
  </conditionalFormatting>
  <conditionalFormatting sqref="C259:P259">
    <cfRule type="expression" dxfId="683" priority="126">
      <formula>$B259&gt;=1</formula>
    </cfRule>
  </conditionalFormatting>
  <conditionalFormatting sqref="C260:P261">
    <cfRule type="expression" dxfId="682" priority="125">
      <formula>$B260&gt;=1</formula>
    </cfRule>
  </conditionalFormatting>
  <conditionalFormatting sqref="C253:P261">
    <cfRule type="cellIs" dxfId="681" priority="124" operator="greaterThan">
      <formula>0</formula>
    </cfRule>
  </conditionalFormatting>
  <conditionalFormatting sqref="R48">
    <cfRule type="expression" dxfId="680" priority="121">
      <formula>$Q48="JA"</formula>
    </cfRule>
  </conditionalFormatting>
  <conditionalFormatting sqref="R37">
    <cfRule type="expression" dxfId="679" priority="575">
      <formula>Q37="ja"</formula>
    </cfRule>
  </conditionalFormatting>
  <conditionalFormatting sqref="R55">
    <cfRule type="expression" dxfId="678" priority="67">
      <formula>Q55="ja"</formula>
    </cfRule>
  </conditionalFormatting>
  <conditionalFormatting sqref="R44">
    <cfRule type="expression" dxfId="677" priority="73">
      <formula>Q44="JA"</formula>
    </cfRule>
  </conditionalFormatting>
  <conditionalFormatting sqref="R49">
    <cfRule type="expression" dxfId="676" priority="72">
      <formula>$Q49="JA"</formula>
    </cfRule>
  </conditionalFormatting>
  <conditionalFormatting sqref="R50">
    <cfRule type="expression" dxfId="675" priority="71">
      <formula>$Q50="JA"</formula>
    </cfRule>
  </conditionalFormatting>
  <conditionalFormatting sqref="R51">
    <cfRule type="expression" dxfId="674" priority="70">
      <formula>Q51="ja"</formula>
    </cfRule>
  </conditionalFormatting>
  <conditionalFormatting sqref="R53">
    <cfRule type="expression" dxfId="673" priority="69">
      <formula>Q53="ja"</formula>
    </cfRule>
  </conditionalFormatting>
  <conditionalFormatting sqref="R39">
    <cfRule type="expression" dxfId="672" priority="68">
      <formula>Q39="ja"</formula>
    </cfRule>
  </conditionalFormatting>
  <conditionalFormatting sqref="R108">
    <cfRule type="expression" dxfId="671" priority="50">
      <formula>Q108="ja"</formula>
    </cfRule>
  </conditionalFormatting>
  <conditionalFormatting sqref="R59">
    <cfRule type="expression" dxfId="670" priority="66">
      <formula>Q59="JA"</formula>
    </cfRule>
  </conditionalFormatting>
  <conditionalFormatting sqref="R62">
    <cfRule type="expression" dxfId="669" priority="65">
      <formula>Q62="JA"</formula>
    </cfRule>
  </conditionalFormatting>
  <conditionalFormatting sqref="R65">
    <cfRule type="expression" dxfId="668" priority="64">
      <formula>Q65="JA"</formula>
    </cfRule>
  </conditionalFormatting>
  <conditionalFormatting sqref="R68">
    <cfRule type="expression" dxfId="667" priority="63">
      <formula>Q68="JA"</formula>
    </cfRule>
  </conditionalFormatting>
  <conditionalFormatting sqref="R71">
    <cfRule type="expression" dxfId="666" priority="62">
      <formula>$Q71="JA"</formula>
    </cfRule>
  </conditionalFormatting>
  <conditionalFormatting sqref="R76">
    <cfRule type="expression" dxfId="665" priority="61">
      <formula>Q76="ja"</formula>
    </cfRule>
  </conditionalFormatting>
  <conditionalFormatting sqref="R78">
    <cfRule type="expression" dxfId="664" priority="60">
      <formula>Q78="ja"</formula>
    </cfRule>
  </conditionalFormatting>
  <conditionalFormatting sqref="R80">
    <cfRule type="expression" dxfId="663" priority="59">
      <formula>Q80="ja"</formula>
    </cfRule>
  </conditionalFormatting>
  <conditionalFormatting sqref="R82">
    <cfRule type="expression" dxfId="662" priority="58">
      <formula>$Q82="JA"</formula>
    </cfRule>
  </conditionalFormatting>
  <conditionalFormatting sqref="R83">
    <cfRule type="expression" dxfId="661" priority="57">
      <formula>$Q83="JA"</formula>
    </cfRule>
  </conditionalFormatting>
  <conditionalFormatting sqref="R96">
    <cfRule type="expression" dxfId="660" priority="54">
      <formula>Q96="ja"</formula>
    </cfRule>
  </conditionalFormatting>
  <conditionalFormatting sqref="R98">
    <cfRule type="expression" dxfId="659" priority="53">
      <formula>$Q98="JA"</formula>
    </cfRule>
  </conditionalFormatting>
  <conditionalFormatting sqref="R103">
    <cfRule type="expression" dxfId="658" priority="52">
      <formula>Q103="ja"</formula>
    </cfRule>
  </conditionalFormatting>
  <conditionalFormatting sqref="R105">
    <cfRule type="expression" dxfId="657" priority="51">
      <formula>Q105="ja"</formula>
    </cfRule>
  </conditionalFormatting>
  <conditionalFormatting sqref="R111">
    <cfRule type="expression" dxfId="656" priority="49">
      <formula>Q111="ja"</formula>
    </cfRule>
  </conditionalFormatting>
  <conditionalFormatting sqref="R113">
    <cfRule type="expression" dxfId="655" priority="48">
      <formula>$Q113="JA"</formula>
    </cfRule>
  </conditionalFormatting>
  <conditionalFormatting sqref="R114">
    <cfRule type="expression" dxfId="654" priority="47">
      <formula>Q114="ja"</formula>
    </cfRule>
  </conditionalFormatting>
  <conditionalFormatting sqref="R116">
    <cfRule type="expression" dxfId="653" priority="46">
      <formula>Q116="ja"</formula>
    </cfRule>
  </conditionalFormatting>
  <conditionalFormatting sqref="R118">
    <cfRule type="expression" dxfId="652" priority="45">
      <formula>Q118="ja"</formula>
    </cfRule>
  </conditionalFormatting>
  <conditionalFormatting sqref="R93">
    <cfRule type="expression" dxfId="651" priority="576">
      <formula>Q121="ja"</formula>
    </cfRule>
  </conditionalFormatting>
  <conditionalFormatting sqref="R129">
    <cfRule type="expression" dxfId="650" priority="36">
      <formula>Q129="ja"</formula>
    </cfRule>
  </conditionalFormatting>
  <conditionalFormatting sqref="R154">
    <cfRule type="expression" dxfId="649" priority="28">
      <formula>Q154="ja"</formula>
    </cfRule>
  </conditionalFormatting>
  <conditionalFormatting sqref="R132">
    <cfRule type="expression" dxfId="648" priority="35">
      <formula>Q132="ja"</formula>
    </cfRule>
  </conditionalFormatting>
  <conditionalFormatting sqref="R135">
    <cfRule type="expression" dxfId="647" priority="34">
      <formula>Q135="ja"</formula>
    </cfRule>
  </conditionalFormatting>
  <conditionalFormatting sqref="R142">
    <cfRule type="expression" dxfId="646" priority="32">
      <formula>Q142="ja"</formula>
    </cfRule>
  </conditionalFormatting>
  <conditionalFormatting sqref="R145">
    <cfRule type="expression" dxfId="645" priority="31">
      <formula>Q145="ja"</formula>
    </cfRule>
  </conditionalFormatting>
  <conditionalFormatting sqref="R148">
    <cfRule type="expression" dxfId="644" priority="30">
      <formula>Q148="ja"</formula>
    </cfRule>
  </conditionalFormatting>
  <conditionalFormatting sqref="R151">
    <cfRule type="expression" dxfId="643" priority="29">
      <formula>Q151="ja"</formula>
    </cfRule>
  </conditionalFormatting>
  <conditionalFormatting sqref="R158">
    <cfRule type="expression" dxfId="642" priority="27">
      <formula>Q158="ja"</formula>
    </cfRule>
  </conditionalFormatting>
  <conditionalFormatting sqref="R160">
    <cfRule type="expression" dxfId="641" priority="26">
      <formula>Q160="ja"</formula>
    </cfRule>
  </conditionalFormatting>
  <conditionalFormatting sqref="R163">
    <cfRule type="expression" dxfId="640" priority="25">
      <formula>Q163="ja"</formula>
    </cfRule>
  </conditionalFormatting>
  <conditionalFormatting sqref="R166">
    <cfRule type="expression" dxfId="639" priority="24">
      <formula>Q166="ja"</formula>
    </cfRule>
  </conditionalFormatting>
  <conditionalFormatting sqref="R169">
    <cfRule type="expression" dxfId="638" priority="23">
      <formula>Q169="ja"</formula>
    </cfRule>
  </conditionalFormatting>
  <conditionalFormatting sqref="R172">
    <cfRule type="expression" dxfId="637" priority="21">
      <formula>$Q172="JA"</formula>
    </cfRule>
  </conditionalFormatting>
  <conditionalFormatting sqref="R174">
    <cfRule type="expression" dxfId="636" priority="20">
      <formula>Q174="ja"</formula>
    </cfRule>
  </conditionalFormatting>
  <conditionalFormatting sqref="R177">
    <cfRule type="expression" dxfId="635" priority="19">
      <formula>Q177="ja"</formula>
    </cfRule>
  </conditionalFormatting>
  <conditionalFormatting sqref="R180">
    <cfRule type="expression" dxfId="634" priority="18">
      <formula>Q180="ja"</formula>
    </cfRule>
  </conditionalFormatting>
  <conditionalFormatting sqref="R183">
    <cfRule type="expression" dxfId="633" priority="17">
      <formula>Q183="ja"</formula>
    </cfRule>
  </conditionalFormatting>
  <conditionalFormatting sqref="R186">
    <cfRule type="expression" dxfId="632" priority="16">
      <formula>Q186="ja"</formula>
    </cfRule>
  </conditionalFormatting>
  <conditionalFormatting sqref="R189">
    <cfRule type="expression" dxfId="631" priority="15">
      <formula>Q189="ja"</formula>
    </cfRule>
  </conditionalFormatting>
  <conditionalFormatting sqref="R192">
    <cfRule type="expression" dxfId="630" priority="14">
      <formula>Q192="ja"</formula>
    </cfRule>
  </conditionalFormatting>
  <conditionalFormatting sqref="R195">
    <cfRule type="expression" dxfId="629" priority="13">
      <formula>Q195="ja"</formula>
    </cfRule>
  </conditionalFormatting>
  <conditionalFormatting sqref="R198">
    <cfRule type="expression" dxfId="628" priority="12">
      <formula>Q198="ja"</formula>
    </cfRule>
  </conditionalFormatting>
  <conditionalFormatting sqref="R201">
    <cfRule type="expression" dxfId="627" priority="11">
      <formula>Q201="ja"</formula>
    </cfRule>
  </conditionalFormatting>
  <conditionalFormatting sqref="R205">
    <cfRule type="expression" dxfId="626" priority="10">
      <formula>Q205="ja"</formula>
    </cfRule>
  </conditionalFormatting>
  <conditionalFormatting sqref="R208">
    <cfRule type="expression" dxfId="625" priority="9">
      <formula>Q208="ja"</formula>
    </cfRule>
  </conditionalFormatting>
  <conditionalFormatting sqref="R211">
    <cfRule type="expression" dxfId="624" priority="8">
      <formula>Q211="ja"</formula>
    </cfRule>
  </conditionalFormatting>
  <conditionalFormatting sqref="R138">
    <cfRule type="expression" dxfId="623" priority="7">
      <formula>$Q138="JA"</formula>
    </cfRule>
  </conditionalFormatting>
  <conditionalFormatting sqref="R139">
    <cfRule type="expression" dxfId="622" priority="6">
      <formula>Q139="ja"</formula>
    </cfRule>
  </conditionalFormatting>
  <conditionalFormatting sqref="R127">
    <cfRule type="expression" dxfId="621" priority="3">
      <formula>Q127="ja"</formula>
    </cfRule>
  </conditionalFormatting>
  <conditionalFormatting sqref="R121">
    <cfRule type="expression" dxfId="620" priority="5">
      <formula>Q121="ja"</formula>
    </cfRule>
  </conditionalFormatting>
  <conditionalFormatting sqref="R125">
    <cfRule type="expression" dxfId="619" priority="4">
      <formula>Q125="ja"</formula>
    </cfRule>
  </conditionalFormatting>
  <conditionalFormatting sqref="F21:Q21">
    <cfRule type="expression" dxfId="618" priority="2">
      <formula>$R$8&gt;0</formula>
    </cfRule>
  </conditionalFormatting>
  <dataValidations count="2">
    <dataValidation type="list" allowBlank="1" showInputMessage="1" showErrorMessage="1" sqref="H48:H51 H53:H64 H66 H68 H70 H45 H43 H37 H40:H41 H158:H172 H174 H205:H213 H76:H85 H91 H94:H98 H121:H129 H138:H140 H142 H114 H179:H188 H190:H203 H103 H111 H144:H156 Q37 Q39 Q41 Q44 Q48:Q51 Q53 Q55:Q59 Q62 Q65 Q68 Q71 Q76 Q78 Q80 Q82:Q83 Q121 Q96 Q98 Q103 Q105 Q108 Q111 Q113:Q114 Q116 Q118 Q125 Q127 Q129 Q132 Q135 Q138:Q139 Q142 Q145 Q148 Q151 Q154 Q158 Q160 Q163 Q166 Q169 Q172 Q174 Q177 Q180 Q183 Q205 Q208 Q211 Q93 Q198 Q201 Q186 Q189 Q192 Q195" xr:uid="{29C6A871-FF94-413C-AD3E-3A457D766D49}">
      <formula1>$V$27:$V$29</formula1>
    </dataValidation>
    <dataValidation type="list" allowBlank="1" showInputMessage="1" showErrorMessage="1" sqref="F13:Q13" xr:uid="{5875173C-B826-465C-B334-4C635F7887E0}">
      <formula1>$V$13:$V$17</formula1>
    </dataValidation>
  </dataValidations>
  <pageMargins left="0.25" right="0.25" top="0.75" bottom="0.75" header="0.3" footer="0.3"/>
  <pageSetup paperSize="9" scale="50" fitToHeight="0" orientation="portrait" r:id="rId1"/>
  <headerFooter>
    <oddFooter>&amp;LVersions-Nr.: 29.08.2016&amp;CDruckdatum: &amp;D&amp;RSeite &amp;P von &amp;N</oddFooter>
  </headerFooter>
  <rowBreaks count="2" manualBreakCount="2">
    <brk id="98" max="16383" man="1"/>
    <brk id="203" max="16383" man="1"/>
  </rowBreaks>
  <ignoredErrors>
    <ignoredError sqref="W204 W157 W173"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0019F42-2504-4519-903B-DAC7C2A0438A}">
          <x14:formula1>
            <xm:f>'Berechnung - Hochbau'!$H$52:$H$56</xm:f>
          </x14:formula1>
          <xm:sqref>F14</xm:sqref>
        </x14:dataValidation>
        <x14:dataValidation type="list" allowBlank="1" showInputMessage="1" showErrorMessage="1" xr:uid="{5FBE36BC-9AE3-44BC-91E9-19C5BD7570F1}">
          <x14:formula1>
            <xm:f>'Berechnung - Hochbau'!$B$109:$B$112</xm:f>
          </x14:formula1>
          <xm:sqref>R5:S6 W5:X6</xm:sqref>
        </x14:dataValidation>
        <x14:dataValidation type="list" allowBlank="1" showInputMessage="1" showErrorMessage="1" xr:uid="{B4C5BFB9-1FDA-4CA2-B614-3C64E5BEA8F6}">
          <x14:formula1>
            <xm:f>'Berechnung - Hochbau'!$B$131:$B$140</xm:f>
          </x14:formula1>
          <xm:sqref>U37:U46 U48:U71 U76:U98 U103:U119 U121:U140 U142:U156 U158:U172 U174:U203 U205:U213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B050"/>
  </sheetPr>
  <dimension ref="A1:AN324"/>
  <sheetViews>
    <sheetView zoomScale="85" zoomScaleNormal="85" workbookViewId="0">
      <selection activeCell="H9" sqref="H9:I9"/>
    </sheetView>
  </sheetViews>
  <sheetFormatPr baseColWidth="10" defaultColWidth="11.44140625" defaultRowHeight="13.9" outlineLevelCol="1" x14ac:dyDescent="0.25"/>
  <cols>
    <col min="1" max="1" width="9.21875" style="491" customWidth="1"/>
    <col min="2" max="2" width="9.21875" style="39" customWidth="1"/>
    <col min="3" max="3" width="10.77734375" style="39" bestFit="1" customWidth="1"/>
    <col min="4" max="7" width="9.21875" style="39" customWidth="1"/>
    <col min="8" max="8" width="9.44140625" style="39" customWidth="1"/>
    <col min="9" max="13" width="9.21875" style="39" customWidth="1"/>
    <col min="14" max="14" width="9.44140625" style="39" customWidth="1"/>
    <col min="15" max="21" width="9.21875" style="39" customWidth="1"/>
    <col min="22" max="23" width="9.21875" style="72" hidden="1" customWidth="1" outlineLevel="1"/>
    <col min="24" max="24" width="11" style="72" hidden="1" customWidth="1" outlineLevel="1"/>
    <col min="25" max="25" width="5.21875" style="72" hidden="1" customWidth="1" outlineLevel="1"/>
    <col min="26" max="26" width="4.5546875" style="72" hidden="1" customWidth="1" outlineLevel="1"/>
    <col min="27" max="27" width="11.44140625" style="72" hidden="1" customWidth="1" outlineLevel="1"/>
    <col min="28" max="28" width="11.44140625" style="68" collapsed="1"/>
    <col min="29" max="33" width="11.44140625" style="72"/>
    <col min="34" max="16384" width="11.44140625" style="39"/>
  </cols>
  <sheetData>
    <row r="1" spans="1:40" ht="17.7" x14ac:dyDescent="0.3">
      <c r="A1" s="493" t="str">
        <f>Überblick!X100</f>
        <v/>
      </c>
      <c r="B1" s="188" t="str">
        <f>IF(Überblick!B2=Überblick!L4,'Hochbauplanung '!V1,'Hochbauplanung '!V2)</f>
        <v>Honorarangebot HOAI-Hochbauplanung</v>
      </c>
      <c r="H1" s="2257"/>
      <c r="I1" s="2224"/>
      <c r="J1" s="2224"/>
      <c r="K1" s="2224"/>
      <c r="P1" s="127"/>
      <c r="Q1" s="127"/>
      <c r="R1" s="72"/>
      <c r="S1" s="72"/>
      <c r="T1" s="963" t="str">
        <f>Überblick!Q1</f>
        <v>Version: 27.06.2023</v>
      </c>
      <c r="U1" s="963"/>
      <c r="V1" s="72" t="s">
        <v>109</v>
      </c>
      <c r="AH1" s="474"/>
      <c r="AI1" s="474"/>
      <c r="AJ1" s="474"/>
    </row>
    <row r="2" spans="1:40" x14ac:dyDescent="0.25">
      <c r="H2" s="2224"/>
      <c r="I2" s="2224"/>
      <c r="J2" s="2224"/>
      <c r="K2" s="2224"/>
      <c r="P2" s="127"/>
      <c r="Q2" s="127"/>
      <c r="R2" s="535" t="s">
        <v>110</v>
      </c>
      <c r="S2" s="1389" t="str">
        <f>IF(Überblick!Q2=0,"",Überblick!Q2)</f>
        <v/>
      </c>
      <c r="T2" s="1389"/>
      <c r="U2" s="1389"/>
      <c r="V2" s="72" t="s">
        <v>111</v>
      </c>
      <c r="AH2" s="474"/>
      <c r="AI2" s="474"/>
      <c r="AJ2" s="474"/>
    </row>
    <row r="3" spans="1:40" x14ac:dyDescent="0.25">
      <c r="A3" s="491" t="s">
        <v>112</v>
      </c>
      <c r="B3" s="40" t="s">
        <v>113</v>
      </c>
      <c r="H3" s="895"/>
      <c r="I3" s="2224"/>
      <c r="J3" s="2224"/>
      <c r="K3" s="2224"/>
      <c r="P3" s="127"/>
      <c r="Q3" s="127"/>
      <c r="R3" s="535" t="s">
        <v>24</v>
      </c>
      <c r="S3" s="1389" t="str">
        <f>IF(Überblick!G29=0,"",Überblick!G29)</f>
        <v>Breite Strasse, 10178 Berlin-Mitte, zw. Neumannsgasse und Scharrenstrasse</v>
      </c>
      <c r="T3" s="1389"/>
      <c r="U3" s="1389"/>
      <c r="AD3" s="895"/>
      <c r="AE3" s="876"/>
      <c r="AF3" s="876"/>
      <c r="AG3" s="876"/>
      <c r="AH3" s="876"/>
      <c r="AI3" s="474"/>
      <c r="AJ3" s="474"/>
    </row>
    <row r="4" spans="1:40" ht="14.55" thickBot="1" x14ac:dyDescent="0.3">
      <c r="R4" s="535" t="s">
        <v>17</v>
      </c>
      <c r="S4" s="1389" t="str">
        <f>IF(Überblick!D19=0,"",Überblick!D19)</f>
        <v/>
      </c>
      <c r="T4" s="1389"/>
      <c r="U4" s="1389"/>
      <c r="AH4" s="474"/>
      <c r="AI4" s="474"/>
      <c r="AJ4" s="474"/>
    </row>
    <row r="5" spans="1:40" ht="15" customHeight="1" thickBot="1" x14ac:dyDescent="0.3">
      <c r="B5" s="45"/>
      <c r="C5" s="46"/>
      <c r="D5" s="46"/>
      <c r="E5" s="46"/>
      <c r="F5" s="1195" t="s">
        <v>114</v>
      </c>
      <c r="G5" s="1196"/>
      <c r="H5" s="1196"/>
      <c r="I5" s="1196"/>
      <c r="J5" s="1196"/>
      <c r="K5" s="1196"/>
      <c r="L5" s="1196"/>
      <c r="M5" s="1196"/>
      <c r="N5" s="1196"/>
      <c r="O5" s="1196"/>
      <c r="P5" s="1196"/>
      <c r="Q5" s="1197"/>
      <c r="R5" s="889"/>
      <c r="S5" s="889"/>
      <c r="U5" s="889"/>
      <c r="V5" s="889"/>
      <c r="W5" s="889"/>
      <c r="X5" s="889"/>
      <c r="Y5" s="889"/>
      <c r="Z5" s="889"/>
      <c r="AA5" s="889"/>
      <c r="AB5" s="889"/>
      <c r="AC5" s="889"/>
      <c r="AD5" s="889"/>
      <c r="AE5" s="889"/>
      <c r="AF5" s="889"/>
      <c r="AG5" s="889"/>
      <c r="AH5" s="889"/>
      <c r="AI5" s="474"/>
      <c r="AJ5" s="474"/>
    </row>
    <row r="6" spans="1:40" ht="32.25" customHeight="1" thickBot="1" x14ac:dyDescent="0.3">
      <c r="B6" s="45"/>
      <c r="C6" s="46"/>
      <c r="D6" s="46"/>
      <c r="E6" s="46"/>
      <c r="F6" s="1198" t="s">
        <v>116</v>
      </c>
      <c r="G6" s="1199"/>
      <c r="H6" s="1199"/>
      <c r="I6" s="1200"/>
      <c r="J6" s="1198" t="s">
        <v>117</v>
      </c>
      <c r="K6" s="1199"/>
      <c r="L6" s="1199"/>
      <c r="M6" s="1200"/>
      <c r="N6" s="1198" t="s">
        <v>118</v>
      </c>
      <c r="O6" s="1199"/>
      <c r="P6" s="1199"/>
      <c r="Q6" s="1200"/>
      <c r="R6" s="210"/>
      <c r="S6" s="891"/>
      <c r="AB6" s="893"/>
      <c r="AC6" s="893"/>
      <c r="AD6" s="893"/>
      <c r="AE6" s="893"/>
      <c r="AF6" s="893"/>
      <c r="AG6" s="893"/>
      <c r="AH6" s="893"/>
      <c r="AI6" s="893"/>
      <c r="AJ6" s="893"/>
      <c r="AK6" s="893"/>
      <c r="AL6" s="893"/>
      <c r="AM6" s="893"/>
      <c r="AN6" s="893"/>
    </row>
    <row r="7" spans="1:40" ht="15.95" customHeight="1" thickBot="1" x14ac:dyDescent="0.3">
      <c r="B7" s="45"/>
      <c r="C7" s="46"/>
      <c r="D7" s="46"/>
      <c r="E7" s="46"/>
      <c r="F7" s="1215" t="s">
        <v>120</v>
      </c>
      <c r="G7" s="1216"/>
      <c r="H7" s="1217">
        <v>45071</v>
      </c>
      <c r="I7" s="1218"/>
      <c r="J7" s="1213" t="s">
        <v>120</v>
      </c>
      <c r="K7" s="1214"/>
      <c r="L7" s="1217"/>
      <c r="M7" s="1218"/>
      <c r="N7" s="1213" t="s">
        <v>120</v>
      </c>
      <c r="O7" s="1214"/>
      <c r="P7" s="1217"/>
      <c r="Q7" s="1218"/>
      <c r="R7" s="210"/>
      <c r="S7" s="892"/>
      <c r="U7" s="894"/>
      <c r="V7" s="210"/>
      <c r="W7" s="210"/>
      <c r="X7" s="210"/>
      <c r="Y7" s="68"/>
      <c r="Z7" s="68"/>
      <c r="AA7" s="68"/>
      <c r="AB7" s="894"/>
      <c r="AC7" s="894"/>
      <c r="AD7" s="894"/>
      <c r="AE7" s="894"/>
      <c r="AF7" s="894"/>
      <c r="AG7" s="68"/>
      <c r="AH7" s="68"/>
      <c r="AI7" s="474"/>
      <c r="AJ7" s="474"/>
    </row>
    <row r="8" spans="1:40" ht="15.95" customHeight="1" thickBot="1" x14ac:dyDescent="0.3">
      <c r="B8" s="1115" t="s">
        <v>121</v>
      </c>
      <c r="C8" s="1116"/>
      <c r="D8" s="1116"/>
      <c r="E8" s="1117"/>
      <c r="F8" s="1209" t="s">
        <v>107</v>
      </c>
      <c r="G8" s="1210"/>
      <c r="H8" s="1211" t="s">
        <v>106</v>
      </c>
      <c r="I8" s="1212"/>
      <c r="J8" s="1209" t="s">
        <v>107</v>
      </c>
      <c r="K8" s="1210"/>
      <c r="L8" s="1211" t="s">
        <v>106</v>
      </c>
      <c r="M8" s="1212"/>
      <c r="N8" s="1209" t="s">
        <v>107</v>
      </c>
      <c r="O8" s="1210"/>
      <c r="P8" s="1211" t="s">
        <v>106</v>
      </c>
      <c r="Q8" s="1212"/>
      <c r="R8" s="508"/>
      <c r="S8" s="68"/>
      <c r="T8" s="508"/>
      <c r="U8" s="508"/>
      <c r="V8" s="508"/>
      <c r="W8" s="508"/>
      <c r="X8" s="508"/>
      <c r="Y8" s="68"/>
      <c r="Z8" s="68"/>
      <c r="AA8" s="68"/>
      <c r="AB8" s="894"/>
      <c r="AC8" s="894"/>
      <c r="AD8" s="894"/>
      <c r="AE8" s="894"/>
      <c r="AF8" s="894"/>
      <c r="AG8" s="68"/>
      <c r="AH8" s="68"/>
      <c r="AI8" s="474"/>
      <c r="AJ8" s="474"/>
    </row>
    <row r="9" spans="1:40" ht="15" customHeight="1" x14ac:dyDescent="0.25">
      <c r="B9" s="1232" t="s">
        <v>122</v>
      </c>
      <c r="C9" s="1233"/>
      <c r="D9" s="1233"/>
      <c r="E9" s="1234"/>
      <c r="F9" s="1235">
        <f>H9*Überblick!G98+H9</f>
        <v>0</v>
      </c>
      <c r="G9" s="1236"/>
      <c r="H9" s="1203"/>
      <c r="I9" s="1204"/>
      <c r="J9" s="1201">
        <f>L9*1.19</f>
        <v>0</v>
      </c>
      <c r="K9" s="1202"/>
      <c r="L9" s="1203"/>
      <c r="M9" s="1204"/>
      <c r="N9" s="1201">
        <f>P9*1.19</f>
        <v>0</v>
      </c>
      <c r="O9" s="1202"/>
      <c r="P9" s="1203"/>
      <c r="Q9" s="1204"/>
      <c r="R9" s="539"/>
      <c r="S9" s="508"/>
      <c r="T9" s="539"/>
      <c r="V9" s="539"/>
      <c r="W9" s="539"/>
      <c r="X9" s="539"/>
      <c r="Y9" s="68"/>
      <c r="Z9" s="68"/>
      <c r="AA9" s="68"/>
      <c r="AB9" s="894"/>
      <c r="AC9" s="894"/>
      <c r="AD9" s="894"/>
      <c r="AE9" s="894"/>
      <c r="AF9" s="894"/>
      <c r="AG9" s="68"/>
      <c r="AH9" s="68"/>
      <c r="AI9" s="474"/>
      <c r="AJ9" s="474"/>
    </row>
    <row r="10" spans="1:40" ht="30.8" customHeight="1" thickBot="1" x14ac:dyDescent="0.3">
      <c r="B10" s="1229" t="s">
        <v>123</v>
      </c>
      <c r="C10" s="1230"/>
      <c r="D10" s="1230"/>
      <c r="E10" s="1231"/>
      <c r="F10" s="1205">
        <f>H10*Überblick!G98+H10</f>
        <v>0</v>
      </c>
      <c r="G10" s="1237"/>
      <c r="H10" s="1219"/>
      <c r="I10" s="1220"/>
      <c r="J10" s="1205">
        <f>L10*1.19</f>
        <v>0</v>
      </c>
      <c r="K10" s="1206"/>
      <c r="L10" s="1207"/>
      <c r="M10" s="1208"/>
      <c r="N10" s="1205">
        <f>P10*1.19</f>
        <v>0</v>
      </c>
      <c r="O10" s="1206"/>
      <c r="P10" s="1207"/>
      <c r="Q10" s="1208"/>
      <c r="R10" s="539"/>
      <c r="S10" s="539"/>
      <c r="T10" s="539"/>
      <c r="V10" s="539"/>
      <c r="W10" s="539"/>
      <c r="X10" s="539"/>
      <c r="Y10" s="68"/>
      <c r="Z10" s="68"/>
      <c r="AA10" s="68"/>
      <c r="AC10" s="68"/>
      <c r="AD10" s="68"/>
      <c r="AE10" s="68"/>
      <c r="AF10" s="68"/>
      <c r="AG10" s="68"/>
      <c r="AH10" s="68"/>
      <c r="AI10" s="474"/>
      <c r="AJ10" s="474"/>
    </row>
    <row r="11" spans="1:40" x14ac:dyDescent="0.25">
      <c r="B11" s="476"/>
      <c r="C11" s="476"/>
      <c r="D11" s="476"/>
      <c r="E11" s="476"/>
      <c r="F11" s="1138" t="str">
        <f>IF(H23&gt;'Berechnung - Hochbau'!$B$27,'Hochbauplanung '!$T$14,"")</f>
        <v/>
      </c>
      <c r="G11" s="1138"/>
      <c r="H11" s="1138"/>
      <c r="I11" s="1138"/>
      <c r="J11" s="1138" t="str">
        <f>IF(L23&gt;'Berechnung - Hochbau'!$B$27,'Hochbauplanung '!$T$14,"")</f>
        <v/>
      </c>
      <c r="K11" s="1138"/>
      <c r="L11" s="1138"/>
      <c r="M11" s="1138"/>
      <c r="N11" s="1138" t="str">
        <f>IF(P23&gt;'Berechnung - Hochbau'!$B$27,'Hochbauplanung '!$T$14,"")</f>
        <v/>
      </c>
      <c r="O11" s="1138"/>
      <c r="P11" s="1138"/>
      <c r="Q11" s="1138"/>
      <c r="R11" s="539"/>
      <c r="S11" s="539"/>
      <c r="U11" s="539"/>
      <c r="V11" s="539"/>
      <c r="W11" s="539"/>
      <c r="X11" s="539"/>
      <c r="Y11" s="68"/>
      <c r="Z11" s="68"/>
      <c r="AA11" s="68"/>
      <c r="AC11" s="68"/>
      <c r="AD11" s="68"/>
      <c r="AE11" s="68"/>
      <c r="AF11" s="68"/>
      <c r="AG11" s="68"/>
      <c r="AH11" s="68"/>
      <c r="AI11" s="474"/>
      <c r="AJ11" s="474"/>
    </row>
    <row r="12" spans="1:40" x14ac:dyDescent="0.25">
      <c r="B12" s="311"/>
      <c r="C12" s="311"/>
      <c r="D12" s="311"/>
      <c r="E12" s="311"/>
      <c r="F12" s="1139"/>
      <c r="G12" s="1139"/>
      <c r="H12" s="1139"/>
      <c r="I12" s="1139"/>
      <c r="J12" s="1139"/>
      <c r="K12" s="1139"/>
      <c r="L12" s="1139"/>
      <c r="M12" s="1139"/>
      <c r="N12" s="1139"/>
      <c r="O12" s="1139"/>
      <c r="P12" s="1139"/>
      <c r="Q12" s="1139"/>
      <c r="R12" s="539"/>
      <c r="S12" s="539"/>
      <c r="T12" s="539"/>
      <c r="U12" s="539"/>
      <c r="V12" s="539"/>
      <c r="W12" s="539"/>
      <c r="X12" s="539"/>
      <c r="Y12" s="68"/>
      <c r="Z12" s="68"/>
      <c r="AA12" s="68"/>
      <c r="AC12" s="68"/>
      <c r="AD12" s="68"/>
      <c r="AE12" s="68"/>
      <c r="AF12" s="68"/>
      <c r="AG12" s="68"/>
      <c r="AH12" s="68"/>
      <c r="AI12" s="474"/>
      <c r="AJ12" s="474"/>
    </row>
    <row r="13" spans="1:40" ht="14.55" thickBot="1" x14ac:dyDescent="0.3">
      <c r="B13" s="311"/>
      <c r="C13" s="311"/>
      <c r="D13" s="311"/>
      <c r="E13" s="311"/>
      <c r="F13" s="1139"/>
      <c r="G13" s="1139"/>
      <c r="H13" s="1139"/>
      <c r="I13" s="1139"/>
      <c r="J13" s="1139"/>
      <c r="K13" s="1139"/>
      <c r="L13" s="1139"/>
      <c r="M13" s="1139"/>
      <c r="N13" s="1139"/>
      <c r="O13" s="1139"/>
      <c r="P13" s="1139"/>
      <c r="Q13" s="1139"/>
      <c r="R13" s="539"/>
      <c r="S13" s="539"/>
      <c r="T13" s="539"/>
      <c r="U13" s="539"/>
      <c r="V13" s="539"/>
      <c r="W13" s="539"/>
      <c r="X13" s="539"/>
      <c r="Y13" s="68"/>
      <c r="Z13" s="68"/>
      <c r="AA13" s="68"/>
      <c r="AC13" s="68"/>
      <c r="AD13" s="68"/>
      <c r="AE13" s="68"/>
      <c r="AF13" s="68"/>
      <c r="AG13" s="68"/>
      <c r="AH13" s="68"/>
      <c r="AI13" s="474"/>
      <c r="AJ13" s="474"/>
    </row>
    <row r="14" spans="1:40" ht="15.95" customHeight="1" x14ac:dyDescent="0.25">
      <c r="B14" s="1251" t="s">
        <v>125</v>
      </c>
      <c r="C14" s="1252"/>
      <c r="D14" s="1252"/>
      <c r="E14" s="1253"/>
      <c r="F14" s="294"/>
      <c r="G14" s="294"/>
      <c r="H14" s="294"/>
      <c r="I14" s="294"/>
      <c r="J14" s="294"/>
      <c r="K14" s="294"/>
      <c r="L14" s="294"/>
      <c r="M14" s="294"/>
      <c r="N14" s="294"/>
      <c r="O14" s="294"/>
      <c r="P14" s="294"/>
      <c r="Q14" s="295"/>
      <c r="R14" s="539"/>
      <c r="S14" s="539"/>
      <c r="T14" s="539"/>
      <c r="U14" s="539"/>
      <c r="V14" s="539"/>
      <c r="W14" s="539"/>
      <c r="X14" s="539"/>
      <c r="Y14" s="68"/>
      <c r="Z14" s="68"/>
      <c r="AA14" s="68"/>
      <c r="AC14" s="68"/>
      <c r="AD14" s="68"/>
      <c r="AE14" s="68"/>
      <c r="AF14" s="68"/>
      <c r="AG14" s="68"/>
      <c r="AH14" s="68"/>
      <c r="AI14" s="474"/>
      <c r="AJ14" s="474"/>
    </row>
    <row r="15" spans="1:40" ht="15.95" customHeight="1" thickBot="1" x14ac:dyDescent="0.3">
      <c r="B15" s="949"/>
      <c r="C15" s="950"/>
      <c r="D15" s="950"/>
      <c r="E15" s="951"/>
      <c r="F15" s="299"/>
      <c r="G15" s="956"/>
      <c r="H15" s="956"/>
      <c r="I15" s="299"/>
      <c r="J15" s="299"/>
      <c r="K15" s="299"/>
      <c r="L15" s="299"/>
      <c r="M15" s="299"/>
      <c r="N15" s="299"/>
      <c r="O15" s="299"/>
      <c r="P15" s="299"/>
      <c r="Q15" s="300"/>
      <c r="R15" s="539"/>
      <c r="S15" s="539"/>
      <c r="T15" s="539"/>
      <c r="U15" s="539"/>
      <c r="V15" s="539"/>
      <c r="W15" s="539"/>
      <c r="X15" s="539"/>
      <c r="Y15" s="68"/>
      <c r="Z15" s="68"/>
      <c r="AA15" s="68"/>
      <c r="AC15" s="68"/>
      <c r="AD15" s="68"/>
      <c r="AE15" s="68"/>
      <c r="AF15" s="68"/>
      <c r="AG15" s="68"/>
      <c r="AH15" s="68"/>
      <c r="AI15" s="474"/>
      <c r="AJ15" s="474"/>
    </row>
    <row r="16" spans="1:40" ht="14.25" customHeight="1" x14ac:dyDescent="0.25">
      <c r="B16" s="174"/>
      <c r="C16" s="50"/>
      <c r="D16" s="50"/>
      <c r="E16" s="50"/>
      <c r="F16" s="53"/>
      <c r="G16" s="146"/>
      <c r="H16" s="146"/>
      <c r="I16" s="52"/>
      <c r="J16" s="53"/>
      <c r="K16" s="51"/>
      <c r="L16" s="51"/>
      <c r="M16" s="52"/>
      <c r="N16" s="53"/>
      <c r="O16" s="51"/>
      <c r="P16" s="51"/>
      <c r="Q16" s="52"/>
      <c r="R16" s="888"/>
      <c r="S16" s="888"/>
      <c r="T16" s="890"/>
      <c r="U16" s="888"/>
      <c r="V16" s="888"/>
      <c r="W16" s="888"/>
      <c r="X16" s="888"/>
      <c r="Y16" s="68"/>
      <c r="Z16" s="68"/>
      <c r="AA16" s="68"/>
      <c r="AC16" s="68"/>
      <c r="AD16" s="68"/>
      <c r="AE16" s="68"/>
      <c r="AF16" s="68"/>
      <c r="AG16" s="68"/>
      <c r="AH16" s="68"/>
      <c r="AI16" s="474"/>
      <c r="AJ16" s="474"/>
    </row>
    <row r="17" spans="2:36" ht="14.25" customHeight="1" x14ac:dyDescent="0.25">
      <c r="B17" s="1158" t="s">
        <v>126</v>
      </c>
      <c r="C17" s="1159"/>
      <c r="D17" s="1159"/>
      <c r="E17" s="1160"/>
      <c r="F17" s="292"/>
      <c r="G17" s="48"/>
      <c r="H17" s="1120">
        <f>H9+H10</f>
        <v>0</v>
      </c>
      <c r="I17" s="1121"/>
      <c r="J17" s="292"/>
      <c r="K17" s="54"/>
      <c r="L17" s="1120">
        <f>L9+L10</f>
        <v>0</v>
      </c>
      <c r="M17" s="1121"/>
      <c r="N17" s="292"/>
      <c r="O17" s="54"/>
      <c r="P17" s="1120">
        <f>P9+P10</f>
        <v>0</v>
      </c>
      <c r="Q17" s="1121"/>
      <c r="R17" s="888"/>
      <c r="S17" s="888"/>
      <c r="T17" s="890"/>
      <c r="U17" s="888"/>
      <c r="V17" s="888"/>
      <c r="W17" s="888"/>
      <c r="X17" s="888"/>
      <c r="Y17" s="68"/>
      <c r="Z17" s="68"/>
      <c r="AA17" s="68"/>
      <c r="AC17" s="68"/>
      <c r="AD17" s="68"/>
      <c r="AE17" s="68"/>
      <c r="AF17" s="68"/>
      <c r="AG17" s="68"/>
      <c r="AH17" s="68"/>
      <c r="AI17" s="474"/>
      <c r="AJ17" s="474"/>
    </row>
    <row r="18" spans="2:36" ht="14.25" customHeight="1" x14ac:dyDescent="0.25">
      <c r="B18" s="310"/>
      <c r="C18" s="311"/>
      <c r="D18" s="70"/>
      <c r="E18" s="70"/>
      <c r="F18" s="292"/>
      <c r="G18" s="48"/>
      <c r="H18" s="308"/>
      <c r="I18" s="309"/>
      <c r="J18" s="292"/>
      <c r="K18" s="54"/>
      <c r="L18" s="308"/>
      <c r="M18" s="309"/>
      <c r="N18" s="292"/>
      <c r="O18" s="54"/>
      <c r="P18" s="308"/>
      <c r="Q18" s="309"/>
      <c r="R18" s="888"/>
      <c r="S18" s="888"/>
      <c r="T18" s="890"/>
      <c r="U18" s="888"/>
      <c r="V18" s="888"/>
      <c r="W18" s="888"/>
      <c r="X18" s="888"/>
      <c r="Y18" s="68"/>
      <c r="Z18" s="68"/>
      <c r="AA18" s="68"/>
      <c r="AC18" s="68"/>
      <c r="AD18" s="68"/>
      <c r="AE18" s="68"/>
      <c r="AF18" s="68"/>
      <c r="AG18" s="68"/>
      <c r="AH18" s="68"/>
      <c r="AI18" s="474"/>
      <c r="AJ18" s="474"/>
    </row>
    <row r="19" spans="2:36" x14ac:dyDescent="0.25">
      <c r="B19" s="1158" t="s">
        <v>127</v>
      </c>
      <c r="C19" s="1159"/>
      <c r="D19" s="1159"/>
      <c r="E19" s="1159"/>
      <c r="F19" s="111"/>
      <c r="H19" s="1120" t="str">
        <f>IF(H10=0,"0,00 €",H9*0.25)</f>
        <v>0,00 €</v>
      </c>
      <c r="I19" s="1121"/>
      <c r="J19" s="147"/>
      <c r="L19" s="1120" t="str">
        <f>IF(L10=0,"0,00 €",L9*0.25)</f>
        <v>0,00 €</v>
      </c>
      <c r="M19" s="1121"/>
      <c r="N19" s="110"/>
      <c r="P19" s="1120" t="str">
        <f>IF(P10=0,"0,00 €",P9*0.25)</f>
        <v>0,00 €</v>
      </c>
      <c r="Q19" s="1121"/>
      <c r="R19" s="888"/>
      <c r="S19" s="888"/>
      <c r="T19" s="890"/>
      <c r="U19" s="888"/>
      <c r="V19" s="888"/>
      <c r="W19" s="888"/>
      <c r="X19" s="888"/>
      <c r="Y19" s="68"/>
      <c r="Z19" s="68"/>
      <c r="AA19" s="68"/>
      <c r="AC19" s="68"/>
      <c r="AD19" s="68"/>
      <c r="AE19" s="68"/>
      <c r="AF19" s="68"/>
      <c r="AG19" s="68"/>
      <c r="AH19" s="68"/>
      <c r="AI19" s="474"/>
      <c r="AJ19" s="474"/>
    </row>
    <row r="20" spans="2:36" ht="15" customHeight="1" x14ac:dyDescent="0.25">
      <c r="B20" s="1158" t="s">
        <v>128</v>
      </c>
      <c r="C20" s="1159"/>
      <c r="D20" s="1159"/>
      <c r="E20" s="1159"/>
      <c r="F20" s="111"/>
      <c r="G20" s="68"/>
      <c r="H20" s="308"/>
      <c r="I20" s="309"/>
      <c r="J20" s="147"/>
      <c r="K20" s="308"/>
      <c r="L20" s="1120"/>
      <c r="M20" s="1121"/>
      <c r="N20" s="110"/>
      <c r="O20" s="308"/>
      <c r="P20" s="1120"/>
      <c r="Q20" s="1121"/>
      <c r="R20" s="888"/>
      <c r="S20" s="888"/>
      <c r="T20" s="888"/>
      <c r="U20" s="888"/>
      <c r="V20" s="888"/>
      <c r="W20" s="888"/>
      <c r="X20" s="888"/>
      <c r="Y20" s="68"/>
      <c r="Z20" s="68"/>
      <c r="AA20" s="68"/>
      <c r="AC20" s="68"/>
      <c r="AD20" s="68"/>
      <c r="AE20" s="68"/>
      <c r="AF20" s="68"/>
      <c r="AG20" s="68"/>
      <c r="AH20" s="68"/>
      <c r="AI20" s="474"/>
      <c r="AJ20" s="474"/>
    </row>
    <row r="21" spans="2:36" ht="14.55" thickBot="1" x14ac:dyDescent="0.3">
      <c r="B21" s="1158"/>
      <c r="C21" s="1159"/>
      <c r="D21" s="1159"/>
      <c r="E21" s="1159"/>
      <c r="F21" s="111"/>
      <c r="G21" s="68"/>
      <c r="H21" s="1120">
        <f>(H10-H19)*0.5</f>
        <v>0</v>
      </c>
      <c r="I21" s="1121"/>
      <c r="J21" s="110"/>
      <c r="K21" s="308"/>
      <c r="L21" s="1120">
        <f>(L10-L19)*0.5</f>
        <v>0</v>
      </c>
      <c r="M21" s="1121"/>
      <c r="N21" s="293"/>
      <c r="O21" s="319"/>
      <c r="P21" s="1249">
        <f>(P10-P19)*0.5</f>
        <v>0</v>
      </c>
      <c r="Q21" s="1250"/>
      <c r="R21" s="888"/>
      <c r="S21" s="888"/>
      <c r="T21" s="888"/>
      <c r="U21" s="888"/>
      <c r="V21" s="888"/>
      <c r="W21" s="888"/>
      <c r="X21" s="888"/>
      <c r="Y21" s="68"/>
      <c r="Z21" s="68"/>
      <c r="AA21" s="68"/>
      <c r="AC21" s="68"/>
      <c r="AD21" s="68"/>
      <c r="AE21" s="68"/>
      <c r="AF21" s="68"/>
      <c r="AG21" s="68"/>
      <c r="AH21" s="68"/>
      <c r="AI21" s="474"/>
      <c r="AJ21" s="474"/>
    </row>
    <row r="22" spans="2:36" ht="15" customHeight="1" x14ac:dyDescent="0.25">
      <c r="B22" s="1243" t="s">
        <v>129</v>
      </c>
      <c r="C22" s="1244"/>
      <c r="D22" s="1244"/>
      <c r="E22" s="1245"/>
      <c r="F22" s="45"/>
      <c r="G22" s="46"/>
      <c r="H22" s="51"/>
      <c r="I22" s="52"/>
      <c r="J22" s="53"/>
      <c r="K22" s="51"/>
      <c r="L22" s="51"/>
      <c r="M22" s="52"/>
      <c r="N22" s="53"/>
      <c r="O22" s="51"/>
      <c r="P22" s="51"/>
      <c r="Q22" s="52"/>
      <c r="R22" s="888"/>
      <c r="S22" s="888"/>
      <c r="T22" s="888"/>
      <c r="U22" s="888"/>
      <c r="V22" s="888"/>
      <c r="W22" s="888"/>
      <c r="X22" s="888"/>
      <c r="Y22" s="68"/>
      <c r="Z22" s="68"/>
      <c r="AA22" s="68"/>
      <c r="AC22" s="68"/>
      <c r="AD22" s="68"/>
      <c r="AE22" s="68"/>
      <c r="AF22" s="68"/>
      <c r="AG22" s="68"/>
      <c r="AH22" s="68"/>
      <c r="AI22" s="474"/>
      <c r="AJ22" s="474"/>
    </row>
    <row r="23" spans="2:36" ht="15" customHeight="1" thickBot="1" x14ac:dyDescent="0.3">
      <c r="B23" s="1246"/>
      <c r="C23" s="1247"/>
      <c r="D23" s="1247"/>
      <c r="E23" s="1248"/>
      <c r="F23" s="55"/>
      <c r="G23" s="318"/>
      <c r="H23" s="1118">
        <f>IF(H10&lt;H9*0.25,H17,H21+H19+H9)</f>
        <v>0</v>
      </c>
      <c r="I23" s="1119"/>
      <c r="J23" s="55"/>
      <c r="K23" s="318"/>
      <c r="L23" s="1118">
        <f>IF(L10&lt;L9*0.25,L17,L21+L19+L9)</f>
        <v>0</v>
      </c>
      <c r="M23" s="1119"/>
      <c r="N23" s="55"/>
      <c r="O23" s="318"/>
      <c r="P23" s="1118">
        <f>IF(P10&lt;P9*0.25,P17,P21+P19+P9)</f>
        <v>0</v>
      </c>
      <c r="Q23" s="1119"/>
      <c r="R23" s="888"/>
      <c r="S23" s="888"/>
      <c r="T23" s="888"/>
      <c r="U23" s="888"/>
      <c r="V23" s="888"/>
      <c r="W23" s="888"/>
      <c r="X23" s="888"/>
      <c r="Y23" s="68"/>
      <c r="Z23" s="68"/>
      <c r="AA23" s="68"/>
      <c r="AC23" s="68"/>
      <c r="AD23" s="68"/>
      <c r="AE23" s="68"/>
      <c r="AF23" s="68"/>
      <c r="AG23" s="68"/>
      <c r="AH23" s="68"/>
      <c r="AI23" s="474"/>
      <c r="AJ23" s="474"/>
    </row>
    <row r="24" spans="2:36" x14ac:dyDescent="0.25">
      <c r="B24" s="56"/>
      <c r="C24" s="56"/>
      <c r="D24" s="56"/>
      <c r="E24" s="56"/>
      <c r="F24" s="54"/>
      <c r="G24" s="54"/>
      <c r="H24" s="54"/>
      <c r="I24" s="54"/>
      <c r="J24" s="54"/>
      <c r="K24" s="54"/>
      <c r="L24" s="54"/>
      <c r="M24" s="54"/>
      <c r="N24" s="54"/>
      <c r="O24" s="54"/>
      <c r="P24" s="54"/>
      <c r="Q24" s="54"/>
      <c r="R24" s="888"/>
      <c r="S24" s="888"/>
      <c r="T24" s="888"/>
      <c r="U24" s="888"/>
      <c r="V24" s="888"/>
      <c r="W24" s="888"/>
      <c r="X24" s="888"/>
      <c r="Y24" s="68"/>
      <c r="Z24" s="68"/>
      <c r="AA24" s="68"/>
      <c r="AC24" s="68"/>
      <c r="AD24" s="68"/>
      <c r="AE24" s="68"/>
      <c r="AF24" s="68"/>
      <c r="AG24" s="68"/>
      <c r="AH24" s="68"/>
      <c r="AI24" s="474"/>
      <c r="AJ24" s="474"/>
    </row>
    <row r="25" spans="2:36" x14ac:dyDescent="0.25">
      <c r="B25" s="39" t="s">
        <v>130</v>
      </c>
      <c r="R25" s="68"/>
      <c r="S25" s="68"/>
      <c r="T25" s="68"/>
      <c r="U25" s="68"/>
      <c r="V25" s="68"/>
      <c r="W25" s="68"/>
      <c r="X25" s="68"/>
      <c r="Y25" s="68"/>
      <c r="Z25" s="68"/>
      <c r="AA25" s="68"/>
      <c r="AC25" s="68"/>
      <c r="AD25" s="68"/>
      <c r="AE25" s="68"/>
      <c r="AF25" s="68"/>
      <c r="AG25" s="68"/>
      <c r="AH25" s="68"/>
      <c r="AI25" s="474"/>
      <c r="AJ25" s="474"/>
    </row>
    <row r="26" spans="2:36" x14ac:dyDescent="0.25">
      <c r="B26" s="39" t="s">
        <v>131</v>
      </c>
      <c r="R26" s="68"/>
      <c r="S26" s="68"/>
      <c r="T26" s="68"/>
      <c r="U26" s="68"/>
      <c r="V26" s="68"/>
      <c r="W26" s="68"/>
      <c r="X26" s="68"/>
      <c r="Y26" s="68"/>
      <c r="Z26" s="68"/>
      <c r="AA26" s="68"/>
      <c r="AC26" s="68"/>
      <c r="AD26" s="68"/>
      <c r="AE26" s="68"/>
      <c r="AF26" s="68"/>
      <c r="AG26" s="68"/>
      <c r="AH26" s="68"/>
      <c r="AI26" s="474"/>
      <c r="AJ26" s="474"/>
    </row>
    <row r="27" spans="2:36" ht="14.55" thickBot="1" x14ac:dyDescent="0.3">
      <c r="B27" s="40"/>
      <c r="G27" s="54"/>
      <c r="H27" s="41"/>
      <c r="I27" s="57"/>
      <c r="J27" s="54"/>
      <c r="K27" s="54"/>
      <c r="L27" s="57"/>
      <c r="M27" s="58"/>
      <c r="N27" s="58"/>
      <c r="O27" s="59"/>
      <c r="R27" s="68"/>
      <c r="S27" s="473"/>
      <c r="T27" s="539"/>
      <c r="U27" s="68"/>
      <c r="V27" s="68"/>
      <c r="W27" s="68"/>
      <c r="X27" s="68"/>
      <c r="Y27" s="68"/>
      <c r="Z27" s="68"/>
      <c r="AA27" s="68"/>
      <c r="AC27" s="68"/>
      <c r="AD27" s="68"/>
      <c r="AE27" s="68"/>
      <c r="AF27" s="68"/>
      <c r="AG27" s="68"/>
      <c r="AH27" s="68"/>
      <c r="AI27" s="474"/>
      <c r="AJ27" s="474"/>
    </row>
    <row r="28" spans="2:36" ht="15" customHeight="1" x14ac:dyDescent="0.25">
      <c r="B28" s="1221" t="s">
        <v>132</v>
      </c>
      <c r="C28" s="1222"/>
      <c r="D28" s="1222"/>
      <c r="E28" s="1223"/>
      <c r="F28" s="1164">
        <v>4</v>
      </c>
      <c r="G28" s="1165"/>
      <c r="H28" s="1165"/>
      <c r="I28" s="1165"/>
      <c r="J28" s="1165"/>
      <c r="K28" s="1165"/>
      <c r="L28" s="1165"/>
      <c r="M28" s="1165"/>
      <c r="N28" s="1165"/>
      <c r="O28" s="1165"/>
      <c r="P28" s="1165"/>
      <c r="Q28" s="1166"/>
      <c r="R28" s="68"/>
      <c r="S28" s="473"/>
      <c r="T28" s="539"/>
      <c r="U28" s="68"/>
      <c r="V28" s="68">
        <v>1</v>
      </c>
      <c r="W28" s="68"/>
      <c r="X28" s="68"/>
      <c r="Y28" s="68"/>
      <c r="Z28" s="68"/>
      <c r="AA28" s="68"/>
      <c r="AC28" s="68"/>
      <c r="AD28" s="68"/>
      <c r="AE28" s="68"/>
      <c r="AF28" s="68"/>
      <c r="AG28" s="68"/>
      <c r="AH28" s="68"/>
      <c r="AI28" s="474"/>
      <c r="AJ28" s="474"/>
    </row>
    <row r="29" spans="2:36" ht="15.95" customHeight="1" thickBot="1" x14ac:dyDescent="0.3">
      <c r="B29" s="1224" t="s">
        <v>134</v>
      </c>
      <c r="C29" s="1225"/>
      <c r="D29" s="1225"/>
      <c r="E29" s="1226"/>
      <c r="F29" s="1167" t="s">
        <v>135</v>
      </c>
      <c r="G29" s="1168"/>
      <c r="H29" s="1168"/>
      <c r="I29" s="1168"/>
      <c r="J29" s="1168"/>
      <c r="K29" s="1168"/>
      <c r="L29" s="1168"/>
      <c r="M29" s="1168"/>
      <c r="N29" s="1168"/>
      <c r="O29" s="1168"/>
      <c r="P29" s="1168"/>
      <c r="Q29" s="1169"/>
      <c r="S29" s="57"/>
      <c r="T29" s="96"/>
      <c r="U29" s="72"/>
      <c r="V29" s="72">
        <v>2</v>
      </c>
      <c r="AH29" s="474"/>
      <c r="AI29" s="474"/>
      <c r="AJ29" s="474"/>
    </row>
    <row r="30" spans="2:36" ht="15.95" customHeight="1" x14ac:dyDescent="0.25">
      <c r="B30" s="60"/>
      <c r="C30" s="60"/>
      <c r="D30" s="60"/>
      <c r="E30" s="60"/>
      <c r="F30" s="1241" t="s">
        <v>136</v>
      </c>
      <c r="G30" s="1241"/>
      <c r="H30" s="1241"/>
      <c r="I30" s="1241"/>
      <c r="J30" s="1241" t="s">
        <v>137</v>
      </c>
      <c r="K30" s="1241"/>
      <c r="L30" s="1241"/>
      <c r="M30" s="1241"/>
      <c r="N30" s="1241" t="s">
        <v>138</v>
      </c>
      <c r="O30" s="1241"/>
      <c r="P30" s="1241"/>
      <c r="Q30" s="1241"/>
      <c r="S30" s="57"/>
      <c r="T30" s="96"/>
      <c r="U30" s="72"/>
      <c r="V30" s="72">
        <v>3</v>
      </c>
      <c r="AH30" s="474"/>
      <c r="AI30" s="474"/>
      <c r="AJ30" s="474"/>
    </row>
    <row r="31" spans="2:36" ht="15.95" customHeight="1" thickBot="1" x14ac:dyDescent="0.3">
      <c r="B31" s="60"/>
      <c r="C31" s="60"/>
      <c r="D31" s="60"/>
      <c r="E31" s="60"/>
      <c r="F31" s="1242"/>
      <c r="G31" s="1242"/>
      <c r="H31" s="1242"/>
      <c r="I31" s="1242"/>
      <c r="J31" s="1242"/>
      <c r="K31" s="1242"/>
      <c r="L31" s="1242"/>
      <c r="M31" s="1242"/>
      <c r="N31" s="1242"/>
      <c r="O31" s="1242"/>
      <c r="P31" s="1242"/>
      <c r="Q31" s="1242"/>
      <c r="S31" s="57"/>
      <c r="T31" s="96"/>
      <c r="U31" s="72"/>
      <c r="V31" s="72">
        <v>4</v>
      </c>
      <c r="AH31" s="474"/>
      <c r="AI31" s="474"/>
      <c r="AJ31" s="474"/>
    </row>
    <row r="32" spans="2:36" ht="48" customHeight="1" thickBot="1" x14ac:dyDescent="0.3">
      <c r="B32" s="40"/>
      <c r="C32" s="40"/>
      <c r="D32" s="40"/>
      <c r="E32" s="69"/>
      <c r="F32" s="1238">
        <f>'Berechnung - Hochbau'!H108</f>
        <v>0</v>
      </c>
      <c r="G32" s="1239"/>
      <c r="H32" s="1239"/>
      <c r="I32" s="1240"/>
      <c r="J32" s="1238">
        <f>IF('Berechnung - Hochbau'!J108=0,T8,'Berechnung - Hochbau'!J108)</f>
        <v>0</v>
      </c>
      <c r="K32" s="1239"/>
      <c r="L32" s="1239"/>
      <c r="M32" s="1240"/>
      <c r="N32" s="1238">
        <f>IF('Berechnung - Hochbau'!L108=0,T9,'Berechnung - Hochbau'!L108)</f>
        <v>0</v>
      </c>
      <c r="O32" s="1239"/>
      <c r="P32" s="1239"/>
      <c r="Q32" s="1240"/>
      <c r="R32" s="96">
        <f>SUM(F32:Q32)</f>
        <v>0</v>
      </c>
      <c r="S32" s="57"/>
      <c r="T32" s="96"/>
      <c r="U32" s="72"/>
      <c r="V32" s="72">
        <v>5</v>
      </c>
      <c r="AH32" s="474"/>
      <c r="AI32" s="474"/>
      <c r="AJ32" s="474"/>
    </row>
    <row r="33" spans="1:36" x14ac:dyDescent="0.25">
      <c r="B33" s="40"/>
      <c r="F33" s="68" t="str">
        <f>IF(H23&gt;'Berechnung - Hochbau'!B27,'Hochbauplanung '!T14,"")</f>
        <v/>
      </c>
      <c r="G33" s="308"/>
      <c r="H33" s="475"/>
      <c r="I33" s="473"/>
      <c r="J33" s="54"/>
      <c r="K33" s="54"/>
      <c r="L33" s="57"/>
      <c r="M33" s="58"/>
      <c r="N33" s="58"/>
      <c r="O33" s="59"/>
      <c r="R33" s="72"/>
      <c r="S33" s="57"/>
      <c r="T33" s="96"/>
      <c r="U33" s="72"/>
      <c r="AH33" s="474"/>
      <c r="AI33" s="474"/>
      <c r="AJ33" s="474"/>
    </row>
    <row r="34" spans="1:36" x14ac:dyDescent="0.25">
      <c r="A34" s="492" t="s">
        <v>139</v>
      </c>
      <c r="B34" s="42" t="s">
        <v>140</v>
      </c>
      <c r="C34" s="43"/>
      <c r="D34" s="43"/>
      <c r="E34" s="61"/>
      <c r="F34" s="43"/>
      <c r="G34" s="43"/>
      <c r="H34" s="44"/>
      <c r="I34" s="44"/>
      <c r="R34" s="72"/>
      <c r="T34" s="72"/>
      <c r="U34" s="72"/>
      <c r="AH34" s="474"/>
      <c r="AI34" s="474"/>
      <c r="AJ34" s="474"/>
    </row>
    <row r="35" spans="1:36" ht="14.55" thickBot="1" x14ac:dyDescent="0.3">
      <c r="A35" s="492"/>
      <c r="B35" s="43"/>
      <c r="C35" s="43"/>
      <c r="D35" s="43"/>
      <c r="E35" s="61"/>
      <c r="F35" s="43"/>
      <c r="G35" s="43"/>
      <c r="H35" s="62"/>
      <c r="I35" s="62"/>
      <c r="R35" s="72"/>
      <c r="S35" s="63"/>
      <c r="T35" s="178"/>
      <c r="U35" s="178"/>
      <c r="AH35" s="474"/>
      <c r="AI35" s="474"/>
      <c r="AJ35" s="474"/>
    </row>
    <row r="36" spans="1:36" ht="15.95" customHeight="1" thickBot="1" x14ac:dyDescent="0.3">
      <c r="A36" s="492"/>
      <c r="B36" s="1227" t="s">
        <v>141</v>
      </c>
      <c r="C36" s="1228"/>
      <c r="D36" s="1228"/>
      <c r="E36" s="1228"/>
      <c r="F36" s="1122" t="str">
        <f>IF(F5="Bitte auswählen!", "-",F5)</f>
        <v>Gebäude</v>
      </c>
      <c r="G36" s="1123"/>
      <c r="H36" s="1123"/>
      <c r="I36" s="1123"/>
      <c r="J36" s="1123"/>
      <c r="K36" s="1123"/>
      <c r="L36" s="1123"/>
      <c r="M36" s="1123"/>
      <c r="N36" s="1123"/>
      <c r="O36" s="1123"/>
      <c r="P36" s="1123"/>
      <c r="Q36" s="1124"/>
      <c r="R36" s="64"/>
      <c r="S36" s="64"/>
      <c r="T36" s="179"/>
      <c r="U36" s="179"/>
      <c r="V36" s="179"/>
      <c r="W36" s="179"/>
      <c r="X36" s="179"/>
      <c r="AH36" s="474"/>
      <c r="AI36" s="474"/>
      <c r="AJ36" s="474"/>
    </row>
    <row r="37" spans="1:36" ht="15.95" customHeight="1" x14ac:dyDescent="0.25">
      <c r="A37" s="492"/>
      <c r="B37" s="1149" t="s">
        <v>142</v>
      </c>
      <c r="C37" s="1150"/>
      <c r="D37" s="1150"/>
      <c r="E37" s="1151"/>
      <c r="F37" s="1140"/>
      <c r="G37" s="1141"/>
      <c r="H37" s="1141"/>
      <c r="I37" s="1141"/>
      <c r="J37" s="1141"/>
      <c r="K37" s="1141"/>
      <c r="L37" s="1141"/>
      <c r="M37" s="1141"/>
      <c r="N37" s="1141"/>
      <c r="O37" s="1141"/>
      <c r="P37" s="1141"/>
      <c r="Q37" s="1142"/>
      <c r="R37" s="64"/>
      <c r="S37" s="64"/>
      <c r="T37" s="179"/>
      <c r="U37" s="179"/>
      <c r="V37" s="179"/>
      <c r="W37" s="179"/>
      <c r="X37" s="179"/>
      <c r="AH37" s="474"/>
      <c r="AI37" s="474"/>
      <c r="AJ37" s="474"/>
    </row>
    <row r="38" spans="1:36" ht="15.95" customHeight="1" x14ac:dyDescent="0.25">
      <c r="A38" s="492"/>
      <c r="B38" s="1152"/>
      <c r="C38" s="1153"/>
      <c r="D38" s="1153"/>
      <c r="E38" s="1154"/>
      <c r="F38" s="1143"/>
      <c r="G38" s="1144"/>
      <c r="H38" s="1144"/>
      <c r="I38" s="1144"/>
      <c r="J38" s="1144"/>
      <c r="K38" s="1144"/>
      <c r="L38" s="1144"/>
      <c r="M38" s="1144"/>
      <c r="N38" s="1144"/>
      <c r="O38" s="1144"/>
      <c r="P38" s="1144"/>
      <c r="Q38" s="1145"/>
      <c r="R38" s="64"/>
      <c r="S38" s="64"/>
      <c r="T38" s="179"/>
      <c r="U38" s="179"/>
      <c r="V38" s="179"/>
      <c r="W38" s="179"/>
      <c r="X38" s="179"/>
      <c r="AH38" s="474"/>
      <c r="AI38" s="474"/>
      <c r="AJ38" s="474"/>
    </row>
    <row r="39" spans="1:36" ht="15.95" customHeight="1" x14ac:dyDescent="0.25">
      <c r="A39" s="492"/>
      <c r="B39" s="1152"/>
      <c r="C39" s="1153"/>
      <c r="D39" s="1153"/>
      <c r="E39" s="1154"/>
      <c r="F39" s="1143"/>
      <c r="G39" s="1144"/>
      <c r="H39" s="1144"/>
      <c r="I39" s="1144"/>
      <c r="J39" s="1144"/>
      <c r="K39" s="1144"/>
      <c r="L39" s="1144"/>
      <c r="M39" s="1144"/>
      <c r="N39" s="1144"/>
      <c r="O39" s="1144"/>
      <c r="P39" s="1144"/>
      <c r="Q39" s="1145"/>
      <c r="R39" s="64"/>
      <c r="S39" s="64"/>
      <c r="T39" s="179"/>
      <c r="U39" s="179"/>
      <c r="V39" s="179"/>
      <c r="W39" s="179"/>
      <c r="X39" s="179"/>
      <c r="AH39" s="474"/>
      <c r="AI39" s="474"/>
      <c r="AJ39" s="474"/>
    </row>
    <row r="40" spans="1:36" ht="15.95" customHeight="1" x14ac:dyDescent="0.25">
      <c r="A40" s="492"/>
      <c r="B40" s="1152"/>
      <c r="C40" s="1153"/>
      <c r="D40" s="1153"/>
      <c r="E40" s="1154"/>
      <c r="F40" s="1143"/>
      <c r="G40" s="1144"/>
      <c r="H40" s="1144"/>
      <c r="I40" s="1144"/>
      <c r="J40" s="1144"/>
      <c r="K40" s="1144"/>
      <c r="L40" s="1144"/>
      <c r="M40" s="1144"/>
      <c r="N40" s="1144"/>
      <c r="O40" s="1144"/>
      <c r="P40" s="1144"/>
      <c r="Q40" s="1145"/>
      <c r="R40" s="64"/>
      <c r="S40" s="64"/>
      <c r="T40" s="179"/>
      <c r="U40" s="179"/>
      <c r="V40" s="179"/>
      <c r="W40" s="179"/>
      <c r="X40" s="179"/>
      <c r="AH40" s="474"/>
      <c r="AI40" s="474"/>
      <c r="AJ40" s="474"/>
    </row>
    <row r="41" spans="1:36" ht="15.95" customHeight="1" x14ac:dyDescent="0.25">
      <c r="A41" s="492"/>
      <c r="B41" s="1152"/>
      <c r="C41" s="1153"/>
      <c r="D41" s="1153"/>
      <c r="E41" s="1154"/>
      <c r="F41" s="1143"/>
      <c r="G41" s="1144"/>
      <c r="H41" s="1144"/>
      <c r="I41" s="1144"/>
      <c r="J41" s="1144"/>
      <c r="K41" s="1144"/>
      <c r="L41" s="1144"/>
      <c r="M41" s="1144"/>
      <c r="N41" s="1144"/>
      <c r="O41" s="1144"/>
      <c r="P41" s="1144"/>
      <c r="Q41" s="1145"/>
      <c r="R41" s="64"/>
      <c r="S41" s="64"/>
      <c r="T41" s="179"/>
      <c r="U41" s="179"/>
      <c r="V41" s="179"/>
      <c r="W41" s="179"/>
      <c r="X41" s="179"/>
      <c r="AH41" s="474"/>
      <c r="AI41" s="474"/>
      <c r="AJ41" s="474"/>
    </row>
    <row r="42" spans="1:36" ht="15.95" customHeight="1" thickBot="1" x14ac:dyDescent="0.3">
      <c r="A42" s="492"/>
      <c r="B42" s="1155"/>
      <c r="C42" s="1156"/>
      <c r="D42" s="1156"/>
      <c r="E42" s="1157"/>
      <c r="F42" s="1146"/>
      <c r="G42" s="1147"/>
      <c r="H42" s="1147"/>
      <c r="I42" s="1147"/>
      <c r="J42" s="1147"/>
      <c r="K42" s="1147"/>
      <c r="L42" s="1147"/>
      <c r="M42" s="1147"/>
      <c r="N42" s="1147"/>
      <c r="O42" s="1147"/>
      <c r="P42" s="1147"/>
      <c r="Q42" s="1148"/>
      <c r="R42" s="480">
        <f>IF(AND(R9&gt;0,F37=""),1,0)</f>
        <v>0</v>
      </c>
      <c r="S42" s="64"/>
      <c r="T42" s="179"/>
      <c r="U42" s="179"/>
      <c r="V42" s="179"/>
      <c r="W42" s="179"/>
      <c r="X42" s="179"/>
      <c r="AH42" s="474"/>
      <c r="AI42" s="474"/>
      <c r="AJ42" s="474"/>
    </row>
    <row r="43" spans="1:36" x14ac:dyDescent="0.25">
      <c r="B43" s="40"/>
      <c r="G43" s="54"/>
      <c r="H43" s="41"/>
      <c r="I43" s="57"/>
      <c r="J43" s="54"/>
      <c r="K43" s="54"/>
      <c r="L43" s="57"/>
      <c r="M43" s="58"/>
      <c r="N43" s="58"/>
      <c r="O43" s="59"/>
      <c r="R43" s="68"/>
      <c r="S43" s="473"/>
      <c r="T43" s="96"/>
      <c r="U43" s="72"/>
      <c r="AH43" s="474"/>
      <c r="AI43" s="474"/>
      <c r="AJ43" s="474"/>
    </row>
    <row r="44" spans="1:36" x14ac:dyDescent="0.25">
      <c r="B44" s="39" t="s">
        <v>143</v>
      </c>
      <c r="G44" s="54"/>
      <c r="H44" s="41"/>
      <c r="I44" s="57"/>
      <c r="J44" s="54"/>
      <c r="K44" s="54"/>
      <c r="L44" s="57"/>
      <c r="M44" s="58"/>
      <c r="N44" s="58"/>
      <c r="O44" s="59"/>
      <c r="Q44" s="127"/>
      <c r="R44" s="68"/>
      <c r="S44" s="473"/>
      <c r="T44" s="96"/>
      <c r="U44" s="72"/>
      <c r="AH44" s="474"/>
      <c r="AI44" s="474"/>
      <c r="AJ44" s="474"/>
    </row>
    <row r="45" spans="1:36" x14ac:dyDescent="0.25">
      <c r="B45" s="40"/>
      <c r="G45" s="54"/>
      <c r="H45" s="41"/>
      <c r="I45" s="57"/>
      <c r="J45" s="54"/>
      <c r="K45" s="54"/>
      <c r="L45" s="57"/>
      <c r="M45" s="58"/>
      <c r="N45" s="58"/>
      <c r="O45" s="59"/>
      <c r="Q45" s="127"/>
      <c r="R45" s="68"/>
      <c r="S45" s="473"/>
      <c r="T45" s="96"/>
      <c r="U45" s="72"/>
      <c r="AH45" s="474"/>
      <c r="AI45" s="474"/>
      <c r="AJ45" s="474"/>
    </row>
    <row r="46" spans="1:36" x14ac:dyDescent="0.25">
      <c r="A46" s="491" t="s">
        <v>144</v>
      </c>
      <c r="B46" s="40" t="s">
        <v>145</v>
      </c>
      <c r="Q46" s="127"/>
      <c r="R46" s="68"/>
      <c r="S46" s="68"/>
      <c r="T46" s="72"/>
      <c r="U46" s="72"/>
      <c r="AH46" s="474"/>
      <c r="AI46" s="474"/>
      <c r="AJ46" s="474"/>
    </row>
    <row r="47" spans="1:36" x14ac:dyDescent="0.25">
      <c r="B47" s="40"/>
      <c r="Q47" s="127"/>
      <c r="R47" s="127"/>
      <c r="S47" s="127"/>
      <c r="T47" s="72"/>
      <c r="U47" s="72"/>
      <c r="AH47" s="474"/>
      <c r="AI47" s="474"/>
      <c r="AJ47" s="474"/>
    </row>
    <row r="48" spans="1:36" ht="15.95" customHeight="1" x14ac:dyDescent="0.25">
      <c r="B48" s="39" t="s">
        <v>146</v>
      </c>
      <c r="Q48" s="127"/>
      <c r="R48" s="127"/>
      <c r="S48" s="127"/>
      <c r="T48" s="72"/>
      <c r="U48" s="72" t="s">
        <v>115</v>
      </c>
      <c r="V48" s="72" t="s">
        <v>100</v>
      </c>
      <c r="AH48" s="474"/>
      <c r="AI48" s="474"/>
      <c r="AJ48" s="474"/>
    </row>
    <row r="49" spans="1:36" ht="15.95" customHeight="1" x14ac:dyDescent="0.25">
      <c r="B49" s="39" t="s">
        <v>147</v>
      </c>
      <c r="Q49" s="127"/>
      <c r="R49" s="127"/>
      <c r="S49" s="127"/>
      <c r="T49" s="72"/>
      <c r="U49" s="72"/>
      <c r="V49" s="72" t="s">
        <v>99</v>
      </c>
      <c r="AA49" s="72" t="s">
        <v>148</v>
      </c>
      <c r="AH49" s="474"/>
      <c r="AI49" s="474"/>
      <c r="AJ49" s="474"/>
    </row>
    <row r="50" spans="1:36" ht="15.95" customHeight="1" x14ac:dyDescent="0.25">
      <c r="B50" s="39" t="str">
        <f>IF(B1=V2,"","Die besonderen Leistungen sind in den orange markierten Feldern zu bepreisen. ")</f>
        <v xml:space="preserve">Die besonderen Leistungen sind in den orange markierten Feldern zu bepreisen. </v>
      </c>
      <c r="Q50" s="127"/>
      <c r="R50" s="127"/>
      <c r="S50" s="127"/>
      <c r="T50" s="127"/>
      <c r="U50" s="127"/>
    </row>
    <row r="51" spans="1:36" ht="15.95" customHeight="1" thickBot="1" x14ac:dyDescent="0.3">
      <c r="Q51" s="127"/>
      <c r="R51" s="127"/>
      <c r="S51" s="127"/>
      <c r="T51" s="127"/>
      <c r="U51" s="127"/>
    </row>
    <row r="52" spans="1:36" ht="15.95" customHeight="1" x14ac:dyDescent="0.25">
      <c r="I52" s="989" t="str">
        <f>F5</f>
        <v>Gebäude</v>
      </c>
      <c r="J52" s="990"/>
      <c r="K52" s="991"/>
      <c r="L52" s="141"/>
      <c r="Q52" s="127"/>
      <c r="R52" s="127"/>
      <c r="S52" s="419"/>
      <c r="T52" s="419"/>
      <c r="U52" s="419"/>
    </row>
    <row r="53" spans="1:36" ht="15.95" customHeight="1" thickBot="1" x14ac:dyDescent="0.3">
      <c r="I53" s="992"/>
      <c r="J53" s="993"/>
      <c r="K53" s="994"/>
      <c r="L53" s="141"/>
      <c r="M53" s="70"/>
      <c r="N53" s="70"/>
      <c r="O53" s="70"/>
      <c r="P53" s="70"/>
      <c r="Q53" s="418"/>
      <c r="R53" s="418"/>
      <c r="S53" s="419"/>
      <c r="T53" s="419"/>
      <c r="U53" s="419"/>
    </row>
    <row r="54" spans="1:36" ht="15.95" customHeight="1" x14ac:dyDescent="0.25">
      <c r="A54" s="1392" t="s">
        <v>149</v>
      </c>
      <c r="B54" s="1125" t="s">
        <v>150</v>
      </c>
      <c r="C54" s="1126"/>
      <c r="D54" s="1126"/>
      <c r="E54" s="1126"/>
      <c r="F54" s="1126"/>
      <c r="G54" s="1126"/>
      <c r="H54" s="1131" t="s">
        <v>151</v>
      </c>
      <c r="I54" s="1134" t="s">
        <v>152</v>
      </c>
      <c r="J54" s="995" t="s">
        <v>153</v>
      </c>
      <c r="K54" s="996"/>
      <c r="L54" s="142"/>
      <c r="M54" s="114"/>
      <c r="N54" s="114"/>
      <c r="O54" s="114"/>
      <c r="P54" s="70"/>
      <c r="Q54" s="418"/>
      <c r="R54" s="418"/>
      <c r="S54" s="419"/>
      <c r="T54" s="419"/>
      <c r="U54" s="419"/>
    </row>
    <row r="55" spans="1:36" ht="15.95" customHeight="1" x14ac:dyDescent="0.25">
      <c r="A55" s="1393"/>
      <c r="B55" s="1127"/>
      <c r="C55" s="1128"/>
      <c r="D55" s="1128"/>
      <c r="E55" s="1128"/>
      <c r="F55" s="1128"/>
      <c r="G55" s="1128"/>
      <c r="H55" s="1132"/>
      <c r="I55" s="1135"/>
      <c r="J55" s="997"/>
      <c r="K55" s="998"/>
      <c r="L55" s="142"/>
      <c r="M55" s="114"/>
      <c r="N55" s="114"/>
      <c r="O55" s="114"/>
      <c r="P55" s="70"/>
      <c r="Q55" s="418"/>
      <c r="R55" s="418"/>
      <c r="S55" s="419"/>
      <c r="T55" s="419"/>
      <c r="U55" s="420"/>
    </row>
    <row r="56" spans="1:36" ht="15" customHeight="1" thickBot="1" x14ac:dyDescent="0.3">
      <c r="A56" s="1393"/>
      <c r="B56" s="1129"/>
      <c r="C56" s="1130"/>
      <c r="D56" s="1130"/>
      <c r="E56" s="1130"/>
      <c r="F56" s="1130"/>
      <c r="G56" s="1130"/>
      <c r="H56" s="1133"/>
      <c r="I56" s="1136"/>
      <c r="J56" s="999"/>
      <c r="K56" s="1000"/>
      <c r="L56" s="143"/>
      <c r="M56" s="115"/>
      <c r="N56" s="115"/>
      <c r="O56" s="115"/>
      <c r="P56" s="116"/>
      <c r="Q56" s="116"/>
      <c r="R56" s="116"/>
      <c r="S56" s="73"/>
      <c r="T56" s="73"/>
      <c r="U56" s="81"/>
    </row>
    <row r="57" spans="1:36" ht="15" customHeight="1" thickBot="1" x14ac:dyDescent="0.3">
      <c r="A57" s="1393"/>
      <c r="B57" s="1035" t="s">
        <v>154</v>
      </c>
      <c r="C57" s="1036"/>
      <c r="D57" s="1036"/>
      <c r="E57" s="1036"/>
      <c r="F57" s="1036"/>
      <c r="G57" s="1036"/>
      <c r="H57" s="1161"/>
      <c r="I57" s="1344">
        <f>F32</f>
        <v>0</v>
      </c>
      <c r="J57" s="1345"/>
      <c r="K57" s="1346"/>
      <c r="L57" s="1019" t="s">
        <v>155</v>
      </c>
      <c r="M57" s="1020"/>
      <c r="N57" s="1020"/>
      <c r="O57" s="1020"/>
      <c r="P57" s="1020"/>
      <c r="Q57" s="1131" t="s">
        <v>151</v>
      </c>
      <c r="R57" s="1263" t="str">
        <f>IF(B1=V2,"Honorar für die Besonderen Leistungen","Honorarangebot für die Besonderen Leistungen")</f>
        <v>Honorarangebot für die Besonderen Leistungen</v>
      </c>
      <c r="S57" s="1264"/>
      <c r="T57" s="1254" t="s">
        <v>156</v>
      </c>
      <c r="U57" s="1336" t="s">
        <v>157</v>
      </c>
      <c r="V57" s="184"/>
    </row>
    <row r="58" spans="1:36" ht="15" customHeight="1" thickBot="1" x14ac:dyDescent="0.3">
      <c r="A58" s="1393"/>
      <c r="B58" s="1038"/>
      <c r="C58" s="1039"/>
      <c r="D58" s="1039"/>
      <c r="E58" s="1039"/>
      <c r="F58" s="1039"/>
      <c r="G58" s="1039"/>
      <c r="H58" s="1162"/>
      <c r="I58" s="1347"/>
      <c r="J58" s="1348"/>
      <c r="K58" s="1349"/>
      <c r="L58" s="1021"/>
      <c r="M58" s="1022"/>
      <c r="N58" s="1022"/>
      <c r="O58" s="1022"/>
      <c r="P58" s="1022"/>
      <c r="Q58" s="1132"/>
      <c r="R58" s="1265"/>
      <c r="S58" s="1266"/>
      <c r="T58" s="1255"/>
      <c r="U58" s="1336"/>
      <c r="V58" s="184"/>
    </row>
    <row r="59" spans="1:36" ht="15.95" customHeight="1" thickBot="1" x14ac:dyDescent="0.3">
      <c r="A59" s="1393"/>
      <c r="B59" s="1041"/>
      <c r="C59" s="1042"/>
      <c r="D59" s="1042"/>
      <c r="E59" s="1042"/>
      <c r="F59" s="1042"/>
      <c r="G59" s="1042"/>
      <c r="H59" s="1163"/>
      <c r="I59" s="1350"/>
      <c r="J59" s="1351"/>
      <c r="K59" s="1352"/>
      <c r="L59" s="1023"/>
      <c r="M59" s="1024"/>
      <c r="N59" s="1024"/>
      <c r="O59" s="1024"/>
      <c r="P59" s="1024"/>
      <c r="Q59" s="1133"/>
      <c r="R59" s="1267"/>
      <c r="S59" s="1268"/>
      <c r="T59" s="1256"/>
      <c r="U59" s="1336"/>
      <c r="V59" s="149" t="s">
        <v>158</v>
      </c>
    </row>
    <row r="60" spans="1:36" ht="15.95" customHeight="1" thickBot="1" x14ac:dyDescent="0.3">
      <c r="A60" s="1393"/>
      <c r="B60" s="1082" t="s">
        <v>159</v>
      </c>
      <c r="C60" s="1083"/>
      <c r="D60" s="1083"/>
      <c r="E60" s="1083"/>
      <c r="F60" s="1083"/>
      <c r="G60" s="1084"/>
      <c r="H60" s="246"/>
      <c r="I60" s="1050"/>
      <c r="J60" s="1051"/>
      <c r="K60" s="1051"/>
      <c r="L60" s="1378"/>
      <c r="M60" s="1379"/>
      <c r="N60" s="1379"/>
      <c r="O60" s="1379"/>
      <c r="P60" s="1380"/>
      <c r="Q60" s="209"/>
      <c r="R60" s="1381"/>
      <c r="S60" s="1382"/>
      <c r="T60" s="71"/>
      <c r="U60" s="154"/>
      <c r="W60" s="72">
        <f>IF(AND(B57=T17,I60=""),1,0)</f>
        <v>0</v>
      </c>
      <c r="X60" s="72">
        <f>G76</f>
        <v>4</v>
      </c>
    </row>
    <row r="61" spans="1:36" ht="14.25" customHeight="1" thickBot="1" x14ac:dyDescent="0.3">
      <c r="A61" s="1393"/>
      <c r="B61" s="1383" t="s">
        <v>160</v>
      </c>
      <c r="C61" s="1384"/>
      <c r="D61" s="1384"/>
      <c r="E61" s="1384"/>
      <c r="F61" s="1384"/>
      <c r="G61" s="1384"/>
      <c r="H61" s="1137" t="s">
        <v>99</v>
      </c>
      <c r="I61" s="1016">
        <f>IF(I52="Gebäude",W75,X75)</f>
        <v>1.9E-2</v>
      </c>
      <c r="J61" s="1027">
        <f>$I$57*I61</f>
        <v>0</v>
      </c>
      <c r="K61" s="1028"/>
      <c r="L61" s="1353" t="s">
        <v>161</v>
      </c>
      <c r="M61" s="1354"/>
      <c r="N61" s="1354"/>
      <c r="O61" s="1354"/>
      <c r="P61" s="1354"/>
      <c r="Q61" s="331" t="s">
        <v>99</v>
      </c>
      <c r="R61" s="1025"/>
      <c r="S61" s="1026"/>
      <c r="T61" s="1341" t="str">
        <f>IFERROR(IF((VLOOKUP(U61,Überblick!$M$125:$N$133,2))="ja","ja","nein"),"")</f>
        <v>ja</v>
      </c>
      <c r="U61" s="1337">
        <v>1</v>
      </c>
      <c r="V61" s="72">
        <f>IF(AND($Q$61="ja",$R$61=""),1,0)</f>
        <v>1</v>
      </c>
      <c r="W61" s="74">
        <f>IF(H61="ja",Z61,0)</f>
        <v>7.4999999999999997E-3</v>
      </c>
      <c r="X61" s="74">
        <f>IF(H61="ja",AA61,0)</f>
        <v>7.4999999999999997E-3</v>
      </c>
      <c r="Y61" s="72" t="s">
        <v>162</v>
      </c>
      <c r="Z61" s="77">
        <v>7.4999999999999997E-3</v>
      </c>
      <c r="AA61" s="77">
        <v>7.4999999999999997E-3</v>
      </c>
      <c r="AC61" s="72">
        <f>IF(Q61="ja",1,0)</f>
        <v>1</v>
      </c>
    </row>
    <row r="62" spans="1:36" ht="24" customHeight="1" thickBot="1" x14ac:dyDescent="0.3">
      <c r="A62" s="1393"/>
      <c r="B62" s="1098"/>
      <c r="C62" s="1099"/>
      <c r="D62" s="1099"/>
      <c r="E62" s="1099"/>
      <c r="F62" s="1099"/>
      <c r="G62" s="1099"/>
      <c r="H62" s="1013"/>
      <c r="I62" s="1017"/>
      <c r="J62" s="1029"/>
      <c r="K62" s="1030"/>
      <c r="L62" s="984" t="s">
        <v>971</v>
      </c>
      <c r="M62" s="985"/>
      <c r="N62" s="985"/>
      <c r="O62" s="985"/>
      <c r="P62" s="985"/>
      <c r="Q62" s="329" t="s">
        <v>99</v>
      </c>
      <c r="R62" s="972"/>
      <c r="S62" s="973"/>
      <c r="T62" s="1342"/>
      <c r="U62" s="1337"/>
      <c r="V62" s="72">
        <f>IF(AND($Q$62="ja",$R$62=""),1,0)</f>
        <v>1</v>
      </c>
      <c r="W62" s="74"/>
      <c r="X62" s="74"/>
      <c r="AC62" s="72">
        <f t="shared" ref="AC62:AC125" si="0">IF(Q62="ja",1,0)</f>
        <v>1</v>
      </c>
    </row>
    <row r="63" spans="1:36" ht="14.25" customHeight="1" thickBot="1" x14ac:dyDescent="0.3">
      <c r="A63" s="1393"/>
      <c r="B63" s="1098"/>
      <c r="C63" s="1099"/>
      <c r="D63" s="1099"/>
      <c r="E63" s="1099"/>
      <c r="F63" s="1099"/>
      <c r="G63" s="1099"/>
      <c r="H63" s="1013"/>
      <c r="I63" s="1017"/>
      <c r="J63" s="1029"/>
      <c r="K63" s="1030"/>
      <c r="L63" s="1737" t="s">
        <v>170</v>
      </c>
      <c r="M63" s="1738"/>
      <c r="N63" s="1738"/>
      <c r="O63" s="1738"/>
      <c r="P63" s="1828"/>
      <c r="Q63" s="979" t="s">
        <v>99</v>
      </c>
      <c r="R63" s="1005"/>
      <c r="S63" s="1006"/>
      <c r="T63" s="1342"/>
      <c r="U63" s="1337"/>
      <c r="V63" s="72">
        <f>IF(AND($Q$63="ja",R63=""),1,0)</f>
        <v>1</v>
      </c>
      <c r="W63" s="74">
        <f>IF(H64="ja",Z63,0)</f>
        <v>0</v>
      </c>
      <c r="X63" s="74">
        <f>IF(H64="ja",AA63,0)</f>
        <v>0</v>
      </c>
      <c r="Y63" s="72" t="s">
        <v>163</v>
      </c>
      <c r="Z63" s="77">
        <v>1E-3</v>
      </c>
      <c r="AA63" s="77">
        <v>1E-3</v>
      </c>
      <c r="AC63" s="72">
        <f t="shared" si="0"/>
        <v>1</v>
      </c>
    </row>
    <row r="64" spans="1:36" ht="13.6" customHeight="1" thickBot="1" x14ac:dyDescent="0.3">
      <c r="A64" s="1393"/>
      <c r="B64" s="1098" t="s">
        <v>164</v>
      </c>
      <c r="C64" s="1099"/>
      <c r="D64" s="1099"/>
      <c r="E64" s="1099"/>
      <c r="F64" s="1099"/>
      <c r="G64" s="1099"/>
      <c r="H64" s="1013" t="s">
        <v>100</v>
      </c>
      <c r="I64" s="1017"/>
      <c r="J64" s="1029"/>
      <c r="K64" s="1030"/>
      <c r="L64" s="1741"/>
      <c r="M64" s="1742"/>
      <c r="N64" s="1742"/>
      <c r="O64" s="1742"/>
      <c r="P64" s="1839"/>
      <c r="Q64" s="1295"/>
      <c r="R64" s="1269"/>
      <c r="S64" s="1270"/>
      <c r="T64" s="1342"/>
      <c r="U64" s="1337"/>
      <c r="V64" s="72">
        <f>IF(AND($Q$64="ja",R64=""),1,0)</f>
        <v>0</v>
      </c>
      <c r="W64" s="74">
        <f>IF(H66="ja",Z64,0)</f>
        <v>7.4999999999999997E-3</v>
      </c>
      <c r="X64" s="74">
        <f>IF(H66="ja",AA64,0)</f>
        <v>7.4999999999999997E-3</v>
      </c>
      <c r="Y64" s="72" t="s">
        <v>165</v>
      </c>
      <c r="Z64" s="77">
        <v>7.4999999999999997E-3</v>
      </c>
      <c r="AA64" s="77">
        <v>7.4999999999999997E-3</v>
      </c>
      <c r="AC64" s="72">
        <f t="shared" si="0"/>
        <v>0</v>
      </c>
    </row>
    <row r="65" spans="1:29" ht="15.95" customHeight="1" thickBot="1" x14ac:dyDescent="0.3">
      <c r="A65" s="1393"/>
      <c r="B65" s="1098"/>
      <c r="C65" s="1099"/>
      <c r="D65" s="1099"/>
      <c r="E65" s="1099"/>
      <c r="F65" s="1099"/>
      <c r="G65" s="1099"/>
      <c r="H65" s="1013"/>
      <c r="I65" s="1017"/>
      <c r="J65" s="1029"/>
      <c r="K65" s="1030"/>
      <c r="L65" s="1737" t="s">
        <v>979</v>
      </c>
      <c r="M65" s="1738"/>
      <c r="N65" s="1738"/>
      <c r="O65" s="1738"/>
      <c r="P65" s="1828"/>
      <c r="Q65" s="979" t="s">
        <v>99</v>
      </c>
      <c r="R65" s="1005"/>
      <c r="S65" s="1006"/>
      <c r="T65" s="1342"/>
      <c r="U65" s="1337"/>
      <c r="V65" s="72">
        <f t="shared" ref="V65:V70" si="1">IF(AND(Q65="ja",R65=""),1,0)</f>
        <v>1</v>
      </c>
      <c r="W65" s="74"/>
      <c r="X65" s="74"/>
      <c r="AC65" s="72">
        <f t="shared" si="0"/>
        <v>1</v>
      </c>
    </row>
    <row r="66" spans="1:29" ht="13.6" customHeight="1" thickBot="1" x14ac:dyDescent="0.3">
      <c r="A66" s="1393"/>
      <c r="B66" s="1098" t="s">
        <v>166</v>
      </c>
      <c r="C66" s="1099"/>
      <c r="D66" s="1099"/>
      <c r="E66" s="1099"/>
      <c r="F66" s="1099"/>
      <c r="G66" s="1099"/>
      <c r="H66" s="1013" t="s">
        <v>99</v>
      </c>
      <c r="I66" s="1017"/>
      <c r="J66" s="1029"/>
      <c r="K66" s="1030"/>
      <c r="L66" s="1741"/>
      <c r="M66" s="1742"/>
      <c r="N66" s="1742"/>
      <c r="O66" s="1742"/>
      <c r="P66" s="1839"/>
      <c r="Q66" s="1295"/>
      <c r="R66" s="1269"/>
      <c r="S66" s="1270"/>
      <c r="T66" s="1342"/>
      <c r="U66" s="1337"/>
      <c r="V66" s="72">
        <f t="shared" si="1"/>
        <v>0</v>
      </c>
      <c r="W66" s="74">
        <f>IF(H69="ja",Z66,0)</f>
        <v>2.5000000000000001E-3</v>
      </c>
      <c r="X66" s="74">
        <f>IF(H69="ja",AA66,0)</f>
        <v>2.5000000000000001E-3</v>
      </c>
      <c r="Y66" s="72" t="s">
        <v>167</v>
      </c>
      <c r="Z66" s="77">
        <v>2.5000000000000001E-3</v>
      </c>
      <c r="AA66" s="77">
        <v>2.5000000000000001E-3</v>
      </c>
      <c r="AC66" s="72">
        <f t="shared" si="0"/>
        <v>0</v>
      </c>
    </row>
    <row r="67" spans="1:29" ht="30" customHeight="1" thickBot="1" x14ac:dyDescent="0.3">
      <c r="A67" s="1393"/>
      <c r="B67" s="1098"/>
      <c r="C67" s="1099"/>
      <c r="D67" s="1099"/>
      <c r="E67" s="1099"/>
      <c r="F67" s="1099"/>
      <c r="G67" s="1099"/>
      <c r="H67" s="1013"/>
      <c r="I67" s="1017"/>
      <c r="J67" s="1029"/>
      <c r="K67" s="1030"/>
      <c r="L67" s="1484" t="s">
        <v>978</v>
      </c>
      <c r="M67" s="1485"/>
      <c r="N67" s="1485"/>
      <c r="O67" s="1485"/>
      <c r="P67" s="1486"/>
      <c r="Q67" s="979" t="s">
        <v>99</v>
      </c>
      <c r="R67" s="1005"/>
      <c r="S67" s="1006"/>
      <c r="T67" s="1342"/>
      <c r="U67" s="1337"/>
      <c r="V67" s="72">
        <f t="shared" si="1"/>
        <v>1</v>
      </c>
      <c r="W67" s="74"/>
      <c r="X67" s="74"/>
      <c r="AB67" s="896"/>
      <c r="AC67" s="72">
        <f t="shared" si="0"/>
        <v>1</v>
      </c>
    </row>
    <row r="68" spans="1:29" ht="13.6" customHeight="1" thickBot="1" x14ac:dyDescent="0.3">
      <c r="A68" s="1393"/>
      <c r="B68" s="1098"/>
      <c r="C68" s="1099"/>
      <c r="D68" s="1099"/>
      <c r="E68" s="1099"/>
      <c r="F68" s="1099"/>
      <c r="G68" s="1099"/>
      <c r="H68" s="1013"/>
      <c r="I68" s="1017"/>
      <c r="J68" s="1029"/>
      <c r="K68" s="1030"/>
      <c r="L68" s="1288"/>
      <c r="M68" s="2227"/>
      <c r="N68" s="2227"/>
      <c r="O68" s="2227"/>
      <c r="P68" s="1290"/>
      <c r="Q68" s="1003"/>
      <c r="R68" s="1007"/>
      <c r="S68" s="1008"/>
      <c r="T68" s="1342"/>
      <c r="U68" s="1337"/>
      <c r="V68" s="72">
        <f t="shared" si="1"/>
        <v>0</v>
      </c>
      <c r="W68" s="74">
        <f>IF(H72="ja",Z68,0)</f>
        <v>1.5E-3</v>
      </c>
      <c r="X68" s="74">
        <f>IF(H72="ja",AA68,0)</f>
        <v>1.5E-3</v>
      </c>
      <c r="Y68" s="72" t="s">
        <v>168</v>
      </c>
      <c r="Z68" s="77">
        <v>1.5E-3</v>
      </c>
      <c r="AA68" s="77">
        <v>1.5E-3</v>
      </c>
      <c r="AC68" s="72">
        <f t="shared" si="0"/>
        <v>0</v>
      </c>
    </row>
    <row r="69" spans="1:29" ht="15.95" customHeight="1" thickBot="1" x14ac:dyDescent="0.3">
      <c r="A69" s="1393"/>
      <c r="B69" s="1098" t="s">
        <v>169</v>
      </c>
      <c r="C69" s="1099"/>
      <c r="D69" s="1099"/>
      <c r="E69" s="1099"/>
      <c r="F69" s="1099"/>
      <c r="G69" s="1099"/>
      <c r="H69" s="1013" t="s">
        <v>99</v>
      </c>
      <c r="I69" s="1017"/>
      <c r="J69" s="1029"/>
      <c r="K69" s="1030"/>
      <c r="L69" s="1291"/>
      <c r="M69" s="1292"/>
      <c r="N69" s="1292"/>
      <c r="O69" s="1292"/>
      <c r="P69" s="1293"/>
      <c r="Q69" s="1295"/>
      <c r="R69" s="1269"/>
      <c r="S69" s="1270"/>
      <c r="T69" s="1342"/>
      <c r="U69" s="1337"/>
      <c r="W69" s="74"/>
      <c r="X69" s="74"/>
      <c r="AC69" s="72">
        <f t="shared" si="0"/>
        <v>0</v>
      </c>
    </row>
    <row r="70" spans="1:29" ht="15.95" customHeight="1" thickBot="1" x14ac:dyDescent="0.3">
      <c r="A70" s="1393"/>
      <c r="B70" s="1098"/>
      <c r="C70" s="1099"/>
      <c r="D70" s="1099"/>
      <c r="E70" s="1099"/>
      <c r="F70" s="1099"/>
      <c r="G70" s="1099"/>
      <c r="H70" s="1013"/>
      <c r="I70" s="1017"/>
      <c r="J70" s="1029"/>
      <c r="K70" s="1030"/>
      <c r="L70" s="2228"/>
      <c r="M70" s="2229"/>
      <c r="N70" s="2229"/>
      <c r="O70" s="2229"/>
      <c r="P70" s="2230"/>
      <c r="Q70" s="979"/>
      <c r="R70" s="1005"/>
      <c r="S70" s="1006"/>
      <c r="T70" s="1342"/>
      <c r="U70" s="1337"/>
      <c r="V70" s="72">
        <f t="shared" si="1"/>
        <v>0</v>
      </c>
      <c r="W70" s="74"/>
      <c r="X70" s="74"/>
      <c r="AC70" s="72">
        <f t="shared" si="0"/>
        <v>0</v>
      </c>
    </row>
    <row r="71" spans="1:29" ht="15.95" customHeight="1" thickBot="1" x14ac:dyDescent="0.3">
      <c r="A71" s="1393"/>
      <c r="B71" s="1098"/>
      <c r="C71" s="1099"/>
      <c r="D71" s="1099"/>
      <c r="E71" s="1099"/>
      <c r="F71" s="1099"/>
      <c r="G71" s="1099"/>
      <c r="H71" s="1013"/>
      <c r="I71" s="1017"/>
      <c r="J71" s="1029"/>
      <c r="K71" s="1030"/>
      <c r="L71" s="2231"/>
      <c r="M71" s="2232"/>
      <c r="N71" s="2232"/>
      <c r="O71" s="2232"/>
      <c r="P71" s="2233"/>
      <c r="Q71" s="1003"/>
      <c r="R71" s="1007"/>
      <c r="S71" s="1008"/>
      <c r="T71" s="1342"/>
      <c r="U71" s="1337"/>
      <c r="V71" s="72">
        <f>IF(AND(Q71="ja",R71=""),1,0)</f>
        <v>0</v>
      </c>
      <c r="W71" s="74"/>
      <c r="X71" s="74"/>
      <c r="AC71" s="72">
        <f t="shared" si="0"/>
        <v>0</v>
      </c>
    </row>
    <row r="72" spans="1:29" ht="15.95" customHeight="1" thickBot="1" x14ac:dyDescent="0.3">
      <c r="A72" s="1393"/>
      <c r="B72" s="1098" t="s">
        <v>171</v>
      </c>
      <c r="C72" s="1099"/>
      <c r="D72" s="1099"/>
      <c r="E72" s="1099"/>
      <c r="F72" s="1099"/>
      <c r="G72" s="1099"/>
      <c r="H72" s="1013" t="s">
        <v>99</v>
      </c>
      <c r="I72" s="1017"/>
      <c r="J72" s="1029"/>
      <c r="K72" s="1030"/>
      <c r="L72" s="2231"/>
      <c r="M72" s="2232"/>
      <c r="N72" s="2232"/>
      <c r="O72" s="2232"/>
      <c r="P72" s="2233"/>
      <c r="Q72" s="1003"/>
      <c r="R72" s="1007"/>
      <c r="S72" s="1008"/>
      <c r="T72" s="1342"/>
      <c r="U72" s="1337"/>
      <c r="W72" s="74"/>
      <c r="X72" s="74"/>
      <c r="AC72" s="72">
        <f t="shared" si="0"/>
        <v>0</v>
      </c>
    </row>
    <row r="73" spans="1:29" ht="15.95" customHeight="1" thickBot="1" x14ac:dyDescent="0.3">
      <c r="A73" s="1393"/>
      <c r="B73" s="1098"/>
      <c r="C73" s="1099"/>
      <c r="D73" s="1099"/>
      <c r="E73" s="1099"/>
      <c r="F73" s="1099"/>
      <c r="G73" s="1099"/>
      <c r="H73" s="1013"/>
      <c r="I73" s="1017"/>
      <c r="J73" s="1029"/>
      <c r="K73" s="1030"/>
      <c r="L73" s="2231"/>
      <c r="M73" s="2232"/>
      <c r="N73" s="2232"/>
      <c r="O73" s="2232"/>
      <c r="P73" s="2233"/>
      <c r="Q73" s="1003"/>
      <c r="R73" s="1007"/>
      <c r="S73" s="1008"/>
      <c r="T73" s="1342"/>
      <c r="U73" s="1337"/>
      <c r="V73" s="72">
        <f>IF(AND(Q73="ja",R73=""),1,0)</f>
        <v>0</v>
      </c>
      <c r="W73" s="74"/>
      <c r="X73" s="74"/>
      <c r="AC73" s="72">
        <f t="shared" si="0"/>
        <v>0</v>
      </c>
    </row>
    <row r="74" spans="1:29" ht="15.8" customHeight="1" thickBot="1" x14ac:dyDescent="0.3">
      <c r="A74" s="1393"/>
      <c r="B74" s="1098"/>
      <c r="C74" s="1099"/>
      <c r="D74" s="1099"/>
      <c r="E74" s="1099"/>
      <c r="F74" s="1099"/>
      <c r="G74" s="1099"/>
      <c r="H74" s="1013"/>
      <c r="I74" s="1017"/>
      <c r="J74" s="1029"/>
      <c r="K74" s="1030"/>
      <c r="L74" s="2231"/>
      <c r="M74" s="2232"/>
      <c r="N74" s="2232"/>
      <c r="O74" s="2232"/>
      <c r="P74" s="2233"/>
      <c r="Q74" s="1003"/>
      <c r="R74" s="1007"/>
      <c r="S74" s="1008"/>
      <c r="T74" s="1342"/>
      <c r="U74" s="1337"/>
      <c r="W74" s="74"/>
      <c r="AC74" s="72">
        <f t="shared" si="0"/>
        <v>0</v>
      </c>
    </row>
    <row r="75" spans="1:29" ht="48.8" customHeight="1" thickBot="1" x14ac:dyDescent="0.3">
      <c r="A75" s="1393"/>
      <c r="B75" s="1100"/>
      <c r="C75" s="1101"/>
      <c r="D75" s="1101"/>
      <c r="E75" s="1101"/>
      <c r="F75" s="1101"/>
      <c r="G75" s="1101"/>
      <c r="H75" s="1102"/>
      <c r="I75" s="1018"/>
      <c r="J75" s="1031"/>
      <c r="K75" s="1032"/>
      <c r="L75" s="2237"/>
      <c r="M75" s="2238"/>
      <c r="N75" s="2238"/>
      <c r="O75" s="2238"/>
      <c r="P75" s="2239"/>
      <c r="Q75" s="1004"/>
      <c r="R75" s="1009"/>
      <c r="S75" s="1010"/>
      <c r="T75" s="1343"/>
      <c r="U75" s="1337"/>
      <c r="V75" s="72">
        <f>IF(AND(Q75="ja",R75=""),1,0)</f>
        <v>0</v>
      </c>
      <c r="W75" s="75">
        <f>SUM(W61:W68)</f>
        <v>1.9E-2</v>
      </c>
      <c r="X75" s="75">
        <f>SUM(X61:X68)</f>
        <v>1.9E-2</v>
      </c>
      <c r="AC75" s="72">
        <f t="shared" si="0"/>
        <v>0</v>
      </c>
    </row>
    <row r="76" spans="1:29" ht="14.25" customHeight="1" thickBot="1" x14ac:dyDescent="0.3">
      <c r="A76" s="1393"/>
      <c r="B76" s="1082" t="s">
        <v>172</v>
      </c>
      <c r="C76" s="1083"/>
      <c r="D76" s="1083"/>
      <c r="E76" s="1083"/>
      <c r="F76" s="459"/>
      <c r="G76" s="437">
        <f>COUNTIF(H61:H75,"ja")</f>
        <v>4</v>
      </c>
      <c r="I76" s="1050"/>
      <c r="J76" s="1051"/>
      <c r="K76" s="1052"/>
      <c r="L76" s="1180">
        <f>SUM(R61:S75)</f>
        <v>0</v>
      </c>
      <c r="M76" s="1181"/>
      <c r="N76" s="1181"/>
      <c r="O76" s="1181"/>
      <c r="P76" s="1181"/>
      <c r="Q76" s="211"/>
      <c r="R76" s="1271">
        <v>1</v>
      </c>
      <c r="S76" s="1272"/>
      <c r="T76" s="334"/>
      <c r="U76" s="335" t="s">
        <v>157</v>
      </c>
      <c r="W76" s="72">
        <f>IF(AND(B57=T17,I76=""),1,0)</f>
        <v>0</v>
      </c>
      <c r="X76" s="808">
        <f>G104</f>
        <v>9</v>
      </c>
      <c r="Y76" s="75" t="s">
        <v>173</v>
      </c>
      <c r="Z76" s="75"/>
      <c r="AA76" s="75"/>
      <c r="AC76" s="72">
        <f t="shared" si="0"/>
        <v>0</v>
      </c>
    </row>
    <row r="77" spans="1:29" ht="14.25" customHeight="1" x14ac:dyDescent="0.25">
      <c r="A77" s="1393"/>
      <c r="B77" s="1394" t="s">
        <v>174</v>
      </c>
      <c r="C77" s="1395"/>
      <c r="D77" s="1395"/>
      <c r="E77" s="1395"/>
      <c r="F77" s="1395"/>
      <c r="G77" s="1396"/>
      <c r="H77" s="1033" t="s">
        <v>99</v>
      </c>
      <c r="I77" s="1016">
        <f>IF(I52="Gebäude",W101,X101)</f>
        <v>7.0000000000000007E-2</v>
      </c>
      <c r="J77" s="1044">
        <f>I57*I77</f>
        <v>0</v>
      </c>
      <c r="K77" s="1045"/>
      <c r="L77" s="987" t="s">
        <v>971</v>
      </c>
      <c r="M77" s="988"/>
      <c r="N77" s="988"/>
      <c r="O77" s="988"/>
      <c r="P77" s="988"/>
      <c r="Q77" s="1366" t="s">
        <v>99</v>
      </c>
      <c r="R77" s="1025"/>
      <c r="S77" s="1026"/>
      <c r="T77" s="1257" t="str">
        <f>IFERROR(IF((VLOOKUP(U77,Überblick!$M$125:$N$133,2))="ja","ja","nein"),"")</f>
        <v/>
      </c>
      <c r="U77" s="1338"/>
      <c r="V77" s="72">
        <f>IF(AND(Q77="ja",R77=""),1,0)</f>
        <v>1</v>
      </c>
      <c r="W77" s="74">
        <f>IF(H77="ja",Z77,0)</f>
        <v>5.0000000000000001E-3</v>
      </c>
      <c r="X77" s="74">
        <f>IF(H77="ja",AA77,0)</f>
        <v>5.0000000000000001E-3</v>
      </c>
      <c r="Y77" s="72" t="s">
        <v>162</v>
      </c>
      <c r="Z77" s="77">
        <v>5.0000000000000001E-3</v>
      </c>
      <c r="AA77" s="77">
        <v>5.0000000000000001E-3</v>
      </c>
      <c r="AC77" s="72">
        <f t="shared" si="0"/>
        <v>1</v>
      </c>
    </row>
    <row r="78" spans="1:29" ht="14.25" customHeight="1" x14ac:dyDescent="0.25">
      <c r="A78" s="1393"/>
      <c r="B78" s="1103"/>
      <c r="C78" s="1104"/>
      <c r="D78" s="1104"/>
      <c r="E78" s="1104"/>
      <c r="F78" s="1104"/>
      <c r="G78" s="1105"/>
      <c r="H78" s="1034"/>
      <c r="I78" s="1017"/>
      <c r="J78" s="1046"/>
      <c r="K78" s="1047"/>
      <c r="L78" s="984"/>
      <c r="M78" s="985"/>
      <c r="N78" s="985"/>
      <c r="O78" s="985"/>
      <c r="P78" s="985"/>
      <c r="Q78" s="978"/>
      <c r="R78" s="972"/>
      <c r="S78" s="973"/>
      <c r="T78" s="1258"/>
      <c r="U78" s="1339"/>
      <c r="W78" s="74"/>
      <c r="X78" s="74"/>
      <c r="AC78" s="72">
        <f t="shared" si="0"/>
        <v>0</v>
      </c>
    </row>
    <row r="79" spans="1:29" ht="14.25" customHeight="1" x14ac:dyDescent="0.25">
      <c r="A79" s="1393"/>
      <c r="B79" s="1103" t="s">
        <v>175</v>
      </c>
      <c r="C79" s="1104"/>
      <c r="D79" s="1104"/>
      <c r="E79" s="1104"/>
      <c r="F79" s="1104"/>
      <c r="G79" s="1105"/>
      <c r="H79" s="981" t="s">
        <v>99</v>
      </c>
      <c r="I79" s="1017"/>
      <c r="J79" s="1046"/>
      <c r="K79" s="1047"/>
      <c r="L79" s="984" t="s">
        <v>969</v>
      </c>
      <c r="M79" s="985"/>
      <c r="N79" s="985"/>
      <c r="O79" s="985"/>
      <c r="P79" s="985"/>
      <c r="Q79" s="978" t="s">
        <v>99</v>
      </c>
      <c r="R79" s="972"/>
      <c r="S79" s="973"/>
      <c r="T79" s="1258"/>
      <c r="U79" s="1339"/>
      <c r="V79" s="72">
        <f>IF(AND(Q79="ja",R79=""),1,0)</f>
        <v>1</v>
      </c>
      <c r="W79" s="74">
        <f>IF(H79="ja",Z79,0)</f>
        <v>1E-3</v>
      </c>
      <c r="X79" s="74">
        <f>IF(H79="ja",AA79,0)</f>
        <v>1E-3</v>
      </c>
      <c r="Y79" s="72" t="s">
        <v>163</v>
      </c>
      <c r="Z79" s="77">
        <v>1E-3</v>
      </c>
      <c r="AA79" s="77">
        <v>1E-3</v>
      </c>
      <c r="AC79" s="72">
        <f t="shared" si="0"/>
        <v>1</v>
      </c>
    </row>
    <row r="80" spans="1:29" ht="14.25" customHeight="1" x14ac:dyDescent="0.25">
      <c r="A80" s="1393"/>
      <c r="B80" s="1103"/>
      <c r="C80" s="1104"/>
      <c r="D80" s="1104"/>
      <c r="E80" s="1104"/>
      <c r="F80" s="1104"/>
      <c r="G80" s="1105"/>
      <c r="H80" s="983"/>
      <c r="I80" s="1017"/>
      <c r="J80" s="1046"/>
      <c r="K80" s="1047"/>
      <c r="L80" s="984"/>
      <c r="M80" s="985"/>
      <c r="N80" s="985"/>
      <c r="O80" s="985"/>
      <c r="P80" s="985"/>
      <c r="Q80" s="978"/>
      <c r="R80" s="972"/>
      <c r="S80" s="973"/>
      <c r="T80" s="1258"/>
      <c r="U80" s="1339"/>
      <c r="W80" s="74">
        <f>IF(H81="ja",Z80,0)</f>
        <v>0.03</v>
      </c>
      <c r="X80" s="74">
        <f>IF(H81="ja",AA80,0)</f>
        <v>3.2500000000000001E-2</v>
      </c>
      <c r="Y80" s="72" t="s">
        <v>165</v>
      </c>
      <c r="Z80" s="77">
        <v>0.03</v>
      </c>
      <c r="AA80" s="77">
        <v>3.2500000000000001E-2</v>
      </c>
      <c r="AC80" s="72">
        <f t="shared" si="0"/>
        <v>0</v>
      </c>
    </row>
    <row r="81" spans="1:30" ht="14.25" customHeight="1" x14ac:dyDescent="0.25">
      <c r="A81" s="1393"/>
      <c r="B81" s="1103" t="s">
        <v>176</v>
      </c>
      <c r="C81" s="1104"/>
      <c r="D81" s="1104"/>
      <c r="E81" s="1104"/>
      <c r="F81" s="1104"/>
      <c r="G81" s="1105"/>
      <c r="H81" s="981" t="s">
        <v>99</v>
      </c>
      <c r="I81" s="1017"/>
      <c r="J81" s="1046"/>
      <c r="K81" s="1047"/>
      <c r="L81" s="984"/>
      <c r="M81" s="985"/>
      <c r="N81" s="985"/>
      <c r="O81" s="985"/>
      <c r="P81" s="985"/>
      <c r="Q81" s="978"/>
      <c r="R81" s="972"/>
      <c r="S81" s="973"/>
      <c r="T81" s="1258"/>
      <c r="U81" s="1339"/>
      <c r="W81" s="74"/>
      <c r="X81" s="74"/>
      <c r="AC81" s="72">
        <f t="shared" si="0"/>
        <v>0</v>
      </c>
    </row>
    <row r="82" spans="1:30" ht="14.25" customHeight="1" x14ac:dyDescent="0.25">
      <c r="A82" s="1393"/>
      <c r="B82" s="1103"/>
      <c r="C82" s="1104"/>
      <c r="D82" s="1104"/>
      <c r="E82" s="1104"/>
      <c r="F82" s="1104"/>
      <c r="G82" s="1105"/>
      <c r="H82" s="982"/>
      <c r="I82" s="1017"/>
      <c r="J82" s="1046"/>
      <c r="K82" s="1047"/>
      <c r="L82" s="1484" t="s">
        <v>982</v>
      </c>
      <c r="M82" s="1485"/>
      <c r="N82" s="1485"/>
      <c r="O82" s="1485"/>
      <c r="P82" s="1486"/>
      <c r="Q82" s="979" t="s">
        <v>99</v>
      </c>
      <c r="R82" s="1005"/>
      <c r="S82" s="1006"/>
      <c r="T82" s="1258"/>
      <c r="U82" s="1339"/>
      <c r="V82" s="72">
        <f>IF(AND(Q82="ja",R82=""),1,0)</f>
        <v>1</v>
      </c>
      <c r="W82" s="74"/>
      <c r="X82" s="74"/>
      <c r="AC82" s="72">
        <f t="shared" si="0"/>
        <v>1</v>
      </c>
    </row>
    <row r="83" spans="1:30" ht="21" customHeight="1" x14ac:dyDescent="0.25">
      <c r="A83" s="1393"/>
      <c r="B83" s="1103"/>
      <c r="C83" s="1104"/>
      <c r="D83" s="1104"/>
      <c r="E83" s="1104"/>
      <c r="F83" s="1104"/>
      <c r="G83" s="1105"/>
      <c r="H83" s="983"/>
      <c r="I83" s="1017"/>
      <c r="J83" s="1046"/>
      <c r="K83" s="1047"/>
      <c r="L83" s="1288"/>
      <c r="M83" s="2227"/>
      <c r="N83" s="2227"/>
      <c r="O83" s="2227"/>
      <c r="P83" s="1290"/>
      <c r="Q83" s="1003"/>
      <c r="R83" s="1007"/>
      <c r="S83" s="1008"/>
      <c r="T83" s="1258"/>
      <c r="U83" s="1339"/>
      <c r="W83" s="74">
        <f>IF(H84="ja",Z83,0)</f>
        <v>8.5000000000000006E-3</v>
      </c>
      <c r="X83" s="74">
        <f>IF(H84="ja",AA83,0)</f>
        <v>0.01</v>
      </c>
      <c r="Y83" s="72" t="s">
        <v>167</v>
      </c>
      <c r="Z83" s="77">
        <v>8.5000000000000006E-3</v>
      </c>
      <c r="AA83" s="77">
        <v>0.01</v>
      </c>
      <c r="AC83" s="72">
        <f t="shared" si="0"/>
        <v>0</v>
      </c>
    </row>
    <row r="84" spans="1:30" ht="21" customHeight="1" x14ac:dyDescent="0.25">
      <c r="A84" s="1393"/>
      <c r="B84" s="1103" t="s">
        <v>177</v>
      </c>
      <c r="C84" s="1104"/>
      <c r="D84" s="1104"/>
      <c r="E84" s="1104"/>
      <c r="F84" s="1104"/>
      <c r="G84" s="1105"/>
      <c r="H84" s="1190" t="s">
        <v>99</v>
      </c>
      <c r="I84" s="1017"/>
      <c r="J84" s="1046"/>
      <c r="K84" s="1047"/>
      <c r="L84" s="1291"/>
      <c r="M84" s="1292"/>
      <c r="N84" s="1292"/>
      <c r="O84" s="1292"/>
      <c r="P84" s="1293"/>
      <c r="Q84" s="1295"/>
      <c r="R84" s="1269"/>
      <c r="S84" s="1270"/>
      <c r="T84" s="1258"/>
      <c r="U84" s="1339"/>
      <c r="V84" s="72">
        <f>IF(AND(Q84="ja",R84=""),1,0)</f>
        <v>0</v>
      </c>
      <c r="W84" s="74"/>
      <c r="X84" s="74"/>
      <c r="AC84" s="72">
        <f t="shared" si="0"/>
        <v>0</v>
      </c>
    </row>
    <row r="85" spans="1:30" ht="18.8" customHeight="1" x14ac:dyDescent="0.25">
      <c r="A85" s="1393"/>
      <c r="B85" s="1103"/>
      <c r="C85" s="1104"/>
      <c r="D85" s="1104"/>
      <c r="E85" s="1104"/>
      <c r="F85" s="1104"/>
      <c r="G85" s="1105"/>
      <c r="H85" s="1193"/>
      <c r="I85" s="1017"/>
      <c r="J85" s="1046"/>
      <c r="K85" s="1047"/>
      <c r="L85" s="984" t="s">
        <v>972</v>
      </c>
      <c r="M85" s="985"/>
      <c r="N85" s="985"/>
      <c r="O85" s="985"/>
      <c r="P85" s="985"/>
      <c r="Q85" s="978" t="s">
        <v>99</v>
      </c>
      <c r="R85" s="972"/>
      <c r="S85" s="973"/>
      <c r="T85" s="1258"/>
      <c r="U85" s="1339"/>
      <c r="V85" s="72">
        <f>IF(AND(Q85="ja",R85=""),1,0)</f>
        <v>1</v>
      </c>
      <c r="W85" s="74">
        <f>IF(H86="ja",Z85,0)</f>
        <v>5.0000000000000001E-3</v>
      </c>
      <c r="X85" s="74">
        <f>IF(H86="ja",AA85,0)</f>
        <v>5.0000000000000001E-3</v>
      </c>
      <c r="Y85" s="72" t="s">
        <v>168</v>
      </c>
      <c r="Z85" s="77">
        <v>5.0000000000000001E-3</v>
      </c>
      <c r="AA85" s="77">
        <v>5.0000000000000001E-3</v>
      </c>
      <c r="AC85" s="72">
        <f t="shared" si="0"/>
        <v>1</v>
      </c>
    </row>
    <row r="86" spans="1:30" ht="42.8" customHeight="1" x14ac:dyDescent="0.25">
      <c r="A86" s="1393"/>
      <c r="B86" s="1103" t="s">
        <v>178</v>
      </c>
      <c r="C86" s="1104"/>
      <c r="D86" s="1104"/>
      <c r="E86" s="1104"/>
      <c r="F86" s="1104"/>
      <c r="G86" s="1105"/>
      <c r="H86" s="1190" t="s">
        <v>99</v>
      </c>
      <c r="I86" s="1017"/>
      <c r="J86" s="1046"/>
      <c r="K86" s="1047"/>
      <c r="L86" s="984"/>
      <c r="M86" s="985"/>
      <c r="N86" s="985"/>
      <c r="O86" s="985"/>
      <c r="P86" s="985"/>
      <c r="Q86" s="978"/>
      <c r="R86" s="972"/>
      <c r="S86" s="973"/>
      <c r="T86" s="1258"/>
      <c r="U86" s="1339"/>
      <c r="W86" s="74"/>
      <c r="X86" s="74"/>
      <c r="AC86" s="72">
        <f t="shared" si="0"/>
        <v>0</v>
      </c>
    </row>
    <row r="87" spans="1:30" ht="33" customHeight="1" x14ac:dyDescent="0.25">
      <c r="A87" s="1393"/>
      <c r="B87" s="1103"/>
      <c r="C87" s="1104"/>
      <c r="D87" s="1104"/>
      <c r="E87" s="1104"/>
      <c r="F87" s="1104"/>
      <c r="G87" s="1105"/>
      <c r="H87" s="1191"/>
      <c r="I87" s="1017"/>
      <c r="J87" s="1046"/>
      <c r="K87" s="1047"/>
      <c r="L87" s="984" t="s">
        <v>970</v>
      </c>
      <c r="M87" s="985"/>
      <c r="N87" s="985"/>
      <c r="O87" s="985"/>
      <c r="P87" s="985"/>
      <c r="Q87" s="329" t="s">
        <v>99</v>
      </c>
      <c r="R87" s="972"/>
      <c r="S87" s="973"/>
      <c r="T87" s="1258"/>
      <c r="U87" s="1339"/>
      <c r="V87" s="72">
        <f>IF(AND(Q87="ja",R87=""),1,0)</f>
        <v>1</v>
      </c>
      <c r="W87" s="74"/>
      <c r="X87" s="74"/>
      <c r="AC87" s="72">
        <f t="shared" si="0"/>
        <v>1</v>
      </c>
    </row>
    <row r="88" spans="1:30" ht="15.8" customHeight="1" x14ac:dyDescent="0.25">
      <c r="A88" s="1393"/>
      <c r="B88" s="1103"/>
      <c r="C88" s="1104"/>
      <c r="D88" s="1104"/>
      <c r="E88" s="1104"/>
      <c r="F88" s="1104"/>
      <c r="G88" s="1105"/>
      <c r="H88" s="1191"/>
      <c r="I88" s="1017"/>
      <c r="J88" s="1046"/>
      <c r="K88" s="1047"/>
      <c r="L88" s="984" t="s">
        <v>983</v>
      </c>
      <c r="M88" s="985"/>
      <c r="N88" s="985"/>
      <c r="O88" s="985"/>
      <c r="P88" s="985"/>
      <c r="Q88" s="978" t="s">
        <v>99</v>
      </c>
      <c r="R88" s="972"/>
      <c r="S88" s="973"/>
      <c r="T88" s="1258"/>
      <c r="U88" s="1339"/>
      <c r="V88" s="72">
        <f>IF(AND(Q88="ja",R88=""),1,0)</f>
        <v>1</v>
      </c>
      <c r="W88" s="74">
        <f>IF(H90="ja",Z88,0)</f>
        <v>3.0000000000000001E-3</v>
      </c>
      <c r="X88" s="74">
        <f>IF(H90="ja",AA88,0)</f>
        <v>2.5000000000000001E-3</v>
      </c>
      <c r="Y88" s="72" t="s">
        <v>179</v>
      </c>
      <c r="Z88" s="77">
        <v>3.0000000000000001E-3</v>
      </c>
      <c r="AA88" s="77">
        <v>2.5000000000000001E-3</v>
      </c>
      <c r="AC88" s="72">
        <f t="shared" si="0"/>
        <v>1</v>
      </c>
    </row>
    <row r="89" spans="1:30" ht="23.25" customHeight="1" x14ac:dyDescent="0.25">
      <c r="A89" s="1393"/>
      <c r="B89" s="1103"/>
      <c r="C89" s="1104"/>
      <c r="D89" s="1104"/>
      <c r="E89" s="1104"/>
      <c r="F89" s="1104"/>
      <c r="G89" s="1105"/>
      <c r="H89" s="1193"/>
      <c r="I89" s="1017"/>
      <c r="J89" s="1046"/>
      <c r="K89" s="1047"/>
      <c r="L89" s="984"/>
      <c r="M89" s="985"/>
      <c r="N89" s="985"/>
      <c r="O89" s="985"/>
      <c r="P89" s="985"/>
      <c r="Q89" s="978"/>
      <c r="R89" s="972"/>
      <c r="S89" s="973"/>
      <c r="T89" s="1258"/>
      <c r="U89" s="1339"/>
      <c r="W89" s="74">
        <f>IF(H92="ja",Z89,0)</f>
        <v>0.01</v>
      </c>
      <c r="X89" s="74">
        <f>IF(H92="ja",AA89,0)</f>
        <v>8.9999999999999993E-3</v>
      </c>
      <c r="Y89" s="72" t="s">
        <v>180</v>
      </c>
      <c r="Z89" s="77">
        <v>0.01</v>
      </c>
      <c r="AA89" s="77">
        <v>8.9999999999999993E-3</v>
      </c>
      <c r="AC89" s="72">
        <f t="shared" si="0"/>
        <v>0</v>
      </c>
    </row>
    <row r="90" spans="1:30" ht="13.6" customHeight="1" x14ac:dyDescent="0.25">
      <c r="A90" s="1393"/>
      <c r="B90" s="1187" t="s">
        <v>181</v>
      </c>
      <c r="C90" s="1188"/>
      <c r="D90" s="1188"/>
      <c r="E90" s="1188"/>
      <c r="F90" s="1188"/>
      <c r="G90" s="1189"/>
      <c r="H90" s="1190" t="s">
        <v>99</v>
      </c>
      <c r="I90" s="1017"/>
      <c r="J90" s="1046"/>
      <c r="K90" s="1047"/>
      <c r="L90" s="984"/>
      <c r="M90" s="985"/>
      <c r="N90" s="985"/>
      <c r="O90" s="985"/>
      <c r="P90" s="985"/>
      <c r="Q90" s="978"/>
      <c r="R90" s="972"/>
      <c r="S90" s="973"/>
      <c r="T90" s="1258"/>
      <c r="U90" s="1339"/>
      <c r="W90" s="74"/>
      <c r="X90" s="74"/>
      <c r="AC90" s="72">
        <f t="shared" si="0"/>
        <v>0</v>
      </c>
    </row>
    <row r="91" spans="1:30" ht="14.25" customHeight="1" x14ac:dyDescent="0.25">
      <c r="A91" s="1393"/>
      <c r="B91" s="1187"/>
      <c r="C91" s="1188"/>
      <c r="D91" s="1188"/>
      <c r="E91" s="1188"/>
      <c r="F91" s="1188"/>
      <c r="G91" s="1189"/>
      <c r="H91" s="1193"/>
      <c r="I91" s="1017"/>
      <c r="J91" s="1046"/>
      <c r="K91" s="1047"/>
      <c r="L91" s="1064"/>
      <c r="M91" s="1065"/>
      <c r="N91" s="1065"/>
      <c r="O91" s="1065"/>
      <c r="P91" s="1066"/>
      <c r="Q91" s="979"/>
      <c r="R91" s="1005"/>
      <c r="S91" s="1006"/>
      <c r="T91" s="1258"/>
      <c r="U91" s="1339"/>
      <c r="V91" s="72">
        <f>IF(AND(Q91="ja",R91=""),1,0)</f>
        <v>0</v>
      </c>
      <c r="W91" s="74">
        <f>IF(H95="ja",Z91,0)</f>
        <v>5.0000000000000001E-3</v>
      </c>
      <c r="X91" s="74">
        <f>IF(H95="ja",AA91,0)</f>
        <v>2.5000000000000001E-3</v>
      </c>
      <c r="Y91" s="72" t="s">
        <v>183</v>
      </c>
      <c r="Z91" s="77">
        <v>5.0000000000000001E-3</v>
      </c>
      <c r="AA91" s="77">
        <v>2.5000000000000001E-3</v>
      </c>
      <c r="AC91" s="72">
        <f t="shared" si="0"/>
        <v>0</v>
      </c>
      <c r="AD91" s="127"/>
    </row>
    <row r="92" spans="1:30" ht="53.25" customHeight="1" x14ac:dyDescent="0.25">
      <c r="A92" s="1393"/>
      <c r="B92" s="1103" t="s">
        <v>184</v>
      </c>
      <c r="C92" s="1104"/>
      <c r="D92" s="1104"/>
      <c r="E92" s="1104"/>
      <c r="F92" s="1104"/>
      <c r="G92" s="1105"/>
      <c r="H92" s="1190" t="s">
        <v>99</v>
      </c>
      <c r="I92" s="1017"/>
      <c r="J92" s="1046"/>
      <c r="K92" s="1047"/>
      <c r="L92" s="1067"/>
      <c r="M92" s="2240"/>
      <c r="N92" s="2240"/>
      <c r="O92" s="2240"/>
      <c r="P92" s="1068"/>
      <c r="Q92" s="1003"/>
      <c r="R92" s="1007"/>
      <c r="S92" s="1008"/>
      <c r="T92" s="1258"/>
      <c r="U92" s="1339"/>
      <c r="W92" s="74"/>
      <c r="X92" s="74"/>
      <c r="AC92" s="72">
        <f t="shared" si="0"/>
        <v>0</v>
      </c>
    </row>
    <row r="93" spans="1:30" ht="75" customHeight="1" x14ac:dyDescent="0.25">
      <c r="A93" s="1393"/>
      <c r="B93" s="1103"/>
      <c r="C93" s="1104"/>
      <c r="D93" s="1104"/>
      <c r="E93" s="1104"/>
      <c r="F93" s="1104"/>
      <c r="G93" s="1105"/>
      <c r="H93" s="1191"/>
      <c r="I93" s="1017"/>
      <c r="J93" s="1046"/>
      <c r="K93" s="1047"/>
      <c r="L93" s="1067"/>
      <c r="M93" s="2240"/>
      <c r="N93" s="2240"/>
      <c r="O93" s="2240"/>
      <c r="P93" s="1068"/>
      <c r="Q93" s="1003"/>
      <c r="R93" s="1007"/>
      <c r="S93" s="1008"/>
      <c r="T93" s="1258"/>
      <c r="U93" s="1339"/>
      <c r="V93" s="72">
        <f>IF(AND(Q93="ja",R93=""),1,0)</f>
        <v>0</v>
      </c>
      <c r="W93" s="74">
        <f>IF(H98="ja",Z93,0)</f>
        <v>2.5000000000000001E-3</v>
      </c>
      <c r="X93" s="74">
        <f>IF(H98="ja",AA93,0)</f>
        <v>2.5000000000000001E-3</v>
      </c>
      <c r="Y93" s="72" t="s">
        <v>185</v>
      </c>
      <c r="Z93" s="77">
        <v>2.5000000000000001E-3</v>
      </c>
      <c r="AA93" s="77">
        <v>2.5000000000000001E-3</v>
      </c>
      <c r="AC93" s="72">
        <f t="shared" si="0"/>
        <v>0</v>
      </c>
    </row>
    <row r="94" spans="1:30" ht="49.3" customHeight="1" x14ac:dyDescent="0.25">
      <c r="A94" s="1393"/>
      <c r="B94" s="1103"/>
      <c r="C94" s="1104"/>
      <c r="D94" s="1104"/>
      <c r="E94" s="1104"/>
      <c r="F94" s="1104"/>
      <c r="G94" s="1105"/>
      <c r="H94" s="1193"/>
      <c r="I94" s="1017"/>
      <c r="J94" s="1046"/>
      <c r="K94" s="1047"/>
      <c r="L94" s="1067"/>
      <c r="M94" s="2240"/>
      <c r="N94" s="2240"/>
      <c r="O94" s="2240"/>
      <c r="P94" s="1068"/>
      <c r="Q94" s="1003"/>
      <c r="R94" s="1007"/>
      <c r="S94" s="1008"/>
      <c r="T94" s="1258"/>
      <c r="U94" s="1339"/>
      <c r="V94" s="72">
        <f>IF(AND(Q94="ja",R94=""),1,0)</f>
        <v>0</v>
      </c>
      <c r="W94" s="74"/>
      <c r="X94" s="74"/>
      <c r="Z94" s="77"/>
      <c r="AA94" s="77"/>
      <c r="AC94" s="72">
        <f t="shared" si="0"/>
        <v>0</v>
      </c>
    </row>
    <row r="95" spans="1:30" ht="14.25" customHeight="1" x14ac:dyDescent="0.25">
      <c r="A95" s="1393"/>
      <c r="B95" s="1103" t="s">
        <v>981</v>
      </c>
      <c r="C95" s="1104"/>
      <c r="D95" s="1104"/>
      <c r="E95" s="1104"/>
      <c r="F95" s="1104"/>
      <c r="G95" s="1105"/>
      <c r="H95" s="1190" t="s">
        <v>99</v>
      </c>
      <c r="I95" s="1017"/>
      <c r="J95" s="1046"/>
      <c r="K95" s="1047"/>
      <c r="L95" s="1067"/>
      <c r="M95" s="2240"/>
      <c r="N95" s="2240"/>
      <c r="O95" s="2240"/>
      <c r="P95" s="1068"/>
      <c r="Q95" s="1003"/>
      <c r="R95" s="1007"/>
      <c r="S95" s="1008"/>
      <c r="T95" s="1258"/>
      <c r="U95" s="1339"/>
      <c r="V95" s="72">
        <f>IF(AND(Q95="ja",R95=""),1,0)</f>
        <v>0</v>
      </c>
      <c r="W95" s="74"/>
      <c r="X95" s="74"/>
      <c r="Z95" s="77"/>
      <c r="AA95" s="77"/>
      <c r="AC95" s="72">
        <f t="shared" si="0"/>
        <v>0</v>
      </c>
    </row>
    <row r="96" spans="1:30" ht="14.25" customHeight="1" x14ac:dyDescent="0.25">
      <c r="A96" s="1393"/>
      <c r="B96" s="1103"/>
      <c r="C96" s="1104"/>
      <c r="D96" s="1104"/>
      <c r="E96" s="1104"/>
      <c r="F96" s="1104"/>
      <c r="G96" s="1105"/>
      <c r="H96" s="1191"/>
      <c r="I96" s="1017"/>
      <c r="J96" s="1046"/>
      <c r="K96" s="1047"/>
      <c r="L96" s="1067"/>
      <c r="M96" s="2240"/>
      <c r="N96" s="2240"/>
      <c r="O96" s="2240"/>
      <c r="P96" s="1068"/>
      <c r="Q96" s="1003"/>
      <c r="R96" s="1007"/>
      <c r="S96" s="1008"/>
      <c r="T96" s="1258"/>
      <c r="U96" s="1339"/>
      <c r="W96" s="74"/>
      <c r="X96" s="74"/>
      <c r="Z96" s="77"/>
      <c r="AA96" s="77"/>
      <c r="AC96" s="72">
        <f t="shared" si="0"/>
        <v>0</v>
      </c>
    </row>
    <row r="97" spans="1:35" ht="14.25" customHeight="1" x14ac:dyDescent="0.25">
      <c r="A97" s="1393"/>
      <c r="B97" s="1103"/>
      <c r="C97" s="1104"/>
      <c r="D97" s="1104"/>
      <c r="E97" s="1104"/>
      <c r="F97" s="1104"/>
      <c r="G97" s="1105"/>
      <c r="H97" s="1193"/>
      <c r="I97" s="1017"/>
      <c r="J97" s="1046"/>
      <c r="K97" s="1047"/>
      <c r="L97" s="1067"/>
      <c r="M97" s="2240"/>
      <c r="N97" s="2240"/>
      <c r="O97" s="2240"/>
      <c r="P97" s="1068"/>
      <c r="Q97" s="1003"/>
      <c r="R97" s="1007"/>
      <c r="S97" s="1008"/>
      <c r="T97" s="1258"/>
      <c r="U97" s="1339"/>
      <c r="W97" s="74"/>
      <c r="X97" s="74"/>
      <c r="Z97" s="77"/>
      <c r="AA97" s="77"/>
      <c r="AC97" s="72">
        <f t="shared" si="0"/>
        <v>0</v>
      </c>
    </row>
    <row r="98" spans="1:35" ht="14.25" customHeight="1" x14ac:dyDescent="0.25">
      <c r="A98" s="1393"/>
      <c r="B98" s="1103" t="s">
        <v>171</v>
      </c>
      <c r="C98" s="1104"/>
      <c r="D98" s="1104"/>
      <c r="E98" s="1104"/>
      <c r="F98" s="1104"/>
      <c r="G98" s="1105"/>
      <c r="H98" s="1190" t="s">
        <v>99</v>
      </c>
      <c r="I98" s="1017"/>
      <c r="J98" s="1046"/>
      <c r="K98" s="1047"/>
      <c r="L98" s="1067"/>
      <c r="M98" s="2240"/>
      <c r="N98" s="2240"/>
      <c r="O98" s="2240"/>
      <c r="P98" s="1068"/>
      <c r="Q98" s="1003"/>
      <c r="R98" s="1007"/>
      <c r="S98" s="1008"/>
      <c r="T98" s="1258"/>
      <c r="U98" s="1339"/>
      <c r="W98" s="74"/>
      <c r="X98" s="74"/>
      <c r="Z98" s="77"/>
      <c r="AA98" s="77"/>
      <c r="AC98" s="72">
        <f t="shared" si="0"/>
        <v>0</v>
      </c>
    </row>
    <row r="99" spans="1:35" ht="14.25" customHeight="1" x14ac:dyDescent="0.25">
      <c r="A99" s="1393"/>
      <c r="B99" s="1103"/>
      <c r="C99" s="1104"/>
      <c r="D99" s="1104"/>
      <c r="E99" s="1104"/>
      <c r="F99" s="1104"/>
      <c r="G99" s="1105"/>
      <c r="H99" s="1191"/>
      <c r="I99" s="1017"/>
      <c r="J99" s="1046"/>
      <c r="K99" s="1047"/>
      <c r="L99" s="1067"/>
      <c r="M99" s="2240"/>
      <c r="N99" s="2240"/>
      <c r="O99" s="2240"/>
      <c r="P99" s="1068"/>
      <c r="Q99" s="1003"/>
      <c r="R99" s="1007"/>
      <c r="S99" s="1008"/>
      <c r="T99" s="1258"/>
      <c r="U99" s="1339"/>
      <c r="W99" s="74"/>
      <c r="X99" s="74"/>
      <c r="Z99" s="77"/>
      <c r="AA99" s="77"/>
      <c r="AC99" s="72">
        <f t="shared" si="0"/>
        <v>0</v>
      </c>
    </row>
    <row r="100" spans="1:35" ht="23.25" customHeight="1" thickBot="1" x14ac:dyDescent="0.3">
      <c r="A100" s="1393"/>
      <c r="B100" s="1184"/>
      <c r="C100" s="1185"/>
      <c r="D100" s="1185"/>
      <c r="E100" s="1185"/>
      <c r="F100" s="1185"/>
      <c r="G100" s="1186"/>
      <c r="H100" s="1192"/>
      <c r="I100" s="1018"/>
      <c r="J100" s="1048"/>
      <c r="K100" s="1049"/>
      <c r="L100" s="1069"/>
      <c r="M100" s="1070"/>
      <c r="N100" s="1070"/>
      <c r="O100" s="1070"/>
      <c r="P100" s="1071"/>
      <c r="Q100" s="1004"/>
      <c r="R100" s="1009"/>
      <c r="S100" s="1010"/>
      <c r="T100" s="1258"/>
      <c r="U100" s="1340"/>
      <c r="W100" s="74"/>
      <c r="X100" s="74"/>
      <c r="Z100" s="77"/>
      <c r="AA100" s="77"/>
      <c r="AC100" s="72">
        <f t="shared" si="0"/>
        <v>0</v>
      </c>
    </row>
    <row r="101" spans="1:35" ht="14.25" customHeight="1" thickBot="1" x14ac:dyDescent="0.3">
      <c r="A101" s="1393"/>
      <c r="B101" s="1035" t="s">
        <v>154</v>
      </c>
      <c r="C101" s="1036"/>
      <c r="D101" s="1036"/>
      <c r="E101" s="1036"/>
      <c r="F101" s="1036"/>
      <c r="G101" s="1036"/>
      <c r="H101" s="1112"/>
      <c r="I101" s="1035">
        <f>IF(J32=T8,I57,J32)</f>
        <v>0</v>
      </c>
      <c r="J101" s="1036"/>
      <c r="K101" s="1037"/>
      <c r="L101" s="1355">
        <f>SUM(R77:S100)</f>
        <v>0</v>
      </c>
      <c r="M101" s="1356"/>
      <c r="N101" s="1356"/>
      <c r="O101" s="1356"/>
      <c r="P101" s="1356"/>
      <c r="Q101" s="1364"/>
      <c r="R101" s="1364"/>
      <c r="S101" s="1365"/>
      <c r="T101" s="1260"/>
      <c r="U101" s="1257"/>
      <c r="W101" s="75">
        <f>SUM(W77:W93)</f>
        <v>7.0000000000000007E-2</v>
      </c>
      <c r="X101" s="75">
        <f>SUM(X77:X93)</f>
        <v>7.0000000000000007E-2</v>
      </c>
      <c r="AC101" s="72">
        <f t="shared" si="0"/>
        <v>0</v>
      </c>
    </row>
    <row r="102" spans="1:35" ht="14.25" customHeight="1" thickBot="1" x14ac:dyDescent="0.3">
      <c r="A102" s="1393"/>
      <c r="B102" s="1038"/>
      <c r="C102" s="1039"/>
      <c r="D102" s="1039"/>
      <c r="E102" s="1039"/>
      <c r="F102" s="1039"/>
      <c r="G102" s="1039"/>
      <c r="H102" s="1113"/>
      <c r="I102" s="1038"/>
      <c r="J102" s="1039"/>
      <c r="K102" s="1040"/>
      <c r="L102" s="1357"/>
      <c r="M102" s="1358"/>
      <c r="N102" s="1358"/>
      <c r="O102" s="1358"/>
      <c r="P102" s="1358"/>
      <c r="Q102" s="1364"/>
      <c r="R102" s="1364"/>
      <c r="S102" s="1365"/>
      <c r="T102" s="1261"/>
      <c r="U102" s="1258"/>
      <c r="W102" s="76"/>
      <c r="X102" s="76"/>
      <c r="AC102" s="72">
        <f t="shared" si="0"/>
        <v>0</v>
      </c>
    </row>
    <row r="103" spans="1:35" ht="14.25" customHeight="1" thickBot="1" x14ac:dyDescent="0.3">
      <c r="A103" s="1393"/>
      <c r="B103" s="1041"/>
      <c r="C103" s="1042"/>
      <c r="D103" s="1042"/>
      <c r="E103" s="1042"/>
      <c r="F103" s="1042"/>
      <c r="G103" s="1042"/>
      <c r="H103" s="1114"/>
      <c r="I103" s="1041"/>
      <c r="J103" s="1042"/>
      <c r="K103" s="1043"/>
      <c r="L103" s="1359"/>
      <c r="M103" s="1360"/>
      <c r="N103" s="1360"/>
      <c r="O103" s="1360"/>
      <c r="P103" s="1360"/>
      <c r="Q103" s="1364"/>
      <c r="R103" s="1364"/>
      <c r="S103" s="1365"/>
      <c r="T103" s="1262"/>
      <c r="U103" s="1259"/>
      <c r="W103" s="76"/>
      <c r="X103" s="76"/>
      <c r="AC103" s="72">
        <f t="shared" si="0"/>
        <v>0</v>
      </c>
    </row>
    <row r="104" spans="1:35" ht="14.25" customHeight="1" thickBot="1" x14ac:dyDescent="0.3">
      <c r="A104" s="1393"/>
      <c r="B104" s="1082" t="s">
        <v>186</v>
      </c>
      <c r="C104" s="1083"/>
      <c r="D104" s="1083"/>
      <c r="E104" s="1083"/>
      <c r="F104" s="1083"/>
      <c r="G104" s="438">
        <f>COUNTIF(H77:H100,"ja")</f>
        <v>9</v>
      </c>
      <c r="I104" s="1050"/>
      <c r="J104" s="1051"/>
      <c r="K104" s="1052"/>
      <c r="L104" s="1361"/>
      <c r="M104" s="1362"/>
      <c r="N104" s="1362"/>
      <c r="O104" s="1362"/>
      <c r="P104" s="1362"/>
      <c r="Q104" s="212"/>
      <c r="R104" s="1302"/>
      <c r="S104" s="1303"/>
      <c r="T104" s="334"/>
      <c r="U104" s="335" t="s">
        <v>157</v>
      </c>
      <c r="W104" s="72">
        <f>IF(AND(B101=T18,I104=""),1,0)</f>
        <v>0</v>
      </c>
      <c r="X104" s="808">
        <f>G132</f>
        <v>7</v>
      </c>
      <c r="Y104" s="150" t="s">
        <v>187</v>
      </c>
      <c r="Z104" s="150"/>
      <c r="AA104" s="150"/>
      <c r="AC104" s="72">
        <f t="shared" si="0"/>
        <v>0</v>
      </c>
    </row>
    <row r="105" spans="1:35" ht="18.8" customHeight="1" thickBot="1" x14ac:dyDescent="0.3">
      <c r="A105" s="1393"/>
      <c r="B105" s="1106" t="s">
        <v>188</v>
      </c>
      <c r="C105" s="1107"/>
      <c r="D105" s="1107"/>
      <c r="E105" s="1107"/>
      <c r="F105" s="1107"/>
      <c r="G105" s="1108"/>
      <c r="H105" s="1088" t="s">
        <v>99</v>
      </c>
      <c r="I105" s="1016">
        <f>IF(I52="Gebäude",W129,X129)</f>
        <v>0.15000000000000002</v>
      </c>
      <c r="J105" s="1044">
        <f>I105*I101</f>
        <v>0</v>
      </c>
      <c r="K105" s="1045"/>
      <c r="L105" s="1385" t="s">
        <v>973</v>
      </c>
      <c r="M105" s="1386"/>
      <c r="N105" s="1386"/>
      <c r="O105" s="1386"/>
      <c r="P105" s="1386"/>
      <c r="Q105" s="1366" t="s">
        <v>99</v>
      </c>
      <c r="R105" s="1025"/>
      <c r="S105" s="1026"/>
      <c r="T105" s="1257" t="str">
        <f>IFERROR(IF((VLOOKUP(U105,Überblick!$M$125:$N$133,2))="ja","ja","nein"),"")</f>
        <v/>
      </c>
      <c r="U105" s="1337"/>
      <c r="V105" s="72">
        <f>IF(AND(Q105="ja",R105=""),1,0)</f>
        <v>1</v>
      </c>
      <c r="W105" s="74">
        <f>IF(H105="ja",Z105,0)</f>
        <v>0.11</v>
      </c>
      <c r="X105" s="74">
        <f>IF(H105="ja",AA105,0)</f>
        <v>0.11</v>
      </c>
      <c r="Y105" s="72" t="s">
        <v>189</v>
      </c>
      <c r="Z105" s="77">
        <v>0.11</v>
      </c>
      <c r="AA105" s="77">
        <v>0.11</v>
      </c>
      <c r="AC105" s="72">
        <f t="shared" si="0"/>
        <v>1</v>
      </c>
    </row>
    <row r="106" spans="1:35" ht="14.25" customHeight="1" thickBot="1" x14ac:dyDescent="0.3">
      <c r="A106" s="1393"/>
      <c r="B106" s="1109"/>
      <c r="C106" s="1110"/>
      <c r="D106" s="1110"/>
      <c r="E106" s="1110"/>
      <c r="F106" s="1110"/>
      <c r="G106" s="1111"/>
      <c r="H106" s="986"/>
      <c r="I106" s="1017"/>
      <c r="J106" s="1046"/>
      <c r="K106" s="1047"/>
      <c r="L106" s="1387"/>
      <c r="M106" s="1388"/>
      <c r="N106" s="1388"/>
      <c r="O106" s="1388"/>
      <c r="P106" s="1388"/>
      <c r="Q106" s="978"/>
      <c r="R106" s="972"/>
      <c r="S106" s="973"/>
      <c r="T106" s="1258"/>
      <c r="U106" s="1337"/>
      <c r="W106" s="74"/>
      <c r="X106" s="74"/>
      <c r="AC106" s="72">
        <f t="shared" si="0"/>
        <v>0</v>
      </c>
    </row>
    <row r="107" spans="1:35" ht="18.8" customHeight="1" thickBot="1" x14ac:dyDescent="0.3">
      <c r="A107" s="1393"/>
      <c r="B107" s="1109"/>
      <c r="C107" s="1110"/>
      <c r="D107" s="1110"/>
      <c r="E107" s="1110"/>
      <c r="F107" s="1110"/>
      <c r="G107" s="1111"/>
      <c r="H107" s="986"/>
      <c r="I107" s="1017"/>
      <c r="J107" s="1046"/>
      <c r="K107" s="1047"/>
      <c r="L107" s="1387" t="s">
        <v>190</v>
      </c>
      <c r="M107" s="1388"/>
      <c r="N107" s="1388"/>
      <c r="O107" s="1388"/>
      <c r="P107" s="1388"/>
      <c r="Q107" s="978" t="s">
        <v>99</v>
      </c>
      <c r="R107" s="972"/>
      <c r="S107" s="973"/>
      <c r="T107" s="1258"/>
      <c r="U107" s="1337"/>
      <c r="V107" s="72">
        <f>IF(AND(Q107="ja",R107=""),1,0)</f>
        <v>1</v>
      </c>
      <c r="W107" s="74"/>
      <c r="X107" s="74"/>
      <c r="AC107" s="72">
        <f t="shared" si="0"/>
        <v>1</v>
      </c>
    </row>
    <row r="108" spans="1:35" ht="29.25" customHeight="1" thickBot="1" x14ac:dyDescent="0.3">
      <c r="A108" s="1393"/>
      <c r="B108" s="1109"/>
      <c r="C108" s="1110"/>
      <c r="D108" s="1110"/>
      <c r="E108" s="1110"/>
      <c r="F108" s="1110"/>
      <c r="G108" s="1111"/>
      <c r="H108" s="986"/>
      <c r="I108" s="1017"/>
      <c r="J108" s="1046"/>
      <c r="K108" s="1047"/>
      <c r="L108" s="1387"/>
      <c r="M108" s="1388"/>
      <c r="N108" s="1388"/>
      <c r="O108" s="1388"/>
      <c r="P108" s="1388"/>
      <c r="Q108" s="978"/>
      <c r="R108" s="972"/>
      <c r="S108" s="973"/>
      <c r="T108" s="1258"/>
      <c r="U108" s="1337"/>
      <c r="W108" s="74"/>
      <c r="X108" s="74"/>
      <c r="AC108" s="72">
        <f t="shared" si="0"/>
        <v>0</v>
      </c>
    </row>
    <row r="109" spans="1:35" ht="27.8" customHeight="1" thickBot="1" x14ac:dyDescent="0.3">
      <c r="A109" s="1393"/>
      <c r="B109" s="1109"/>
      <c r="C109" s="1110"/>
      <c r="D109" s="1110"/>
      <c r="E109" s="1110"/>
      <c r="F109" s="1110"/>
      <c r="G109" s="1111"/>
      <c r="H109" s="986"/>
      <c r="I109" s="1017"/>
      <c r="J109" s="1046"/>
      <c r="K109" s="1047"/>
      <c r="L109" s="984" t="s">
        <v>982</v>
      </c>
      <c r="M109" s="985"/>
      <c r="N109" s="985"/>
      <c r="O109" s="985"/>
      <c r="P109" s="985"/>
      <c r="Q109" s="978" t="s">
        <v>99</v>
      </c>
      <c r="R109" s="972"/>
      <c r="S109" s="973"/>
      <c r="T109" s="1258"/>
      <c r="U109" s="1337"/>
      <c r="V109" s="72">
        <f>IF(AND(Q109="ja",R109=""),1,0)</f>
        <v>1</v>
      </c>
      <c r="W109" s="74"/>
      <c r="X109" s="74"/>
      <c r="AC109" s="72">
        <f t="shared" si="0"/>
        <v>1</v>
      </c>
    </row>
    <row r="110" spans="1:35" ht="23.25" customHeight="1" thickBot="1" x14ac:dyDescent="0.3">
      <c r="A110" s="1393"/>
      <c r="B110" s="1109"/>
      <c r="C110" s="1110"/>
      <c r="D110" s="1110"/>
      <c r="E110" s="1110"/>
      <c r="F110" s="1110"/>
      <c r="G110" s="1111"/>
      <c r="H110" s="986"/>
      <c r="I110" s="1017"/>
      <c r="J110" s="1046"/>
      <c r="K110" s="1047"/>
      <c r="L110" s="984"/>
      <c r="M110" s="985"/>
      <c r="N110" s="985"/>
      <c r="O110" s="985"/>
      <c r="P110" s="985"/>
      <c r="Q110" s="978"/>
      <c r="R110" s="972"/>
      <c r="S110" s="973"/>
      <c r="T110" s="1258"/>
      <c r="U110" s="1337"/>
      <c r="W110" s="74"/>
      <c r="X110" s="74"/>
      <c r="AC110" s="72">
        <f t="shared" si="0"/>
        <v>0</v>
      </c>
    </row>
    <row r="111" spans="1:35" ht="18" customHeight="1" thickBot="1" x14ac:dyDescent="0.3">
      <c r="A111" s="1393"/>
      <c r="B111" s="1109"/>
      <c r="C111" s="1110"/>
      <c r="D111" s="1110"/>
      <c r="E111" s="1110"/>
      <c r="F111" s="1110"/>
      <c r="G111" s="1111"/>
      <c r="H111" s="986"/>
      <c r="I111" s="1017"/>
      <c r="J111" s="1046"/>
      <c r="K111" s="1047"/>
      <c r="L111" s="984" t="s">
        <v>971</v>
      </c>
      <c r="M111" s="985"/>
      <c r="N111" s="985"/>
      <c r="O111" s="985"/>
      <c r="P111" s="985"/>
      <c r="Q111" s="329" t="s">
        <v>99</v>
      </c>
      <c r="R111" s="972"/>
      <c r="S111" s="973"/>
      <c r="T111" s="1258"/>
      <c r="U111" s="1337"/>
      <c r="V111" s="72">
        <f>IF(AND(Q111="ja",R111=""),1,0)</f>
        <v>1</v>
      </c>
      <c r="W111" s="74"/>
      <c r="X111" s="74"/>
      <c r="AC111" s="72">
        <f t="shared" si="0"/>
        <v>1</v>
      </c>
    </row>
    <row r="112" spans="1:35" ht="66.8" customHeight="1" thickBot="1" x14ac:dyDescent="0.3">
      <c r="A112" s="1393"/>
      <c r="B112" s="1109"/>
      <c r="C112" s="1110"/>
      <c r="D112" s="1110"/>
      <c r="E112" s="1110"/>
      <c r="F112" s="1110"/>
      <c r="G112" s="1111"/>
      <c r="H112" s="986"/>
      <c r="I112" s="1017"/>
      <c r="J112" s="1046"/>
      <c r="K112" s="1047"/>
      <c r="L112" s="984" t="s">
        <v>985</v>
      </c>
      <c r="M112" s="985"/>
      <c r="N112" s="985"/>
      <c r="O112" s="985"/>
      <c r="P112" s="985"/>
      <c r="Q112" s="329" t="s">
        <v>99</v>
      </c>
      <c r="R112" s="972"/>
      <c r="S112" s="973"/>
      <c r="T112" s="1258"/>
      <c r="U112" s="1337"/>
      <c r="V112" s="72">
        <f>IF(AND(Q112="ja",R112=""),1,0)</f>
        <v>1</v>
      </c>
      <c r="W112" s="74"/>
      <c r="X112" s="74"/>
      <c r="AC112" s="72">
        <f t="shared" si="0"/>
        <v>1</v>
      </c>
      <c r="AF112" s="2226"/>
      <c r="AG112" s="876"/>
      <c r="AH112" s="2224"/>
      <c r="AI112" s="2224"/>
    </row>
    <row r="113" spans="1:32" ht="56.25" customHeight="1" thickBot="1" x14ac:dyDescent="0.3">
      <c r="A113" s="1393"/>
      <c r="B113" s="1109"/>
      <c r="C113" s="1110"/>
      <c r="D113" s="1110"/>
      <c r="E113" s="1110"/>
      <c r="F113" s="1110"/>
      <c r="G113" s="1111"/>
      <c r="H113" s="986"/>
      <c r="I113" s="1017"/>
      <c r="J113" s="1046"/>
      <c r="K113" s="1047"/>
      <c r="L113" s="984" t="s">
        <v>191</v>
      </c>
      <c r="M113" s="985"/>
      <c r="N113" s="985"/>
      <c r="O113" s="985"/>
      <c r="P113" s="985"/>
      <c r="Q113" s="329" t="s">
        <v>99</v>
      </c>
      <c r="R113" s="972"/>
      <c r="S113" s="973"/>
      <c r="T113" s="1258"/>
      <c r="U113" s="1337"/>
      <c r="V113" s="72">
        <f>IF(AND(Q113="ja",R113=""),1,0)</f>
        <v>1</v>
      </c>
      <c r="W113" s="74"/>
      <c r="X113" s="74"/>
      <c r="AC113" s="72">
        <f t="shared" si="0"/>
        <v>1</v>
      </c>
      <c r="AF113" s="127"/>
    </row>
    <row r="114" spans="1:32" ht="14.25" customHeight="1" thickBot="1" x14ac:dyDescent="0.3">
      <c r="A114" s="1393"/>
      <c r="B114" s="1109"/>
      <c r="C114" s="1110"/>
      <c r="D114" s="1110"/>
      <c r="E114" s="1110"/>
      <c r="F114" s="1110"/>
      <c r="G114" s="1111"/>
      <c r="H114" s="986"/>
      <c r="I114" s="1017"/>
      <c r="J114" s="1046"/>
      <c r="K114" s="1047"/>
      <c r="L114" s="984" t="s">
        <v>994</v>
      </c>
      <c r="M114" s="985"/>
      <c r="N114" s="985"/>
      <c r="O114" s="985"/>
      <c r="P114" s="985"/>
      <c r="Q114" s="978" t="s">
        <v>99</v>
      </c>
      <c r="R114" s="972"/>
      <c r="S114" s="973"/>
      <c r="T114" s="1258"/>
      <c r="U114" s="1337"/>
      <c r="V114" s="72">
        <f>IF(AND(Q114="ja",R114=""),1,0)</f>
        <v>1</v>
      </c>
      <c r="W114" s="74"/>
      <c r="X114" s="74"/>
      <c r="AC114" s="72">
        <f t="shared" si="0"/>
        <v>1</v>
      </c>
    </row>
    <row r="115" spans="1:32" ht="14.25" customHeight="1" thickBot="1" x14ac:dyDescent="0.3">
      <c r="A115" s="1393"/>
      <c r="B115" s="1109"/>
      <c r="C115" s="1110"/>
      <c r="D115" s="1110"/>
      <c r="E115" s="1110"/>
      <c r="F115" s="1110"/>
      <c r="G115" s="1111"/>
      <c r="H115" s="986"/>
      <c r="I115" s="1017"/>
      <c r="J115" s="1046"/>
      <c r="K115" s="1047"/>
      <c r="L115" s="984"/>
      <c r="M115" s="985"/>
      <c r="N115" s="985"/>
      <c r="O115" s="985"/>
      <c r="P115" s="985"/>
      <c r="Q115" s="978"/>
      <c r="R115" s="972"/>
      <c r="S115" s="973"/>
      <c r="T115" s="1258"/>
      <c r="U115" s="1337"/>
      <c r="W115" s="74"/>
      <c r="X115" s="74"/>
      <c r="AC115" s="72">
        <f t="shared" si="0"/>
        <v>0</v>
      </c>
    </row>
    <row r="116" spans="1:32" ht="18" customHeight="1" thickBot="1" x14ac:dyDescent="0.3">
      <c r="A116" s="1393"/>
      <c r="B116" s="1109"/>
      <c r="C116" s="1110"/>
      <c r="D116" s="1110"/>
      <c r="E116" s="1110"/>
      <c r="F116" s="1110"/>
      <c r="G116" s="1111"/>
      <c r="H116" s="986"/>
      <c r="I116" s="1017"/>
      <c r="J116" s="1046"/>
      <c r="K116" s="1047"/>
      <c r="L116" s="984"/>
      <c r="M116" s="985"/>
      <c r="N116" s="985"/>
      <c r="O116" s="985"/>
      <c r="P116" s="985"/>
      <c r="Q116" s="978"/>
      <c r="R116" s="972"/>
      <c r="S116" s="973"/>
      <c r="T116" s="1258"/>
      <c r="U116" s="1337"/>
      <c r="W116" s="74"/>
      <c r="X116" s="74"/>
      <c r="AC116" s="72">
        <f t="shared" si="0"/>
        <v>0</v>
      </c>
    </row>
    <row r="117" spans="1:32" ht="14.25" customHeight="1" thickBot="1" x14ac:dyDescent="0.3">
      <c r="A117" s="1393"/>
      <c r="B117" s="1109"/>
      <c r="C117" s="1110"/>
      <c r="D117" s="1110"/>
      <c r="E117" s="1110"/>
      <c r="F117" s="1110"/>
      <c r="G117" s="1111"/>
      <c r="H117" s="986"/>
      <c r="I117" s="1017"/>
      <c r="J117" s="1046"/>
      <c r="K117" s="1047"/>
      <c r="L117" s="984" t="s">
        <v>968</v>
      </c>
      <c r="M117" s="985"/>
      <c r="N117" s="985"/>
      <c r="O117" s="985"/>
      <c r="P117" s="985"/>
      <c r="Q117" s="978" t="s">
        <v>99</v>
      </c>
      <c r="R117" s="972"/>
      <c r="S117" s="973"/>
      <c r="T117" s="1258"/>
      <c r="U117" s="1337"/>
      <c r="V117" s="72">
        <f>IF(AND(Q117="ja",R117=""),1,0)</f>
        <v>1</v>
      </c>
      <c r="W117" s="74"/>
      <c r="X117" s="74"/>
      <c r="AC117" s="72">
        <f t="shared" si="0"/>
        <v>1</v>
      </c>
    </row>
    <row r="118" spans="1:32" ht="14.25" customHeight="1" thickBot="1" x14ac:dyDescent="0.3">
      <c r="A118" s="1393"/>
      <c r="B118" s="1109"/>
      <c r="C118" s="1110"/>
      <c r="D118" s="1110"/>
      <c r="E118" s="1110"/>
      <c r="F118" s="1110"/>
      <c r="G118" s="1111"/>
      <c r="H118" s="986"/>
      <c r="I118" s="1017"/>
      <c r="J118" s="1046"/>
      <c r="K118" s="1047"/>
      <c r="L118" s="984"/>
      <c r="M118" s="985"/>
      <c r="N118" s="985"/>
      <c r="O118" s="985"/>
      <c r="P118" s="985"/>
      <c r="Q118" s="978"/>
      <c r="R118" s="972"/>
      <c r="S118" s="973"/>
      <c r="T118" s="1258"/>
      <c r="U118" s="1337"/>
      <c r="W118" s="74"/>
      <c r="X118" s="74"/>
      <c r="AC118" s="72">
        <f t="shared" si="0"/>
        <v>0</v>
      </c>
    </row>
    <row r="119" spans="1:32" ht="14.25" customHeight="1" thickBot="1" x14ac:dyDescent="0.3">
      <c r="A119" s="1393"/>
      <c r="B119" s="1092" t="s">
        <v>178</v>
      </c>
      <c r="C119" s="1093"/>
      <c r="D119" s="1093"/>
      <c r="E119" s="1093"/>
      <c r="F119" s="1093"/>
      <c r="G119" s="1094"/>
      <c r="H119" s="986" t="s">
        <v>99</v>
      </c>
      <c r="I119" s="1017"/>
      <c r="J119" s="1046"/>
      <c r="K119" s="1047"/>
      <c r="L119" s="984"/>
      <c r="M119" s="985"/>
      <c r="N119" s="985"/>
      <c r="O119" s="985"/>
      <c r="P119" s="985"/>
      <c r="Q119" s="978"/>
      <c r="R119" s="972"/>
      <c r="S119" s="973"/>
      <c r="T119" s="1258"/>
      <c r="U119" s="1337"/>
      <c r="W119" s="74">
        <f>IF(H119="ja",Z119,0)</f>
        <v>1.15E-2</v>
      </c>
      <c r="X119" s="74">
        <f>IF(H119="ja",AA119,0)</f>
        <v>1.4999999999999999E-2</v>
      </c>
      <c r="Y119" s="72" t="s">
        <v>163</v>
      </c>
      <c r="Z119" s="77">
        <v>1.15E-2</v>
      </c>
      <c r="AA119" s="77">
        <v>1.4999999999999999E-2</v>
      </c>
      <c r="AC119" s="72">
        <f t="shared" si="0"/>
        <v>0</v>
      </c>
    </row>
    <row r="120" spans="1:32" ht="14.25" customHeight="1" thickBot="1" x14ac:dyDescent="0.3">
      <c r="A120" s="1393"/>
      <c r="B120" s="1109"/>
      <c r="C120" s="1110"/>
      <c r="D120" s="1110"/>
      <c r="E120" s="1110"/>
      <c r="F120" s="1110"/>
      <c r="G120" s="1111"/>
      <c r="H120" s="986"/>
      <c r="I120" s="1017"/>
      <c r="J120" s="1046"/>
      <c r="K120" s="1047"/>
      <c r="L120" s="1484"/>
      <c r="M120" s="1485"/>
      <c r="N120" s="1485"/>
      <c r="O120" s="1485"/>
      <c r="P120" s="1486"/>
      <c r="Q120" s="979"/>
      <c r="R120" s="1005"/>
      <c r="S120" s="1006"/>
      <c r="T120" s="1258"/>
      <c r="U120" s="1337"/>
      <c r="V120" s="72">
        <f>IF(AND(Q120="ja",R120=""),1,0)</f>
        <v>0</v>
      </c>
      <c r="W120" s="74"/>
      <c r="X120" s="74"/>
      <c r="AC120" s="72">
        <f t="shared" si="0"/>
        <v>0</v>
      </c>
    </row>
    <row r="121" spans="1:32" ht="21" customHeight="1" thickBot="1" x14ac:dyDescent="0.3">
      <c r="A121" s="1393"/>
      <c r="B121" s="1095"/>
      <c r="C121" s="1096"/>
      <c r="D121" s="1096"/>
      <c r="E121" s="1096"/>
      <c r="F121" s="1096"/>
      <c r="G121" s="1097"/>
      <c r="H121" s="986"/>
      <c r="I121" s="1017"/>
      <c r="J121" s="1046"/>
      <c r="K121" s="1047"/>
      <c r="L121" s="1288"/>
      <c r="M121" s="2227"/>
      <c r="N121" s="2227"/>
      <c r="O121" s="2227"/>
      <c r="P121" s="1290"/>
      <c r="Q121" s="1003"/>
      <c r="R121" s="1007"/>
      <c r="S121" s="1008"/>
      <c r="T121" s="1258"/>
      <c r="U121" s="1337"/>
      <c r="W121" s="74"/>
      <c r="X121" s="74"/>
      <c r="AC121" s="72">
        <f t="shared" si="0"/>
        <v>0</v>
      </c>
    </row>
    <row r="122" spans="1:32" ht="14.25" customHeight="1" thickBot="1" x14ac:dyDescent="0.3">
      <c r="A122" s="1393"/>
      <c r="B122" s="1089" t="s">
        <v>193</v>
      </c>
      <c r="C122" s="1090"/>
      <c r="D122" s="1090"/>
      <c r="E122" s="1090"/>
      <c r="F122" s="1090"/>
      <c r="G122" s="1091"/>
      <c r="H122" s="316" t="s">
        <v>99</v>
      </c>
      <c r="I122" s="1017"/>
      <c r="J122" s="1046"/>
      <c r="K122" s="1047"/>
      <c r="L122" s="1288"/>
      <c r="M122" s="2227"/>
      <c r="N122" s="2227"/>
      <c r="O122" s="2227"/>
      <c r="P122" s="1290"/>
      <c r="Q122" s="1003"/>
      <c r="R122" s="1007"/>
      <c r="S122" s="1008"/>
      <c r="T122" s="1258"/>
      <c r="U122" s="1337"/>
      <c r="W122" s="74">
        <f>IF(H122="ja",Z122,0)</f>
        <v>4.0000000000000001E-3</v>
      </c>
      <c r="X122" s="74">
        <f>IF(H122="ja",AA122,0)</f>
        <v>5.0000000000000001E-3</v>
      </c>
      <c r="Y122" s="72" t="s">
        <v>194</v>
      </c>
      <c r="Z122" s="77">
        <v>4.0000000000000001E-3</v>
      </c>
      <c r="AA122" s="77">
        <v>5.0000000000000001E-3</v>
      </c>
      <c r="AC122" s="72">
        <f t="shared" si="0"/>
        <v>0</v>
      </c>
    </row>
    <row r="123" spans="1:32" ht="14.25" customHeight="1" thickBot="1" x14ac:dyDescent="0.3">
      <c r="A123" s="1393"/>
      <c r="B123" s="1089" t="s">
        <v>195</v>
      </c>
      <c r="C123" s="1090"/>
      <c r="D123" s="1090"/>
      <c r="E123" s="1090"/>
      <c r="F123" s="1090"/>
      <c r="G123" s="1091"/>
      <c r="H123" s="316" t="s">
        <v>99</v>
      </c>
      <c r="I123" s="1017"/>
      <c r="J123" s="1046"/>
      <c r="K123" s="1047"/>
      <c r="L123" s="1288"/>
      <c r="M123" s="2227"/>
      <c r="N123" s="2227"/>
      <c r="O123" s="2227"/>
      <c r="P123" s="1290"/>
      <c r="Q123" s="1003"/>
      <c r="R123" s="1007"/>
      <c r="S123" s="1008"/>
      <c r="T123" s="1258"/>
      <c r="U123" s="1337"/>
      <c r="V123" s="72">
        <f>IF(AND(Q123="ja",R123=""),1,0)</f>
        <v>0</v>
      </c>
      <c r="W123" s="74">
        <f>IF(H123="ja",Z123,0)</f>
        <v>2E-3</v>
      </c>
      <c r="X123" s="74">
        <f>IF(H123="ja",AA123,0)</f>
        <v>2.5000000000000001E-3</v>
      </c>
      <c r="Y123" s="72" t="s">
        <v>167</v>
      </c>
      <c r="Z123" s="77">
        <v>2E-3</v>
      </c>
      <c r="AA123" s="77">
        <v>2.5000000000000001E-3</v>
      </c>
      <c r="AC123" s="72">
        <f t="shared" si="0"/>
        <v>0</v>
      </c>
    </row>
    <row r="124" spans="1:32" ht="21.8" customHeight="1" thickBot="1" x14ac:dyDescent="0.3">
      <c r="A124" s="1393"/>
      <c r="B124" s="1092" t="s">
        <v>196</v>
      </c>
      <c r="C124" s="1093"/>
      <c r="D124" s="1093"/>
      <c r="E124" s="1093"/>
      <c r="F124" s="1093"/>
      <c r="G124" s="1094"/>
      <c r="H124" s="986" t="s">
        <v>99</v>
      </c>
      <c r="I124" s="1017"/>
      <c r="J124" s="1046"/>
      <c r="K124" s="1047"/>
      <c r="L124" s="1288"/>
      <c r="M124" s="2227"/>
      <c r="N124" s="2227"/>
      <c r="O124" s="2227"/>
      <c r="P124" s="1290"/>
      <c r="Q124" s="1003"/>
      <c r="R124" s="1007"/>
      <c r="S124" s="1008"/>
      <c r="T124" s="1258"/>
      <c r="U124" s="1337"/>
      <c r="W124" s="74">
        <f>IF(H124="ja",Z124,0)</f>
        <v>1.2500000000000001E-2</v>
      </c>
      <c r="X124" s="74">
        <f>IF(H124="ja",AA124,0)</f>
        <v>1.2500000000000001E-2</v>
      </c>
      <c r="Y124" s="72" t="s">
        <v>168</v>
      </c>
      <c r="Z124" s="77">
        <v>1.2500000000000001E-2</v>
      </c>
      <c r="AA124" s="77">
        <v>1.2500000000000001E-2</v>
      </c>
      <c r="AC124" s="72">
        <f t="shared" si="0"/>
        <v>0</v>
      </c>
    </row>
    <row r="125" spans="1:32" ht="29.25" customHeight="1" thickBot="1" x14ac:dyDescent="0.3">
      <c r="A125" s="1393"/>
      <c r="B125" s="1095"/>
      <c r="C125" s="1096"/>
      <c r="D125" s="1096"/>
      <c r="E125" s="1096"/>
      <c r="F125" s="1096"/>
      <c r="G125" s="1097"/>
      <c r="H125" s="986"/>
      <c r="I125" s="1017"/>
      <c r="J125" s="1046"/>
      <c r="K125" s="1047"/>
      <c r="L125" s="1288"/>
      <c r="M125" s="2227"/>
      <c r="N125" s="2227"/>
      <c r="O125" s="2227"/>
      <c r="P125" s="1290"/>
      <c r="Q125" s="1003"/>
      <c r="R125" s="1007"/>
      <c r="S125" s="1008"/>
      <c r="T125" s="1258"/>
      <c r="U125" s="1337"/>
      <c r="W125" s="74"/>
      <c r="X125" s="74"/>
      <c r="AC125" s="72">
        <f t="shared" si="0"/>
        <v>0</v>
      </c>
    </row>
    <row r="126" spans="1:32" ht="14.25" customHeight="1" thickBot="1" x14ac:dyDescent="0.3">
      <c r="A126" s="1393"/>
      <c r="B126" s="1089" t="s">
        <v>197</v>
      </c>
      <c r="C126" s="1090"/>
      <c r="D126" s="1090"/>
      <c r="E126" s="1090"/>
      <c r="F126" s="1090"/>
      <c r="G126" s="1091"/>
      <c r="H126" s="316" t="s">
        <v>99</v>
      </c>
      <c r="I126" s="1017"/>
      <c r="J126" s="1046"/>
      <c r="K126" s="1047"/>
      <c r="L126" s="1288"/>
      <c r="M126" s="2227"/>
      <c r="N126" s="2227"/>
      <c r="O126" s="2227"/>
      <c r="P126" s="1290"/>
      <c r="Q126" s="1003"/>
      <c r="R126" s="1007"/>
      <c r="S126" s="1008"/>
      <c r="T126" s="1258"/>
      <c r="U126" s="1337"/>
      <c r="V126" s="72">
        <f>IF(AND(Q126="ja",R126=""),1,0)</f>
        <v>0</v>
      </c>
      <c r="W126" s="74">
        <f>IF(H126="ja",Z126,0)</f>
        <v>3.5000000000000001E-3</v>
      </c>
      <c r="X126" s="74">
        <f>IF(H126="ja",AA126,0)</f>
        <v>2E-3</v>
      </c>
      <c r="Y126" s="72" t="s">
        <v>179</v>
      </c>
      <c r="Z126" s="77">
        <v>3.5000000000000001E-3</v>
      </c>
      <c r="AA126" s="77">
        <v>2E-3</v>
      </c>
      <c r="AC126" s="72">
        <f t="shared" ref="AC126:AC189" si="2">IF(Q126="ja",1,0)</f>
        <v>0</v>
      </c>
    </row>
    <row r="127" spans="1:32" ht="14.25" customHeight="1" thickBot="1" x14ac:dyDescent="0.3">
      <c r="A127" s="1393"/>
      <c r="B127" s="1092" t="s">
        <v>171</v>
      </c>
      <c r="C127" s="1093"/>
      <c r="D127" s="1093"/>
      <c r="E127" s="1093"/>
      <c r="F127" s="1093"/>
      <c r="G127" s="1094"/>
      <c r="H127" s="986" t="s">
        <v>99</v>
      </c>
      <c r="I127" s="1017"/>
      <c r="J127" s="1046"/>
      <c r="K127" s="1047"/>
      <c r="L127" s="1288"/>
      <c r="M127" s="2227"/>
      <c r="N127" s="2227"/>
      <c r="O127" s="2227"/>
      <c r="P127" s="1290"/>
      <c r="Q127" s="1003"/>
      <c r="R127" s="1007"/>
      <c r="S127" s="1008"/>
      <c r="T127" s="1258"/>
      <c r="U127" s="1337"/>
      <c r="W127" s="74">
        <f>IF(H127="ja",Z127,0)</f>
        <v>6.4999999999999997E-3</v>
      </c>
      <c r="X127" s="74">
        <f>IF(H127="ja",AA127,0)</f>
        <v>3.0000000000000001E-3</v>
      </c>
      <c r="Y127" s="72" t="s">
        <v>180</v>
      </c>
      <c r="Z127" s="77">
        <v>6.4999999999999997E-3</v>
      </c>
      <c r="AA127" s="77">
        <v>3.0000000000000001E-3</v>
      </c>
      <c r="AC127" s="72">
        <f t="shared" si="2"/>
        <v>0</v>
      </c>
    </row>
    <row r="128" spans="1:32" ht="14.25" customHeight="1" thickBot="1" x14ac:dyDescent="0.3">
      <c r="A128" s="1393"/>
      <c r="B128" s="1109"/>
      <c r="C128" s="1110"/>
      <c r="D128" s="1110"/>
      <c r="E128" s="1110"/>
      <c r="F128" s="1110"/>
      <c r="G128" s="1111"/>
      <c r="H128" s="1015"/>
      <c r="I128" s="1018"/>
      <c r="J128" s="1048"/>
      <c r="K128" s="1049"/>
      <c r="L128" s="1508"/>
      <c r="M128" s="1509"/>
      <c r="N128" s="1509"/>
      <c r="O128" s="1509"/>
      <c r="P128" s="1510"/>
      <c r="Q128" s="1004"/>
      <c r="R128" s="1009"/>
      <c r="S128" s="1010"/>
      <c r="T128" s="1258"/>
      <c r="U128" s="1337"/>
      <c r="AC128" s="72">
        <f t="shared" si="2"/>
        <v>0</v>
      </c>
    </row>
    <row r="129" spans="1:29" ht="14.25" customHeight="1" thickBot="1" x14ac:dyDescent="0.3">
      <c r="A129" s="1393"/>
      <c r="B129" s="1035" t="s">
        <v>154</v>
      </c>
      <c r="C129" s="1036"/>
      <c r="D129" s="1036"/>
      <c r="E129" s="1036"/>
      <c r="F129" s="1036"/>
      <c r="G129" s="1036"/>
      <c r="H129" s="1085">
        <f>COUNTIF(H105:H128,"nein")</f>
        <v>0</v>
      </c>
      <c r="I129" s="1035">
        <f>IF(N32=T9,I101,N32)</f>
        <v>0</v>
      </c>
      <c r="J129" s="1036"/>
      <c r="K129" s="1037"/>
      <c r="L129" s="1355">
        <f>SUM(R105:S128)</f>
        <v>0</v>
      </c>
      <c r="M129" s="1356"/>
      <c r="N129" s="1356"/>
      <c r="O129" s="1356"/>
      <c r="P129" s="1356"/>
      <c r="Q129" s="1364"/>
      <c r="R129" s="1364"/>
      <c r="S129" s="1365"/>
      <c r="T129" s="1260"/>
      <c r="U129" s="1257"/>
      <c r="W129" s="75">
        <f>SUM(W105:W127)</f>
        <v>0.15000000000000002</v>
      </c>
      <c r="X129" s="75">
        <f>SUM(X105:X127)</f>
        <v>0.15000000000000002</v>
      </c>
      <c r="AC129" s="72">
        <f t="shared" si="2"/>
        <v>0</v>
      </c>
    </row>
    <row r="130" spans="1:29" ht="14.25" customHeight="1" thickBot="1" x14ac:dyDescent="0.3">
      <c r="A130" s="1393"/>
      <c r="B130" s="1038"/>
      <c r="C130" s="1039"/>
      <c r="D130" s="1039"/>
      <c r="E130" s="1039"/>
      <c r="F130" s="1039"/>
      <c r="G130" s="1039"/>
      <c r="H130" s="1086"/>
      <c r="I130" s="1038"/>
      <c r="J130" s="1039"/>
      <c r="K130" s="1040"/>
      <c r="L130" s="1357"/>
      <c r="M130" s="1358"/>
      <c r="N130" s="1358"/>
      <c r="O130" s="1358"/>
      <c r="P130" s="1358"/>
      <c r="Q130" s="1364"/>
      <c r="R130" s="1364"/>
      <c r="S130" s="1365"/>
      <c r="T130" s="1261"/>
      <c r="U130" s="1258"/>
      <c r="W130" s="76"/>
      <c r="X130" s="76"/>
      <c r="AC130" s="72">
        <f t="shared" si="2"/>
        <v>0</v>
      </c>
    </row>
    <row r="131" spans="1:29" ht="14.25" customHeight="1" thickBot="1" x14ac:dyDescent="0.3">
      <c r="A131" s="1393"/>
      <c r="B131" s="1041"/>
      <c r="C131" s="1042"/>
      <c r="D131" s="1042"/>
      <c r="E131" s="1042"/>
      <c r="F131" s="1042"/>
      <c r="G131" s="1042"/>
      <c r="H131" s="1087"/>
      <c r="I131" s="1041"/>
      <c r="J131" s="1042"/>
      <c r="K131" s="1043"/>
      <c r="L131" s="1359"/>
      <c r="M131" s="1360"/>
      <c r="N131" s="1360"/>
      <c r="O131" s="1360"/>
      <c r="P131" s="1360"/>
      <c r="Q131" s="1364"/>
      <c r="R131" s="1364"/>
      <c r="S131" s="1365"/>
      <c r="T131" s="1262"/>
      <c r="U131" s="1259"/>
      <c r="W131" s="76"/>
      <c r="X131" s="76"/>
      <c r="AC131" s="72">
        <f t="shared" si="2"/>
        <v>0</v>
      </c>
    </row>
    <row r="132" spans="1:29" ht="14.25" customHeight="1" thickBot="1" x14ac:dyDescent="0.3">
      <c r="A132" s="1393"/>
      <c r="B132" s="1082" t="s">
        <v>198</v>
      </c>
      <c r="C132" s="1083"/>
      <c r="D132" s="1083"/>
      <c r="E132" s="1083"/>
      <c r="F132" s="1083"/>
      <c r="G132" s="460">
        <f>COUNTIF(H105:H128,"ja")</f>
        <v>7</v>
      </c>
      <c r="H132" s="144"/>
      <c r="I132" s="1050"/>
      <c r="J132" s="1051"/>
      <c r="K132" s="1052"/>
      <c r="L132" s="1361"/>
      <c r="M132" s="1362"/>
      <c r="N132" s="1362"/>
      <c r="O132" s="1362"/>
      <c r="P132" s="1362"/>
      <c r="Q132" s="212"/>
      <c r="R132" s="1302"/>
      <c r="S132" s="1303"/>
      <c r="T132" s="524"/>
      <c r="U132" s="335" t="s">
        <v>157</v>
      </c>
      <c r="W132" s="443">
        <f>IF(AND($B$129=$T$19,I132=""),1,0)</f>
        <v>0</v>
      </c>
      <c r="X132" s="443">
        <f>G142</f>
        <v>3</v>
      </c>
      <c r="Y132" s="150" t="s">
        <v>199</v>
      </c>
      <c r="Z132" s="150"/>
      <c r="AA132" s="150"/>
      <c r="AC132" s="72">
        <f t="shared" si="2"/>
        <v>0</v>
      </c>
    </row>
    <row r="133" spans="1:29" ht="17.25" customHeight="1" thickBot="1" x14ac:dyDescent="0.3">
      <c r="A133" s="1393"/>
      <c r="B133" s="1313" t="s">
        <v>200</v>
      </c>
      <c r="C133" s="1314"/>
      <c r="D133" s="1314"/>
      <c r="E133" s="1314"/>
      <c r="F133" s="1314"/>
      <c r="G133" s="1315"/>
      <c r="H133" s="1088" t="s">
        <v>99</v>
      </c>
      <c r="I133" s="1016">
        <f>IF(I52="Gebäude",W141,X141)</f>
        <v>0.03</v>
      </c>
      <c r="J133" s="1044">
        <f>I133*$I$129</f>
        <v>0</v>
      </c>
      <c r="K133" s="1045"/>
      <c r="L133" s="1311" t="s">
        <v>971</v>
      </c>
      <c r="M133" s="1312"/>
      <c r="N133" s="1312"/>
      <c r="O133" s="1312"/>
      <c r="P133" s="1312"/>
      <c r="Q133" s="978" t="s">
        <v>99</v>
      </c>
      <c r="R133" s="972"/>
      <c r="S133" s="973"/>
      <c r="T133" s="1257" t="str">
        <f>IFERROR(IF((VLOOKUP(U133,Überblick!$M$125:$N$133,2))="ja","ja","nein"),"")</f>
        <v/>
      </c>
      <c r="U133" s="1337"/>
      <c r="W133" s="74">
        <f>IF(H133="ja",Z133,0)</f>
        <v>2.5000000000000001E-2</v>
      </c>
      <c r="X133" s="74">
        <f>IF(H133="ja",AA133,0)</f>
        <v>1.7999999999999999E-2</v>
      </c>
      <c r="Y133" s="72" t="s">
        <v>189</v>
      </c>
      <c r="Z133" s="77">
        <v>2.5000000000000001E-2</v>
      </c>
      <c r="AA133" s="77">
        <v>1.7999999999999999E-2</v>
      </c>
      <c r="AC133" s="72">
        <f t="shared" si="2"/>
        <v>1</v>
      </c>
    </row>
    <row r="134" spans="1:29" ht="14.25" customHeight="1" thickBot="1" x14ac:dyDescent="0.3">
      <c r="A134" s="1393"/>
      <c r="B134" s="1072"/>
      <c r="C134" s="913"/>
      <c r="D134" s="913"/>
      <c r="E134" s="913"/>
      <c r="F134" s="913"/>
      <c r="G134" s="1073"/>
      <c r="H134" s="986"/>
      <c r="I134" s="1017"/>
      <c r="J134" s="1046"/>
      <c r="K134" s="1047"/>
      <c r="L134" s="1172"/>
      <c r="M134" s="1173"/>
      <c r="N134" s="1173"/>
      <c r="O134" s="1173"/>
      <c r="P134" s="1173"/>
      <c r="Q134" s="978"/>
      <c r="R134" s="972"/>
      <c r="S134" s="973"/>
      <c r="T134" s="1258"/>
      <c r="U134" s="1337"/>
      <c r="W134" s="76"/>
      <c r="X134" s="76"/>
      <c r="AC134" s="72">
        <f t="shared" si="2"/>
        <v>0</v>
      </c>
    </row>
    <row r="135" spans="1:29" ht="14.25" customHeight="1" thickBot="1" x14ac:dyDescent="0.3">
      <c r="A135" s="1393"/>
      <c r="B135" s="1072"/>
      <c r="C135" s="913"/>
      <c r="D135" s="913"/>
      <c r="E135" s="913"/>
      <c r="F135" s="913"/>
      <c r="G135" s="1073"/>
      <c r="H135" s="986"/>
      <c r="I135" s="1017"/>
      <c r="J135" s="1046"/>
      <c r="K135" s="1047"/>
      <c r="L135" s="1172"/>
      <c r="M135" s="1173"/>
      <c r="N135" s="1173"/>
      <c r="O135" s="1173"/>
      <c r="P135" s="1173"/>
      <c r="Q135" s="978"/>
      <c r="R135" s="972"/>
      <c r="S135" s="973"/>
      <c r="T135" s="1258"/>
      <c r="U135" s="1337"/>
      <c r="W135" s="76"/>
      <c r="X135" s="76"/>
      <c r="AC135" s="72">
        <f t="shared" si="2"/>
        <v>0</v>
      </c>
    </row>
    <row r="136" spans="1:29" ht="14.25" customHeight="1" thickBot="1" x14ac:dyDescent="0.3">
      <c r="A136" s="1393"/>
      <c r="B136" s="1072"/>
      <c r="C136" s="913"/>
      <c r="D136" s="913"/>
      <c r="E136" s="913"/>
      <c r="F136" s="913"/>
      <c r="G136" s="1073"/>
      <c r="H136" s="986"/>
      <c r="I136" s="1017"/>
      <c r="J136" s="1046"/>
      <c r="K136" s="1047"/>
      <c r="L136" s="1890" t="s">
        <v>201</v>
      </c>
      <c r="M136" s="1891"/>
      <c r="N136" s="1891"/>
      <c r="O136" s="1891"/>
      <c r="P136" s="1892"/>
      <c r="Q136" s="978" t="s">
        <v>99</v>
      </c>
      <c r="R136" s="972"/>
      <c r="S136" s="973"/>
      <c r="T136" s="1258"/>
      <c r="U136" s="1337"/>
      <c r="V136" s="72">
        <f>IF(AND(Q136="ja",R136=""),1,0)</f>
        <v>1</v>
      </c>
      <c r="W136" s="76"/>
      <c r="X136" s="76"/>
      <c r="AC136" s="72">
        <f t="shared" si="2"/>
        <v>1</v>
      </c>
    </row>
    <row r="137" spans="1:29" ht="14.25" customHeight="1" thickBot="1" x14ac:dyDescent="0.3">
      <c r="A137" s="1393"/>
      <c r="B137" s="1072"/>
      <c r="C137" s="913"/>
      <c r="D137" s="913"/>
      <c r="E137" s="913"/>
      <c r="F137" s="913"/>
      <c r="G137" s="1073"/>
      <c r="H137" s="986"/>
      <c r="I137" s="1017"/>
      <c r="J137" s="1046"/>
      <c r="K137" s="1047"/>
      <c r="L137" s="2234"/>
      <c r="M137" s="2241"/>
      <c r="N137" s="2241"/>
      <c r="O137" s="2241"/>
      <c r="P137" s="2235"/>
      <c r="Q137" s="978"/>
      <c r="R137" s="972"/>
      <c r="S137" s="973"/>
      <c r="T137" s="1258"/>
      <c r="U137" s="1337"/>
      <c r="W137" s="76"/>
      <c r="X137" s="76"/>
      <c r="Z137" s="77"/>
      <c r="AC137" s="72">
        <f t="shared" si="2"/>
        <v>0</v>
      </c>
    </row>
    <row r="138" spans="1:29" ht="22.6" customHeight="1" thickBot="1" x14ac:dyDescent="0.3">
      <c r="A138" s="1393"/>
      <c r="B138" s="1074"/>
      <c r="C138" s="1075"/>
      <c r="D138" s="1075"/>
      <c r="E138" s="1075"/>
      <c r="F138" s="1075"/>
      <c r="G138" s="1076"/>
      <c r="H138" s="986"/>
      <c r="I138" s="1017"/>
      <c r="J138" s="1046"/>
      <c r="K138" s="1047"/>
      <c r="L138" s="1893"/>
      <c r="M138" s="1894"/>
      <c r="N138" s="1894"/>
      <c r="O138" s="1894"/>
      <c r="P138" s="1895"/>
      <c r="Q138" s="978"/>
      <c r="R138" s="972"/>
      <c r="S138" s="973"/>
      <c r="T138" s="1258"/>
      <c r="U138" s="1337"/>
      <c r="W138" s="76"/>
      <c r="X138" s="76"/>
      <c r="AC138" s="72">
        <f t="shared" si="2"/>
        <v>0</v>
      </c>
    </row>
    <row r="139" spans="1:29" ht="14.25" customHeight="1" thickBot="1" x14ac:dyDescent="0.3">
      <c r="A139" s="1393"/>
      <c r="B139" s="1089" t="s">
        <v>202</v>
      </c>
      <c r="C139" s="1090"/>
      <c r="D139" s="1090"/>
      <c r="E139" s="1090"/>
      <c r="F139" s="1090"/>
      <c r="G139" s="1091"/>
      <c r="H139" s="316" t="s">
        <v>99</v>
      </c>
      <c r="I139" s="1017"/>
      <c r="J139" s="1046"/>
      <c r="K139" s="1047"/>
      <c r="L139" s="1311" t="s">
        <v>986</v>
      </c>
      <c r="M139" s="1312"/>
      <c r="N139" s="1312"/>
      <c r="O139" s="1312"/>
      <c r="P139" s="1312"/>
      <c r="Q139" s="978" t="s">
        <v>99</v>
      </c>
      <c r="R139" s="972"/>
      <c r="S139" s="973"/>
      <c r="T139" s="1258"/>
      <c r="U139" s="1337"/>
      <c r="V139" s="72">
        <f>IF(AND(Q139="ja",R139=""),1,0)</f>
        <v>1</v>
      </c>
      <c r="W139" s="74">
        <f>IF(H139="ja",Z139,0)</f>
        <v>2.5000000000000001E-3</v>
      </c>
      <c r="X139" s="74">
        <f>IF(H139="ja",AA139,0)</f>
        <v>1E-3</v>
      </c>
      <c r="Y139" s="72" t="s">
        <v>163</v>
      </c>
      <c r="Z139" s="77">
        <v>2.5000000000000001E-3</v>
      </c>
      <c r="AA139" s="77">
        <v>1E-3</v>
      </c>
      <c r="AC139" s="72">
        <f t="shared" si="2"/>
        <v>1</v>
      </c>
    </row>
    <row r="140" spans="1:29" ht="14.25" customHeight="1" thickBot="1" x14ac:dyDescent="0.3">
      <c r="A140" s="1393"/>
      <c r="B140" s="1092" t="s">
        <v>203</v>
      </c>
      <c r="C140" s="1093"/>
      <c r="D140" s="1093"/>
      <c r="E140" s="1093"/>
      <c r="F140" s="1093"/>
      <c r="G140" s="1094"/>
      <c r="H140" s="986" t="s">
        <v>99</v>
      </c>
      <c r="I140" s="1017"/>
      <c r="J140" s="1046"/>
      <c r="K140" s="1047"/>
      <c r="L140" s="1172"/>
      <c r="M140" s="1173"/>
      <c r="N140" s="1173"/>
      <c r="O140" s="1173"/>
      <c r="P140" s="1173"/>
      <c r="Q140" s="978"/>
      <c r="R140" s="972"/>
      <c r="S140" s="973"/>
      <c r="T140" s="1258"/>
      <c r="U140" s="1337"/>
      <c r="W140" s="74">
        <f>IF(H140="ja",Z140,0)</f>
        <v>2.5000000000000001E-3</v>
      </c>
      <c r="X140" s="74">
        <f>IF(H140="ja",AA140,0)</f>
        <v>1E-3</v>
      </c>
      <c r="Y140" s="72" t="s">
        <v>194</v>
      </c>
      <c r="Z140" s="77">
        <v>2.5000000000000001E-3</v>
      </c>
      <c r="AA140" s="77">
        <v>1E-3</v>
      </c>
      <c r="AC140" s="72">
        <f t="shared" si="2"/>
        <v>0</v>
      </c>
    </row>
    <row r="141" spans="1:29" ht="21" customHeight="1" thickBot="1" x14ac:dyDescent="0.3">
      <c r="A141" s="1393"/>
      <c r="B141" s="1095"/>
      <c r="C141" s="1096"/>
      <c r="D141" s="1096"/>
      <c r="E141" s="1096"/>
      <c r="F141" s="1096"/>
      <c r="G141" s="1097"/>
      <c r="H141" s="1015"/>
      <c r="I141" s="1018"/>
      <c r="J141" s="1048"/>
      <c r="K141" s="1049"/>
      <c r="L141" s="1172"/>
      <c r="M141" s="1173"/>
      <c r="N141" s="1173"/>
      <c r="O141" s="1173"/>
      <c r="P141" s="1173"/>
      <c r="Q141" s="978"/>
      <c r="R141" s="972"/>
      <c r="S141" s="973"/>
      <c r="T141" s="1259"/>
      <c r="U141" s="1337"/>
      <c r="W141" s="75">
        <f>SUM(W133:W140)</f>
        <v>0.03</v>
      </c>
      <c r="X141" s="75">
        <f>SUM(X133:X140)</f>
        <v>0.02</v>
      </c>
      <c r="AC141" s="72">
        <f t="shared" si="2"/>
        <v>0</v>
      </c>
    </row>
    <row r="142" spans="1:29" ht="14.25" customHeight="1" thickBot="1" x14ac:dyDescent="0.3">
      <c r="A142" s="1393"/>
      <c r="B142" s="2242" t="s">
        <v>204</v>
      </c>
      <c r="C142" s="2243"/>
      <c r="D142" s="2243"/>
      <c r="E142" s="2243"/>
      <c r="F142" s="2243"/>
      <c r="G142" s="2246">
        <f>COUNTIF(H133:H141,"ja")</f>
        <v>3</v>
      </c>
      <c r="H142" s="2224"/>
      <c r="I142" s="2244"/>
      <c r="J142" s="2245"/>
      <c r="K142" s="2245"/>
      <c r="L142" s="1331">
        <f>SUM(R133:S141)</f>
        <v>0</v>
      </c>
      <c r="M142" s="1332"/>
      <c r="N142" s="1332"/>
      <c r="O142" s="1332"/>
      <c r="P142" s="1363"/>
      <c r="Q142" s="212"/>
      <c r="R142" s="1302"/>
      <c r="S142" s="1303"/>
      <c r="T142" s="525"/>
      <c r="U142" s="335" t="s">
        <v>157</v>
      </c>
      <c r="Y142" s="150" t="s">
        <v>205</v>
      </c>
      <c r="Z142" s="150"/>
      <c r="AA142" s="150"/>
      <c r="AC142" s="72">
        <f t="shared" si="2"/>
        <v>0</v>
      </c>
    </row>
    <row r="143" spans="1:29" ht="14.25" customHeight="1" x14ac:dyDescent="0.25">
      <c r="A143" s="1053" t="s">
        <v>206</v>
      </c>
      <c r="B143" s="1313" t="s">
        <v>207</v>
      </c>
      <c r="C143" s="1314"/>
      <c r="D143" s="1314"/>
      <c r="E143" s="1314"/>
      <c r="F143" s="1314"/>
      <c r="G143" s="1315"/>
      <c r="H143" s="1194" t="s">
        <v>99</v>
      </c>
      <c r="I143" s="1001">
        <f>IF(I52="Gebäude",W143,X143)</f>
        <v>0.1</v>
      </c>
      <c r="J143" s="1273">
        <f>I143*I129</f>
        <v>0</v>
      </c>
      <c r="K143" s="1274"/>
      <c r="L143" s="1285" t="s">
        <v>995</v>
      </c>
      <c r="M143" s="1286"/>
      <c r="N143" s="1286"/>
      <c r="O143" s="1286"/>
      <c r="P143" s="1287"/>
      <c r="Q143" s="1294" t="s">
        <v>99</v>
      </c>
      <c r="R143" s="1296"/>
      <c r="S143" s="1297"/>
      <c r="T143" s="1376" t="str">
        <f>IFERROR(IF((VLOOKUP(U143,Überblick!$M$125:$N$133,2))="ja","ja","nein"),"")</f>
        <v/>
      </c>
      <c r="U143" s="1338"/>
      <c r="V143" s="72">
        <f>IF(AND(Q143="ja",R143=""),1,0)</f>
        <v>1</v>
      </c>
      <c r="W143" s="74">
        <f>IF(H143="ja",Z143,0)</f>
        <v>0.1</v>
      </c>
      <c r="X143" s="74">
        <f>IF(H143="ja",AA143,0)</f>
        <v>0.13750000000000001</v>
      </c>
      <c r="Y143" s="72" t="s">
        <v>189</v>
      </c>
      <c r="Z143" s="77">
        <v>0.1</v>
      </c>
      <c r="AA143" s="77">
        <v>0.13750000000000001</v>
      </c>
      <c r="AC143" s="72">
        <f t="shared" si="2"/>
        <v>1</v>
      </c>
    </row>
    <row r="144" spans="1:29" ht="14.25" customHeight="1" x14ac:dyDescent="0.25">
      <c r="A144" s="1053"/>
      <c r="B144" s="1072"/>
      <c r="C144" s="913"/>
      <c r="D144" s="913"/>
      <c r="E144" s="913"/>
      <c r="F144" s="913"/>
      <c r="G144" s="1073"/>
      <c r="H144" s="982"/>
      <c r="I144" s="1002"/>
      <c r="J144" s="1275"/>
      <c r="K144" s="1276"/>
      <c r="L144" s="1288"/>
      <c r="M144" s="1289"/>
      <c r="N144" s="1289"/>
      <c r="O144" s="1289"/>
      <c r="P144" s="1290"/>
      <c r="Q144" s="1003"/>
      <c r="R144" s="1007"/>
      <c r="S144" s="1008"/>
      <c r="T144" s="1377"/>
      <c r="U144" s="1339"/>
      <c r="W144" s="76"/>
      <c r="X144" s="76"/>
      <c r="AC144" s="72">
        <f t="shared" si="2"/>
        <v>0</v>
      </c>
    </row>
    <row r="145" spans="1:31" ht="14.25" customHeight="1" x14ac:dyDescent="0.25">
      <c r="A145" s="1053"/>
      <c r="B145" s="1072"/>
      <c r="C145" s="913"/>
      <c r="D145" s="913"/>
      <c r="E145" s="913"/>
      <c r="F145" s="913"/>
      <c r="G145" s="1073"/>
      <c r="H145" s="982"/>
      <c r="I145" s="1002"/>
      <c r="J145" s="1275"/>
      <c r="K145" s="1276"/>
      <c r="L145" s="1288"/>
      <c r="M145" s="1289"/>
      <c r="N145" s="1289"/>
      <c r="O145" s="1289"/>
      <c r="P145" s="1290"/>
      <c r="Q145" s="1003"/>
      <c r="R145" s="1007"/>
      <c r="S145" s="1008"/>
      <c r="T145" s="1377"/>
      <c r="U145" s="1339"/>
      <c r="W145" s="76"/>
      <c r="X145" s="76"/>
      <c r="AC145" s="72">
        <f t="shared" si="2"/>
        <v>0</v>
      </c>
    </row>
    <row r="146" spans="1:31" ht="14.25" customHeight="1" x14ac:dyDescent="0.25">
      <c r="A146" s="1053"/>
      <c r="B146" s="1072"/>
      <c r="C146" s="913"/>
      <c r="D146" s="913"/>
      <c r="E146" s="913"/>
      <c r="F146" s="913"/>
      <c r="G146" s="1073"/>
      <c r="H146" s="982"/>
      <c r="I146" s="1002"/>
      <c r="J146" s="1275"/>
      <c r="K146" s="1276"/>
      <c r="L146" s="1288"/>
      <c r="M146" s="1289"/>
      <c r="N146" s="1289"/>
      <c r="O146" s="1289"/>
      <c r="P146" s="1290"/>
      <c r="Q146" s="1003"/>
      <c r="R146" s="1007"/>
      <c r="S146" s="1008"/>
      <c r="T146" s="1377"/>
      <c r="U146" s="1339"/>
      <c r="W146" s="76"/>
      <c r="X146" s="76"/>
      <c r="AC146" s="72">
        <f t="shared" si="2"/>
        <v>0</v>
      </c>
    </row>
    <row r="147" spans="1:31" ht="14.25" customHeight="1" x14ac:dyDescent="0.25">
      <c r="A147" s="1053"/>
      <c r="B147" s="1072"/>
      <c r="C147" s="913"/>
      <c r="D147" s="913"/>
      <c r="E147" s="913"/>
      <c r="F147" s="913"/>
      <c r="G147" s="1073"/>
      <c r="H147" s="982"/>
      <c r="I147" s="1002"/>
      <c r="J147" s="1275"/>
      <c r="K147" s="1276"/>
      <c r="L147" s="1288"/>
      <c r="M147" s="1289"/>
      <c r="N147" s="1289"/>
      <c r="O147" s="1289"/>
      <c r="P147" s="1290"/>
      <c r="Q147" s="1003"/>
      <c r="R147" s="1007"/>
      <c r="S147" s="1008"/>
      <c r="T147" s="1377"/>
      <c r="U147" s="1339"/>
      <c r="W147" s="76"/>
      <c r="X147" s="76"/>
      <c r="AC147" s="72">
        <f t="shared" si="2"/>
        <v>0</v>
      </c>
    </row>
    <row r="148" spans="1:31" ht="14.25" customHeight="1" x14ac:dyDescent="0.25">
      <c r="A148" s="1053"/>
      <c r="B148" s="1074"/>
      <c r="C148" s="1075"/>
      <c r="D148" s="1075"/>
      <c r="E148" s="1075"/>
      <c r="F148" s="1075"/>
      <c r="G148" s="1076"/>
      <c r="H148" s="983"/>
      <c r="I148" s="1277"/>
      <c r="J148" s="1277"/>
      <c r="K148" s="1278"/>
      <c r="L148" s="1291"/>
      <c r="M148" s="1292"/>
      <c r="N148" s="1292"/>
      <c r="O148" s="1292"/>
      <c r="P148" s="1293"/>
      <c r="Q148" s="1295"/>
      <c r="R148" s="1269"/>
      <c r="S148" s="1270"/>
      <c r="T148" s="1377"/>
      <c r="U148" s="1339"/>
      <c r="V148" s="72">
        <f>IF(AND(X148+W148&gt;=2,I132=""),1,0)</f>
        <v>0</v>
      </c>
      <c r="W148" s="876">
        <f>IF(AND($B$129=$T$19,I148=""),1,0)</f>
        <v>0</v>
      </c>
      <c r="X148" s="876">
        <f>IF(H143="ja",1,0)</f>
        <v>1</v>
      </c>
      <c r="AC148" s="72">
        <f t="shared" si="2"/>
        <v>0</v>
      </c>
      <c r="AD148" s="876"/>
      <c r="AE148" s="876"/>
    </row>
    <row r="149" spans="1:31" ht="14.25" customHeight="1" x14ac:dyDescent="0.25">
      <c r="A149" s="1053" t="s">
        <v>208</v>
      </c>
      <c r="B149" s="1077" t="s">
        <v>209</v>
      </c>
      <c r="C149" s="1078"/>
      <c r="D149" s="1078"/>
      <c r="E149" s="1078"/>
      <c r="F149" s="1078"/>
      <c r="G149" s="1079"/>
      <c r="H149" s="981" t="s">
        <v>99</v>
      </c>
      <c r="I149" s="1280">
        <v>9.5000000000000001E-2</v>
      </c>
      <c r="J149" s="1281">
        <f>I149*I129</f>
        <v>0</v>
      </c>
      <c r="K149" s="1282"/>
      <c r="L149" s="984" t="s">
        <v>996</v>
      </c>
      <c r="M149" s="985"/>
      <c r="N149" s="985"/>
      <c r="O149" s="985"/>
      <c r="P149" s="985"/>
      <c r="Q149" s="978" t="s">
        <v>99</v>
      </c>
      <c r="R149" s="972"/>
      <c r="S149" s="973"/>
      <c r="T149" s="1377"/>
      <c r="U149" s="1339"/>
      <c r="V149" s="72">
        <f>IF(AND(Q149="ja",R149=""),1,0)</f>
        <v>1</v>
      </c>
      <c r="W149" s="886">
        <f>IF(H149="ja",Z149,0)</f>
        <v>9.5000000000000001E-2</v>
      </c>
      <c r="X149" s="886">
        <f>IF(H149="ja",AA149,0)</f>
        <v>0.13</v>
      </c>
      <c r="Y149" s="72" t="s">
        <v>163</v>
      </c>
      <c r="Z149" s="77">
        <v>9.5000000000000001E-2</v>
      </c>
      <c r="AA149" s="77">
        <v>0.13</v>
      </c>
      <c r="AC149" s="72">
        <f t="shared" si="2"/>
        <v>1</v>
      </c>
      <c r="AD149" s="2226"/>
      <c r="AE149" s="875"/>
    </row>
    <row r="150" spans="1:31" ht="14.25" customHeight="1" x14ac:dyDescent="0.25">
      <c r="A150" s="1053"/>
      <c r="B150" s="1072"/>
      <c r="C150" s="913"/>
      <c r="D150" s="913"/>
      <c r="E150" s="913"/>
      <c r="F150" s="913"/>
      <c r="G150" s="1073"/>
      <c r="H150" s="982"/>
      <c r="I150" s="1002"/>
      <c r="J150" s="1283"/>
      <c r="K150" s="1284"/>
      <c r="L150" s="984"/>
      <c r="M150" s="985"/>
      <c r="N150" s="985"/>
      <c r="O150" s="985"/>
      <c r="P150" s="985"/>
      <c r="Q150" s="978"/>
      <c r="R150" s="972"/>
      <c r="S150" s="973"/>
      <c r="T150" s="1377"/>
      <c r="U150" s="1339"/>
      <c r="W150" s="887"/>
      <c r="X150" s="887"/>
      <c r="Z150" s="77"/>
      <c r="AC150" s="72">
        <f t="shared" si="2"/>
        <v>0</v>
      </c>
      <c r="AD150" s="876"/>
      <c r="AE150" s="2226"/>
    </row>
    <row r="151" spans="1:31" ht="14.25" customHeight="1" x14ac:dyDescent="0.25">
      <c r="A151" s="1053"/>
      <c r="B151" s="1072"/>
      <c r="C151" s="913"/>
      <c r="D151" s="913"/>
      <c r="E151" s="913"/>
      <c r="F151" s="913"/>
      <c r="G151" s="1073"/>
      <c r="H151" s="982"/>
      <c r="I151" s="1002"/>
      <c r="J151" s="1283"/>
      <c r="K151" s="1284"/>
      <c r="L151" s="984"/>
      <c r="M151" s="985"/>
      <c r="N151" s="985"/>
      <c r="O151" s="985"/>
      <c r="P151" s="985"/>
      <c r="Q151" s="978"/>
      <c r="R151" s="972"/>
      <c r="S151" s="973"/>
      <c r="T151" s="1377"/>
      <c r="U151" s="1339"/>
      <c r="W151" s="76"/>
      <c r="X151" s="76"/>
      <c r="AC151" s="72">
        <f t="shared" si="2"/>
        <v>0</v>
      </c>
    </row>
    <row r="152" spans="1:31" ht="14.25" customHeight="1" x14ac:dyDescent="0.25">
      <c r="A152" s="1053"/>
      <c r="B152" s="1072"/>
      <c r="C152" s="913"/>
      <c r="D152" s="913"/>
      <c r="E152" s="913"/>
      <c r="F152" s="913"/>
      <c r="G152" s="1073"/>
      <c r="H152" s="982"/>
      <c r="I152" s="1002"/>
      <c r="J152" s="1283"/>
      <c r="K152" s="1284"/>
      <c r="L152" s="984"/>
      <c r="M152" s="985"/>
      <c r="N152" s="985"/>
      <c r="O152" s="985"/>
      <c r="P152" s="985"/>
      <c r="Q152" s="978"/>
      <c r="R152" s="972"/>
      <c r="S152" s="973"/>
      <c r="T152" s="1377"/>
      <c r="U152" s="1339"/>
      <c r="W152" s="76"/>
      <c r="X152" s="76"/>
      <c r="AC152" s="72">
        <f t="shared" si="2"/>
        <v>0</v>
      </c>
    </row>
    <row r="153" spans="1:31" ht="14.25" customHeight="1" x14ac:dyDescent="0.25">
      <c r="A153" s="1053"/>
      <c r="B153" s="1072"/>
      <c r="C153" s="913"/>
      <c r="D153" s="913"/>
      <c r="E153" s="913"/>
      <c r="F153" s="913"/>
      <c r="G153" s="1073"/>
      <c r="H153" s="982"/>
      <c r="I153" s="1002"/>
      <c r="J153" s="1283"/>
      <c r="K153" s="1284"/>
      <c r="L153" s="984"/>
      <c r="M153" s="985"/>
      <c r="N153" s="985"/>
      <c r="O153" s="985"/>
      <c r="P153" s="985"/>
      <c r="Q153" s="978"/>
      <c r="R153" s="972"/>
      <c r="S153" s="973"/>
      <c r="T153" s="1377"/>
      <c r="U153" s="1339"/>
      <c r="W153" s="76"/>
      <c r="X153" s="76"/>
      <c r="AC153" s="72">
        <f t="shared" si="2"/>
        <v>0</v>
      </c>
    </row>
    <row r="154" spans="1:31" ht="14.25" customHeight="1" x14ac:dyDescent="0.25">
      <c r="A154" s="1053"/>
      <c r="B154" s="1072"/>
      <c r="C154" s="913"/>
      <c r="D154" s="913"/>
      <c r="E154" s="913"/>
      <c r="F154" s="913"/>
      <c r="G154" s="1073"/>
      <c r="H154" s="982"/>
      <c r="I154" s="1002"/>
      <c r="J154" s="1283"/>
      <c r="K154" s="1284"/>
      <c r="L154" s="984"/>
      <c r="M154" s="985"/>
      <c r="N154" s="985"/>
      <c r="O154" s="985"/>
      <c r="P154" s="985"/>
      <c r="Q154" s="978"/>
      <c r="R154" s="972"/>
      <c r="S154" s="973"/>
      <c r="T154" s="1377"/>
      <c r="U154" s="1339"/>
      <c r="W154" s="76"/>
      <c r="X154" s="76"/>
      <c r="AC154" s="72">
        <f t="shared" si="2"/>
        <v>0</v>
      </c>
    </row>
    <row r="155" spans="1:31" ht="14.25" customHeight="1" x14ac:dyDescent="0.25">
      <c r="A155" s="1053"/>
      <c r="B155" s="1074"/>
      <c r="C155" s="1075"/>
      <c r="D155" s="1075"/>
      <c r="E155" s="1075"/>
      <c r="F155" s="1075"/>
      <c r="G155" s="1076"/>
      <c r="H155" s="983"/>
      <c r="I155" s="1277"/>
      <c r="J155" s="1277"/>
      <c r="K155" s="1278"/>
      <c r="L155" s="984"/>
      <c r="M155" s="985"/>
      <c r="N155" s="985"/>
      <c r="O155" s="985"/>
      <c r="P155" s="985"/>
      <c r="Q155" s="978"/>
      <c r="R155" s="972"/>
      <c r="S155" s="973"/>
      <c r="T155" s="1377"/>
      <c r="U155" s="1339"/>
      <c r="V155" s="72">
        <f>IF(AND(X155+W155&gt;=2,I139=""),1,0)</f>
        <v>0</v>
      </c>
      <c r="W155" s="72">
        <f>IF(AND($B$129=$T$19,I155=""),1,0)</f>
        <v>0</v>
      </c>
      <c r="X155" s="72">
        <f>IF(H149="ja",1,0)</f>
        <v>1</v>
      </c>
      <c r="AC155" s="72">
        <f t="shared" si="2"/>
        <v>0</v>
      </c>
    </row>
    <row r="156" spans="1:31" ht="14.25" customHeight="1" x14ac:dyDescent="0.25">
      <c r="A156" s="1053" t="s">
        <v>210</v>
      </c>
      <c r="B156" s="1092" t="s">
        <v>211</v>
      </c>
      <c r="C156" s="1093"/>
      <c r="D156" s="1093"/>
      <c r="E156" s="1093"/>
      <c r="F156" s="1093"/>
      <c r="G156" s="1094"/>
      <c r="H156" s="981" t="s">
        <v>99</v>
      </c>
      <c r="I156" s="1056">
        <f>IF(I52="Gebäude",W156,X156)</f>
        <v>0.03</v>
      </c>
      <c r="J156" s="1058">
        <f>I156*I129</f>
        <v>0</v>
      </c>
      <c r="K156" s="1059"/>
      <c r="L156" s="984" t="s">
        <v>997</v>
      </c>
      <c r="M156" s="985"/>
      <c r="N156" s="985"/>
      <c r="O156" s="985"/>
      <c r="P156" s="985"/>
      <c r="Q156" s="978" t="s">
        <v>99</v>
      </c>
      <c r="R156" s="972"/>
      <c r="S156" s="973"/>
      <c r="T156" s="1377"/>
      <c r="U156" s="1339"/>
      <c r="V156" s="72">
        <f>IF(AND(Q156="ja",R156=""),1,0)</f>
        <v>1</v>
      </c>
      <c r="W156" s="74">
        <f>IF(H156="ja",Z156,0)</f>
        <v>0.03</v>
      </c>
      <c r="X156" s="74">
        <f>IF(H156="ja",AA156,0)</f>
        <v>1.2500000000000001E-2</v>
      </c>
      <c r="Y156" s="72" t="s">
        <v>194</v>
      </c>
      <c r="Z156" s="77">
        <v>0.03</v>
      </c>
      <c r="AA156" s="77">
        <v>1.2500000000000001E-2</v>
      </c>
      <c r="AC156" s="72">
        <f t="shared" si="2"/>
        <v>1</v>
      </c>
    </row>
    <row r="157" spans="1:31" ht="14.25" customHeight="1" x14ac:dyDescent="0.25">
      <c r="A157" s="1053"/>
      <c r="B157" s="1109"/>
      <c r="C157" s="1110"/>
      <c r="D157" s="1110"/>
      <c r="E157" s="1110"/>
      <c r="F157" s="1110"/>
      <c r="G157" s="1111"/>
      <c r="H157" s="982"/>
      <c r="I157" s="1057"/>
      <c r="J157" s="1060"/>
      <c r="K157" s="1061"/>
      <c r="L157" s="984"/>
      <c r="M157" s="985"/>
      <c r="N157" s="985"/>
      <c r="O157" s="985"/>
      <c r="P157" s="985"/>
      <c r="Q157" s="978"/>
      <c r="R157" s="972"/>
      <c r="S157" s="973"/>
      <c r="T157" s="1377"/>
      <c r="U157" s="1339"/>
      <c r="W157" s="76"/>
      <c r="X157" s="76"/>
      <c r="Z157" s="77"/>
      <c r="AC157" s="72">
        <f t="shared" si="2"/>
        <v>0</v>
      </c>
    </row>
    <row r="158" spans="1:31" ht="14.25" customHeight="1" x14ac:dyDescent="0.25">
      <c r="A158" s="1053"/>
      <c r="B158" s="1109"/>
      <c r="C158" s="1110"/>
      <c r="D158" s="1110"/>
      <c r="E158" s="1110"/>
      <c r="F158" s="1110"/>
      <c r="G158" s="1111"/>
      <c r="H158" s="982"/>
      <c r="I158" s="1057"/>
      <c r="J158" s="1060"/>
      <c r="K158" s="1061"/>
      <c r="L158" s="984"/>
      <c r="M158" s="985"/>
      <c r="N158" s="985"/>
      <c r="O158" s="985"/>
      <c r="P158" s="985"/>
      <c r="Q158" s="978"/>
      <c r="R158" s="972"/>
      <c r="S158" s="973"/>
      <c r="T158" s="1377"/>
      <c r="U158" s="1339"/>
      <c r="W158" s="76"/>
      <c r="X158" s="76"/>
      <c r="Z158" s="77"/>
      <c r="AC158" s="72">
        <f t="shared" si="2"/>
        <v>0</v>
      </c>
    </row>
    <row r="159" spans="1:31" ht="14.25" customHeight="1" x14ac:dyDescent="0.25">
      <c r="A159" s="1053"/>
      <c r="B159" s="1095"/>
      <c r="C159" s="1096"/>
      <c r="D159" s="1096"/>
      <c r="E159" s="1096"/>
      <c r="F159" s="1096"/>
      <c r="G159" s="1097"/>
      <c r="H159" s="983"/>
      <c r="I159" s="1062"/>
      <c r="J159" s="1062"/>
      <c r="K159" s="1063"/>
      <c r="L159" s="984"/>
      <c r="M159" s="985"/>
      <c r="N159" s="985"/>
      <c r="O159" s="985"/>
      <c r="P159" s="985"/>
      <c r="Q159" s="978"/>
      <c r="R159" s="972"/>
      <c r="S159" s="973"/>
      <c r="T159" s="1377"/>
      <c r="U159" s="1339"/>
      <c r="V159" s="72">
        <f>IF(AND(X159+W159&gt;=2,I159=""),1,0)</f>
        <v>0</v>
      </c>
      <c r="W159" s="72">
        <f>IF(AND($B$129=$T$19,I159=""),1,0)</f>
        <v>0</v>
      </c>
      <c r="X159" s="72">
        <f>IF(H156="ja",1,0)</f>
        <v>1</v>
      </c>
      <c r="AC159" s="72">
        <f t="shared" si="2"/>
        <v>0</v>
      </c>
    </row>
    <row r="160" spans="1:31" ht="14.25" customHeight="1" x14ac:dyDescent="0.25">
      <c r="A160" s="1053" t="s">
        <v>212</v>
      </c>
      <c r="B160" s="1077" t="s">
        <v>197</v>
      </c>
      <c r="C160" s="1078"/>
      <c r="D160" s="1078"/>
      <c r="E160" s="1078"/>
      <c r="F160" s="1078"/>
      <c r="G160" s="1079"/>
      <c r="H160" s="981" t="s">
        <v>99</v>
      </c>
      <c r="I160" s="877">
        <f>IF(I52="Gebäude",W161,X161)</f>
        <v>8.5000000000000006E-3</v>
      </c>
      <c r="J160" s="1279">
        <f>I160*I129</f>
        <v>0</v>
      </c>
      <c r="K160" s="1059"/>
      <c r="L160" s="1064"/>
      <c r="M160" s="1065"/>
      <c r="N160" s="1065"/>
      <c r="O160" s="1065"/>
      <c r="P160" s="1066"/>
      <c r="Q160" s="979"/>
      <c r="R160" s="1005"/>
      <c r="S160" s="1006"/>
      <c r="T160" s="1377"/>
      <c r="U160" s="1339"/>
      <c r="V160" s="72">
        <f>IF(AND(X160+W160&gt;=2,I161=""),1,0)</f>
        <v>0</v>
      </c>
      <c r="W160" s="72">
        <f>IF(AND($B$129=$T$19,I161=""),1,0)</f>
        <v>0</v>
      </c>
      <c r="X160" s="72">
        <f>IF(H160="ja",1,0)</f>
        <v>1</v>
      </c>
      <c r="AC160" s="72">
        <f t="shared" si="2"/>
        <v>0</v>
      </c>
    </row>
    <row r="161" spans="1:29" ht="14.25" customHeight="1" x14ac:dyDescent="0.25">
      <c r="A161" s="1053"/>
      <c r="B161" s="1074"/>
      <c r="C161" s="1075"/>
      <c r="D161" s="1075"/>
      <c r="E161" s="1075"/>
      <c r="F161" s="1075"/>
      <c r="G161" s="1076"/>
      <c r="H161" s="983"/>
      <c r="I161" s="1062"/>
      <c r="J161" s="1062"/>
      <c r="K161" s="1063"/>
      <c r="L161" s="1067"/>
      <c r="M161" s="2240"/>
      <c r="N161" s="2240"/>
      <c r="O161" s="2240"/>
      <c r="P161" s="1068"/>
      <c r="Q161" s="1003"/>
      <c r="R161" s="1007"/>
      <c r="S161" s="1008"/>
      <c r="T161" s="1377"/>
      <c r="U161" s="1339"/>
      <c r="V161" s="72">
        <f>IF(AND(Q160="ja",R160=""),1,0)</f>
        <v>0</v>
      </c>
      <c r="W161" s="74">
        <f>IF(H160="ja",Z161,0)</f>
        <v>8.5000000000000006E-3</v>
      </c>
      <c r="X161" s="74">
        <f>IF(H160="ja",AA161,0)</f>
        <v>5.0000000000000001E-3</v>
      </c>
      <c r="Y161" s="72" t="s">
        <v>167</v>
      </c>
      <c r="Z161" s="77">
        <v>8.5000000000000006E-3</v>
      </c>
      <c r="AA161" s="77">
        <v>5.0000000000000001E-3</v>
      </c>
      <c r="AC161" s="72">
        <f t="shared" si="2"/>
        <v>0</v>
      </c>
    </row>
    <row r="162" spans="1:29" ht="14.25" customHeight="1" x14ac:dyDescent="0.25">
      <c r="A162" s="1053" t="s">
        <v>213</v>
      </c>
      <c r="B162" s="1077" t="s">
        <v>214</v>
      </c>
      <c r="C162" s="1078"/>
      <c r="D162" s="1078"/>
      <c r="E162" s="1078"/>
      <c r="F162" s="1078"/>
      <c r="G162" s="1079"/>
      <c r="H162" s="1013" t="s">
        <v>99</v>
      </c>
      <c r="I162" s="1056">
        <f>IF(I52="Gebäude",W162,X162)</f>
        <v>4.0000000000000001E-3</v>
      </c>
      <c r="J162" s="1058">
        <f>I162*I129</f>
        <v>0</v>
      </c>
      <c r="K162" s="1059"/>
      <c r="L162" s="1067"/>
      <c r="M162" s="2240"/>
      <c r="N162" s="2240"/>
      <c r="O162" s="2240"/>
      <c r="P162" s="1068"/>
      <c r="Q162" s="1003"/>
      <c r="R162" s="1007"/>
      <c r="S162" s="1008"/>
      <c r="T162" s="1377"/>
      <c r="U162" s="1339"/>
      <c r="V162" s="72">
        <f>IF(AND(Q162="ja",R162=""),1,0)</f>
        <v>0</v>
      </c>
      <c r="W162" s="74">
        <f>IF(H162="ja",Z162,0)</f>
        <v>4.0000000000000001E-3</v>
      </c>
      <c r="X162" s="74">
        <f>IF(H162="ja",AA162,0)</f>
        <v>0.01</v>
      </c>
      <c r="Y162" s="72" t="s">
        <v>168</v>
      </c>
      <c r="Z162" s="77">
        <v>4.0000000000000001E-3</v>
      </c>
      <c r="AA162" s="77">
        <v>0.01</v>
      </c>
      <c r="AC162" s="72">
        <f t="shared" si="2"/>
        <v>0</v>
      </c>
    </row>
    <row r="163" spans="1:29" ht="14.25" customHeight="1" x14ac:dyDescent="0.25">
      <c r="A163" s="1053"/>
      <c r="B163" s="1072"/>
      <c r="C163" s="913"/>
      <c r="D163" s="913"/>
      <c r="E163" s="913"/>
      <c r="F163" s="913"/>
      <c r="G163" s="1073"/>
      <c r="H163" s="1013"/>
      <c r="I163" s="1057"/>
      <c r="J163" s="1060"/>
      <c r="K163" s="1061"/>
      <c r="L163" s="1067"/>
      <c r="M163" s="2240"/>
      <c r="N163" s="2240"/>
      <c r="O163" s="2240"/>
      <c r="P163" s="1068"/>
      <c r="Q163" s="1003"/>
      <c r="R163" s="1007"/>
      <c r="S163" s="1008"/>
      <c r="T163" s="1377"/>
      <c r="U163" s="1339"/>
      <c r="W163" s="76"/>
      <c r="X163" s="76"/>
      <c r="AC163" s="72">
        <f t="shared" si="2"/>
        <v>0</v>
      </c>
    </row>
    <row r="164" spans="1:29" ht="14.25" customHeight="1" x14ac:dyDescent="0.25">
      <c r="A164" s="1053"/>
      <c r="B164" s="1072"/>
      <c r="C164" s="913"/>
      <c r="D164" s="913"/>
      <c r="E164" s="913"/>
      <c r="F164" s="913"/>
      <c r="G164" s="1073"/>
      <c r="H164" s="1013"/>
      <c r="I164" s="1057"/>
      <c r="J164" s="1060"/>
      <c r="K164" s="1061"/>
      <c r="L164" s="1067"/>
      <c r="M164" s="2240"/>
      <c r="N164" s="2240"/>
      <c r="O164" s="2240"/>
      <c r="P164" s="1068"/>
      <c r="Q164" s="1003"/>
      <c r="R164" s="1007"/>
      <c r="S164" s="1008"/>
      <c r="T164" s="1377"/>
      <c r="U164" s="1339"/>
      <c r="W164" s="76"/>
      <c r="X164" s="76"/>
      <c r="AC164" s="72">
        <f t="shared" si="2"/>
        <v>0</v>
      </c>
    </row>
    <row r="165" spans="1:29" ht="14.25" customHeight="1" x14ac:dyDescent="0.25">
      <c r="A165" s="1053"/>
      <c r="B165" s="1072"/>
      <c r="C165" s="913"/>
      <c r="D165" s="913"/>
      <c r="E165" s="913"/>
      <c r="F165" s="913"/>
      <c r="G165" s="1073"/>
      <c r="H165" s="1013"/>
      <c r="I165" s="1062"/>
      <c r="J165" s="1062"/>
      <c r="K165" s="1063"/>
      <c r="L165" s="1067"/>
      <c r="M165" s="2240"/>
      <c r="N165" s="2240"/>
      <c r="O165" s="2240"/>
      <c r="P165" s="1068"/>
      <c r="Q165" s="1003"/>
      <c r="R165" s="1007"/>
      <c r="S165" s="1008"/>
      <c r="T165" s="1377"/>
      <c r="U165" s="1339"/>
      <c r="V165" s="72">
        <f>IF(AND(X165+W165&gt;=2,I165=""),1,0)</f>
        <v>0</v>
      </c>
      <c r="W165" s="72">
        <f>IF(AND($B$129=$T$19,I165=""),1,0)</f>
        <v>0</v>
      </c>
      <c r="X165" s="72">
        <f>IF(H162="ja",1,0)</f>
        <v>1</v>
      </c>
      <c r="AC165" s="72">
        <f t="shared" si="2"/>
        <v>0</v>
      </c>
    </row>
    <row r="166" spans="1:29" ht="14.25" customHeight="1" x14ac:dyDescent="0.25">
      <c r="A166" s="1053" t="s">
        <v>215</v>
      </c>
      <c r="B166" s="1077" t="s">
        <v>216</v>
      </c>
      <c r="C166" s="1078"/>
      <c r="D166" s="1078"/>
      <c r="E166" s="1078"/>
      <c r="F166" s="1078"/>
      <c r="G166" s="1079"/>
      <c r="H166" s="981" t="s">
        <v>99</v>
      </c>
      <c r="I166" s="1056">
        <f>IF(I52="Gebäude",W166,X166)</f>
        <v>1.2500000000000001E-2</v>
      </c>
      <c r="J166" s="1058">
        <f>I166*I129</f>
        <v>0</v>
      </c>
      <c r="K166" s="1059"/>
      <c r="L166" s="1067"/>
      <c r="M166" s="2240"/>
      <c r="N166" s="2240"/>
      <c r="O166" s="2240"/>
      <c r="P166" s="1068"/>
      <c r="Q166" s="1003"/>
      <c r="R166" s="1007"/>
      <c r="S166" s="1008"/>
      <c r="T166" s="1377"/>
      <c r="U166" s="1339"/>
      <c r="V166" s="72">
        <f>IF(AND(Q166="ja",R166=""),1,0)</f>
        <v>0</v>
      </c>
      <c r="W166" s="74">
        <f>IF(H166="ja",Z166,0)</f>
        <v>1.2500000000000001E-2</v>
      </c>
      <c r="X166" s="74">
        <f>IF(H166="ja",AA166,0)</f>
        <v>5.0000000000000001E-3</v>
      </c>
      <c r="Y166" s="72" t="s">
        <v>179</v>
      </c>
      <c r="Z166" s="77">
        <v>1.2500000000000001E-2</v>
      </c>
      <c r="AA166" s="77">
        <v>5.0000000000000001E-3</v>
      </c>
      <c r="AC166" s="72">
        <f t="shared" si="2"/>
        <v>0</v>
      </c>
    </row>
    <row r="167" spans="1:29" ht="14.25" customHeight="1" x14ac:dyDescent="0.25">
      <c r="A167" s="1053"/>
      <c r="B167" s="1072"/>
      <c r="C167" s="913"/>
      <c r="D167" s="913"/>
      <c r="E167" s="913"/>
      <c r="F167" s="913"/>
      <c r="G167" s="1073"/>
      <c r="H167" s="982"/>
      <c r="I167" s="1057"/>
      <c r="J167" s="1060"/>
      <c r="K167" s="1061"/>
      <c r="L167" s="1067"/>
      <c r="M167" s="2240"/>
      <c r="N167" s="2240"/>
      <c r="O167" s="2240"/>
      <c r="P167" s="1068"/>
      <c r="Q167" s="1003"/>
      <c r="R167" s="1007"/>
      <c r="S167" s="1008"/>
      <c r="T167" s="1377"/>
      <c r="U167" s="1339"/>
      <c r="W167" s="76"/>
      <c r="X167" s="76"/>
      <c r="AC167" s="72">
        <f t="shared" si="2"/>
        <v>0</v>
      </c>
    </row>
    <row r="168" spans="1:29" ht="14.25" customHeight="1" x14ac:dyDescent="0.25">
      <c r="A168" s="1053"/>
      <c r="B168" s="1072"/>
      <c r="C168" s="913"/>
      <c r="D168" s="913"/>
      <c r="E168" s="913"/>
      <c r="F168" s="913"/>
      <c r="G168" s="1073"/>
      <c r="H168" s="982"/>
      <c r="I168" s="1057"/>
      <c r="J168" s="1060"/>
      <c r="K168" s="1061"/>
      <c r="L168" s="1067"/>
      <c r="M168" s="2240"/>
      <c r="N168" s="2240"/>
      <c r="O168" s="2240"/>
      <c r="P168" s="1068"/>
      <c r="Q168" s="1003"/>
      <c r="R168" s="1007"/>
      <c r="S168" s="1008"/>
      <c r="T168" s="1377"/>
      <c r="U168" s="1339"/>
      <c r="W168" s="76"/>
      <c r="X168" s="76"/>
      <c r="AC168" s="72">
        <f t="shared" si="2"/>
        <v>0</v>
      </c>
    </row>
    <row r="169" spans="1:29" ht="14.25" customHeight="1" x14ac:dyDescent="0.25">
      <c r="A169" s="1053"/>
      <c r="B169" s="1072"/>
      <c r="C169" s="913"/>
      <c r="D169" s="913"/>
      <c r="E169" s="913"/>
      <c r="F169" s="913"/>
      <c r="G169" s="1073"/>
      <c r="H169" s="982"/>
      <c r="I169" s="1057"/>
      <c r="J169" s="1060"/>
      <c r="K169" s="1061"/>
      <c r="L169" s="1067"/>
      <c r="M169" s="2240"/>
      <c r="N169" s="2240"/>
      <c r="O169" s="2240"/>
      <c r="P169" s="1068"/>
      <c r="Q169" s="1003"/>
      <c r="R169" s="1007"/>
      <c r="S169" s="1008"/>
      <c r="T169" s="1377"/>
      <c r="U169" s="1339"/>
      <c r="W169" s="76"/>
      <c r="X169" s="76"/>
      <c r="AC169" s="72">
        <f t="shared" si="2"/>
        <v>0</v>
      </c>
    </row>
    <row r="170" spans="1:29" ht="14.25" customHeight="1" thickBot="1" x14ac:dyDescent="0.3">
      <c r="A170" s="1053"/>
      <c r="B170" s="1072"/>
      <c r="C170" s="913"/>
      <c r="D170" s="913"/>
      <c r="E170" s="913"/>
      <c r="F170" s="913"/>
      <c r="G170" s="1073"/>
      <c r="H170" s="1304"/>
      <c r="I170" s="1062"/>
      <c r="J170" s="1062"/>
      <c r="K170" s="1063"/>
      <c r="L170" s="1069"/>
      <c r="M170" s="1070"/>
      <c r="N170" s="1070"/>
      <c r="O170" s="1070"/>
      <c r="P170" s="1071"/>
      <c r="Q170" s="1004"/>
      <c r="R170" s="1009"/>
      <c r="S170" s="1010"/>
      <c r="T170" s="1794"/>
      <c r="U170" s="1340"/>
      <c r="V170" s="72">
        <f>IF(AND(X170+W170&gt;=2,I170=""),1,0)</f>
        <v>0</v>
      </c>
      <c r="W170" s="443">
        <f>IF(AND($B$129=$T$19,I170=""),1,0)</f>
        <v>0</v>
      </c>
      <c r="X170" s="72">
        <f>IF(H166="ja",1,0)</f>
        <v>1</v>
      </c>
      <c r="AC170" s="72">
        <f t="shared" si="2"/>
        <v>0</v>
      </c>
    </row>
    <row r="171" spans="1:29" ht="14.25" customHeight="1" thickBot="1" x14ac:dyDescent="0.3">
      <c r="A171" s="1390" t="s">
        <v>217</v>
      </c>
      <c r="B171" s="1082" t="s">
        <v>218</v>
      </c>
      <c r="C171" s="1083"/>
      <c r="D171" s="1083"/>
      <c r="E171" s="1083"/>
      <c r="F171" s="1083"/>
      <c r="G171" s="1084"/>
      <c r="H171" s="144"/>
      <c r="I171" s="1050"/>
      <c r="J171" s="1051"/>
      <c r="K171" s="1052"/>
      <c r="L171" s="1367">
        <f>SUM(R143:S170)</f>
        <v>0</v>
      </c>
      <c r="M171" s="1368"/>
      <c r="N171" s="1368"/>
      <c r="O171" s="1368"/>
      <c r="P171" s="1368"/>
      <c r="Q171" s="212"/>
      <c r="R171" s="1302"/>
      <c r="S171" s="1303"/>
      <c r="T171" s="525"/>
      <c r="U171" s="335" t="s">
        <v>157</v>
      </c>
      <c r="W171" s="443">
        <f>IF(AND($B$129=$T$19,I171=""),1,0)</f>
        <v>0</v>
      </c>
      <c r="X171" s="443">
        <f>G197</f>
        <v>1</v>
      </c>
      <c r="Y171" s="150" t="s">
        <v>219</v>
      </c>
      <c r="Z171" s="150"/>
      <c r="AA171" s="150"/>
      <c r="AC171" s="72">
        <f t="shared" si="2"/>
        <v>0</v>
      </c>
    </row>
    <row r="172" spans="1:29" ht="14.25" customHeight="1" thickBot="1" x14ac:dyDescent="0.3">
      <c r="A172" s="1390"/>
      <c r="B172" s="1305" t="s">
        <v>220</v>
      </c>
      <c r="C172" s="1306"/>
      <c r="D172" s="1306"/>
      <c r="E172" s="1306"/>
      <c r="F172" s="1306"/>
      <c r="G172" s="1307"/>
      <c r="H172" s="326" t="s">
        <v>100</v>
      </c>
      <c r="I172" s="1016">
        <f>IF(I52="Gebäude",W196,X196)</f>
        <v>3.5000000000000001E-3</v>
      </c>
      <c r="J172" s="1044">
        <f>I172*$I$129</f>
        <v>0</v>
      </c>
      <c r="K172" s="1045"/>
      <c r="L172" s="987" t="s">
        <v>223</v>
      </c>
      <c r="M172" s="988"/>
      <c r="N172" s="988"/>
      <c r="O172" s="988"/>
      <c r="P172" s="988"/>
      <c r="Q172" s="1366" t="s">
        <v>99</v>
      </c>
      <c r="R172" s="1025"/>
      <c r="S172" s="1026"/>
      <c r="T172" s="1257" t="str">
        <f>IFERROR(IF((VLOOKUP(U172,Überblick!$M$125:$N$133,2))="ja","ja","nein"),"")</f>
        <v/>
      </c>
      <c r="U172" s="1337"/>
      <c r="V172" s="72">
        <f>IF(AND(Q172="ja",R172=""),1,0)</f>
        <v>1</v>
      </c>
      <c r="W172" s="74">
        <f>IF(H172="ja",Z172,0)</f>
        <v>0</v>
      </c>
      <c r="X172" s="74">
        <f>IF(H172="ja",AA172,0)</f>
        <v>0</v>
      </c>
      <c r="Y172" s="72" t="s">
        <v>189</v>
      </c>
      <c r="Z172" s="77">
        <v>2E-3</v>
      </c>
      <c r="AA172" s="77">
        <v>1E-3</v>
      </c>
      <c r="AC172" s="72">
        <f t="shared" si="2"/>
        <v>1</v>
      </c>
    </row>
    <row r="173" spans="1:29" ht="14.25" customHeight="1" thickBot="1" x14ac:dyDescent="0.3">
      <c r="A173" s="1390"/>
      <c r="B173" s="1072" t="s">
        <v>221</v>
      </c>
      <c r="C173" s="913"/>
      <c r="D173" s="913"/>
      <c r="E173" s="913"/>
      <c r="F173" s="913"/>
      <c r="G173" s="1073"/>
      <c r="H173" s="986" t="s">
        <v>100</v>
      </c>
      <c r="I173" s="1017"/>
      <c r="J173" s="1046"/>
      <c r="K173" s="1047"/>
      <c r="L173" s="984"/>
      <c r="M173" s="985"/>
      <c r="N173" s="985"/>
      <c r="O173" s="985"/>
      <c r="P173" s="985"/>
      <c r="Q173" s="978"/>
      <c r="R173" s="972"/>
      <c r="S173" s="973"/>
      <c r="T173" s="1258"/>
      <c r="U173" s="1337"/>
      <c r="W173" s="74">
        <f>IF(H173="ja",Z173,0)</f>
        <v>0</v>
      </c>
      <c r="X173" s="74">
        <f>IF(H173="ja",AA173,0)</f>
        <v>0</v>
      </c>
      <c r="Y173" s="72" t="s">
        <v>163</v>
      </c>
      <c r="Z173" s="77">
        <v>7.5999999999999998E-2</v>
      </c>
      <c r="AA173" s="77">
        <v>5.5E-2</v>
      </c>
      <c r="AC173" s="72">
        <f t="shared" si="2"/>
        <v>0</v>
      </c>
    </row>
    <row r="174" spans="1:29" ht="14.25" customHeight="1" thickBot="1" x14ac:dyDescent="0.3">
      <c r="A174" s="1390"/>
      <c r="B174" s="1072"/>
      <c r="C174" s="913"/>
      <c r="D174" s="913"/>
      <c r="E174" s="913"/>
      <c r="F174" s="913"/>
      <c r="G174" s="1073"/>
      <c r="H174" s="986"/>
      <c r="I174" s="1017"/>
      <c r="J174" s="1046"/>
      <c r="K174" s="1047"/>
      <c r="L174" s="984"/>
      <c r="M174" s="985"/>
      <c r="N174" s="985"/>
      <c r="O174" s="985"/>
      <c r="P174" s="985"/>
      <c r="Q174" s="978"/>
      <c r="R174" s="972"/>
      <c r="S174" s="973"/>
      <c r="T174" s="1258"/>
      <c r="U174" s="1337"/>
      <c r="W174" s="76"/>
      <c r="X174" s="76"/>
      <c r="AC174" s="72">
        <f t="shared" si="2"/>
        <v>0</v>
      </c>
    </row>
    <row r="175" spans="1:29" ht="14.25" customHeight="1" thickBot="1" x14ac:dyDescent="0.3">
      <c r="A175" s="1390"/>
      <c r="B175" s="1072"/>
      <c r="C175" s="913"/>
      <c r="D175" s="913"/>
      <c r="E175" s="913"/>
      <c r="F175" s="913"/>
      <c r="G175" s="1073"/>
      <c r="H175" s="986"/>
      <c r="I175" s="1017"/>
      <c r="J175" s="1046"/>
      <c r="K175" s="1047"/>
      <c r="L175" s="1484" t="s">
        <v>225</v>
      </c>
      <c r="M175" s="1485"/>
      <c r="N175" s="1485"/>
      <c r="O175" s="1485"/>
      <c r="P175" s="1486"/>
      <c r="Q175" s="979" t="s">
        <v>99</v>
      </c>
      <c r="R175" s="1005"/>
      <c r="S175" s="1006"/>
      <c r="T175" s="1258"/>
      <c r="U175" s="1337"/>
      <c r="V175" s="72">
        <f>IF(AND(Q175="ja",R175=""),1,0)</f>
        <v>1</v>
      </c>
      <c r="W175" s="76"/>
      <c r="X175" s="76"/>
      <c r="AC175" s="72">
        <f t="shared" si="2"/>
        <v>1</v>
      </c>
    </row>
    <row r="176" spans="1:29" ht="14.25" customHeight="1" thickBot="1" x14ac:dyDescent="0.3">
      <c r="A176" s="1390"/>
      <c r="B176" s="1072"/>
      <c r="C176" s="913"/>
      <c r="D176" s="913"/>
      <c r="E176" s="913"/>
      <c r="F176" s="913"/>
      <c r="G176" s="1073"/>
      <c r="H176" s="986"/>
      <c r="I176" s="1017"/>
      <c r="J176" s="1046"/>
      <c r="K176" s="1047"/>
      <c r="L176" s="1288"/>
      <c r="M176" s="2227"/>
      <c r="N176" s="2227"/>
      <c r="O176" s="2227"/>
      <c r="P176" s="1290"/>
      <c r="Q176" s="1003"/>
      <c r="R176" s="1007"/>
      <c r="S176" s="1008"/>
      <c r="T176" s="1258"/>
      <c r="U176" s="1337"/>
      <c r="W176" s="76"/>
      <c r="X176" s="76"/>
      <c r="AC176" s="72">
        <f t="shared" si="2"/>
        <v>0</v>
      </c>
    </row>
    <row r="177" spans="1:29" ht="14.25" customHeight="1" thickBot="1" x14ac:dyDescent="0.3">
      <c r="A177" s="1390"/>
      <c r="B177" s="1074"/>
      <c r="C177" s="1075"/>
      <c r="D177" s="1075"/>
      <c r="E177" s="1075"/>
      <c r="F177" s="1075"/>
      <c r="G177" s="1076"/>
      <c r="H177" s="986"/>
      <c r="I177" s="1017"/>
      <c r="J177" s="1046"/>
      <c r="K177" s="1047"/>
      <c r="L177" s="1288"/>
      <c r="M177" s="2227"/>
      <c r="N177" s="2227"/>
      <c r="O177" s="2227"/>
      <c r="P177" s="1290"/>
      <c r="Q177" s="1003"/>
      <c r="R177" s="1007"/>
      <c r="S177" s="1008"/>
      <c r="T177" s="1258"/>
      <c r="U177" s="1337"/>
      <c r="W177" s="76"/>
      <c r="X177" s="76"/>
      <c r="AC177" s="72">
        <f t="shared" si="2"/>
        <v>0</v>
      </c>
    </row>
    <row r="178" spans="1:29" ht="21" customHeight="1" thickBot="1" x14ac:dyDescent="0.3">
      <c r="A178" s="1390"/>
      <c r="B178" s="1072" t="s">
        <v>222</v>
      </c>
      <c r="C178" s="913"/>
      <c r="D178" s="913"/>
      <c r="E178" s="913"/>
      <c r="F178" s="913"/>
      <c r="G178" s="1073"/>
      <c r="H178" s="986" t="s">
        <v>99</v>
      </c>
      <c r="I178" s="1017"/>
      <c r="J178" s="1046"/>
      <c r="K178" s="1047"/>
      <c r="L178" s="1288"/>
      <c r="M178" s="2227"/>
      <c r="N178" s="2227"/>
      <c r="O178" s="2227"/>
      <c r="P178" s="1290"/>
      <c r="Q178" s="1003"/>
      <c r="R178" s="1007"/>
      <c r="S178" s="1008"/>
      <c r="T178" s="1258"/>
      <c r="U178" s="1337"/>
      <c r="V178" s="72">
        <f>IF(AND(Q178="ja",R178=""),1,0)</f>
        <v>0</v>
      </c>
      <c r="W178" s="74">
        <f>IF(H178="ja",Z178,0)</f>
        <v>3.5000000000000001E-3</v>
      </c>
      <c r="X178" s="74">
        <f>IF(H178="ja",AA178,0)</f>
        <v>2.5000000000000001E-3</v>
      </c>
      <c r="Y178" s="72" t="s">
        <v>194</v>
      </c>
      <c r="Z178" s="77">
        <v>3.5000000000000001E-3</v>
      </c>
      <c r="AA178" s="77">
        <v>2.5000000000000001E-3</v>
      </c>
      <c r="AC178" s="72">
        <f t="shared" si="2"/>
        <v>0</v>
      </c>
    </row>
    <row r="179" spans="1:29" ht="14.25" customHeight="1" thickBot="1" x14ac:dyDescent="0.3">
      <c r="A179" s="1390"/>
      <c r="B179" s="1072"/>
      <c r="C179" s="913"/>
      <c r="D179" s="913"/>
      <c r="E179" s="913"/>
      <c r="F179" s="913"/>
      <c r="G179" s="1073"/>
      <c r="H179" s="986"/>
      <c r="I179" s="1017"/>
      <c r="J179" s="1046"/>
      <c r="K179" s="1047"/>
      <c r="L179" s="1288"/>
      <c r="M179" s="2227"/>
      <c r="N179" s="2227"/>
      <c r="O179" s="2227"/>
      <c r="P179" s="1290"/>
      <c r="Q179" s="1003"/>
      <c r="R179" s="1007"/>
      <c r="S179" s="1008"/>
      <c r="T179" s="1258"/>
      <c r="U179" s="1337"/>
      <c r="V179" s="72">
        <f>IF(AND(Q179="ja",R179=""),1,0)</f>
        <v>0</v>
      </c>
      <c r="W179" s="76"/>
      <c r="X179" s="76"/>
      <c r="AC179" s="72">
        <f t="shared" si="2"/>
        <v>0</v>
      </c>
    </row>
    <row r="180" spans="1:29" ht="14.25" customHeight="1" thickBot="1" x14ac:dyDescent="0.3">
      <c r="A180" s="1390"/>
      <c r="B180" s="1074"/>
      <c r="C180" s="1075"/>
      <c r="D180" s="1075"/>
      <c r="E180" s="1075"/>
      <c r="F180" s="1075"/>
      <c r="G180" s="1076"/>
      <c r="H180" s="986"/>
      <c r="I180" s="1017"/>
      <c r="J180" s="1046"/>
      <c r="K180" s="1047"/>
      <c r="L180" s="1288"/>
      <c r="M180" s="2227"/>
      <c r="N180" s="2227"/>
      <c r="O180" s="2227"/>
      <c r="P180" s="1290"/>
      <c r="Q180" s="1003"/>
      <c r="R180" s="1007"/>
      <c r="S180" s="1008"/>
      <c r="T180" s="1258"/>
      <c r="U180" s="1337"/>
      <c r="W180" s="76"/>
      <c r="X180" s="76"/>
      <c r="AC180" s="72">
        <f t="shared" si="2"/>
        <v>0</v>
      </c>
    </row>
    <row r="181" spans="1:29" ht="14.25" customHeight="1" thickBot="1" x14ac:dyDescent="0.3">
      <c r="A181" s="1390"/>
      <c r="B181" s="1072" t="s">
        <v>224</v>
      </c>
      <c r="C181" s="913"/>
      <c r="D181" s="913"/>
      <c r="E181" s="913"/>
      <c r="F181" s="913"/>
      <c r="G181" s="1073"/>
      <c r="H181" s="986" t="s">
        <v>100</v>
      </c>
      <c r="I181" s="1017"/>
      <c r="J181" s="1046"/>
      <c r="K181" s="1047"/>
      <c r="L181" s="1288"/>
      <c r="M181" s="2227"/>
      <c r="N181" s="2227"/>
      <c r="O181" s="2227"/>
      <c r="P181" s="1290"/>
      <c r="Q181" s="1003"/>
      <c r="R181" s="1007"/>
      <c r="S181" s="1008"/>
      <c r="T181" s="1258"/>
      <c r="U181" s="1337"/>
      <c r="W181" s="74">
        <f>IF(H181="ja",Z181,0)</f>
        <v>0</v>
      </c>
      <c r="X181" s="74">
        <f>IF(H181="ja",AA181,0)</f>
        <v>0</v>
      </c>
      <c r="Y181" s="72" t="s">
        <v>167</v>
      </c>
      <c r="Z181" s="77">
        <v>1.4999999999999999E-2</v>
      </c>
      <c r="AA181" s="77">
        <v>8.0000000000000002E-3</v>
      </c>
      <c r="AC181" s="72">
        <f t="shared" si="2"/>
        <v>0</v>
      </c>
    </row>
    <row r="182" spans="1:29" ht="14.25" customHeight="1" thickBot="1" x14ac:dyDescent="0.3">
      <c r="A182" s="1390"/>
      <c r="B182" s="1074"/>
      <c r="C182" s="1075"/>
      <c r="D182" s="1075"/>
      <c r="E182" s="1075"/>
      <c r="F182" s="1075"/>
      <c r="G182" s="1076"/>
      <c r="H182" s="986"/>
      <c r="I182" s="1017"/>
      <c r="J182" s="1046"/>
      <c r="K182" s="1047"/>
      <c r="L182" s="1288"/>
      <c r="M182" s="2227"/>
      <c r="N182" s="2227"/>
      <c r="O182" s="2227"/>
      <c r="P182" s="1290"/>
      <c r="Q182" s="1003"/>
      <c r="R182" s="1007"/>
      <c r="S182" s="1008"/>
      <c r="T182" s="1258"/>
      <c r="U182" s="1337"/>
      <c r="V182" s="72">
        <f>IF(AND(Q182="ja",R182=""),1,0)</f>
        <v>0</v>
      </c>
      <c r="W182" s="76"/>
      <c r="X182" s="76"/>
      <c r="AC182" s="72">
        <f t="shared" si="2"/>
        <v>0</v>
      </c>
    </row>
    <row r="183" spans="1:29" ht="14.25" customHeight="1" thickBot="1" x14ac:dyDescent="0.3">
      <c r="A183" s="1390"/>
      <c r="B183" s="1072" t="s">
        <v>226</v>
      </c>
      <c r="C183" s="913"/>
      <c r="D183" s="913"/>
      <c r="E183" s="913"/>
      <c r="F183" s="913"/>
      <c r="G183" s="1073"/>
      <c r="H183" s="986" t="s">
        <v>100</v>
      </c>
      <c r="I183" s="1017"/>
      <c r="J183" s="1046"/>
      <c r="K183" s="1047"/>
      <c r="L183" s="1288"/>
      <c r="M183" s="2227"/>
      <c r="N183" s="2227"/>
      <c r="O183" s="2227"/>
      <c r="P183" s="1290"/>
      <c r="Q183" s="1003"/>
      <c r="R183" s="1007"/>
      <c r="S183" s="1008"/>
      <c r="T183" s="1258"/>
      <c r="U183" s="1337"/>
      <c r="W183" s="74">
        <f>IF(H183="ja",Z183,0)</f>
        <v>0</v>
      </c>
      <c r="X183" s="74">
        <f>IF(H183="ja",AA183,0)</f>
        <v>0</v>
      </c>
      <c r="Y183" s="72" t="s">
        <v>168</v>
      </c>
      <c r="Z183" s="77">
        <v>2.5000000000000001E-3</v>
      </c>
      <c r="AA183" s="77">
        <v>2E-3</v>
      </c>
      <c r="AC183" s="72">
        <f t="shared" si="2"/>
        <v>0</v>
      </c>
    </row>
    <row r="184" spans="1:29" ht="14.25" customHeight="1" thickBot="1" x14ac:dyDescent="0.3">
      <c r="A184" s="1390"/>
      <c r="B184" s="1072"/>
      <c r="C184" s="913"/>
      <c r="D184" s="913"/>
      <c r="E184" s="913"/>
      <c r="F184" s="913"/>
      <c r="G184" s="1073"/>
      <c r="H184" s="986"/>
      <c r="I184" s="1017"/>
      <c r="J184" s="1046"/>
      <c r="K184" s="1047"/>
      <c r="L184" s="1288"/>
      <c r="M184" s="2227"/>
      <c r="N184" s="2227"/>
      <c r="O184" s="2227"/>
      <c r="P184" s="1290"/>
      <c r="Q184" s="1003"/>
      <c r="R184" s="1007"/>
      <c r="S184" s="1008"/>
      <c r="T184" s="1258"/>
      <c r="U184" s="1337"/>
      <c r="W184" s="74"/>
      <c r="X184" s="74"/>
      <c r="Z184" s="77"/>
      <c r="AA184" s="77"/>
      <c r="AC184" s="72">
        <f t="shared" si="2"/>
        <v>0</v>
      </c>
    </row>
    <row r="185" spans="1:29" ht="14.25" customHeight="1" thickBot="1" x14ac:dyDescent="0.3">
      <c r="A185" s="1390"/>
      <c r="B185" s="1072"/>
      <c r="C185" s="913"/>
      <c r="D185" s="913"/>
      <c r="E185" s="913"/>
      <c r="F185" s="913"/>
      <c r="G185" s="1073"/>
      <c r="H185" s="986"/>
      <c r="I185" s="1017"/>
      <c r="J185" s="1046"/>
      <c r="K185" s="1047"/>
      <c r="L185" s="1291"/>
      <c r="M185" s="1292"/>
      <c r="N185" s="1292"/>
      <c r="O185" s="1292"/>
      <c r="P185" s="1293"/>
      <c r="Q185" s="1295"/>
      <c r="R185" s="1269"/>
      <c r="S185" s="1270"/>
      <c r="T185" s="1258"/>
      <c r="U185" s="1337"/>
      <c r="W185" s="74"/>
      <c r="X185" s="74"/>
      <c r="Z185" s="77"/>
      <c r="AA185" s="77"/>
      <c r="AC185" s="72">
        <f t="shared" si="2"/>
        <v>0</v>
      </c>
    </row>
    <row r="186" spans="1:29" ht="14.25" customHeight="1" thickBot="1" x14ac:dyDescent="0.3">
      <c r="A186" s="1390"/>
      <c r="B186" s="1072"/>
      <c r="C186" s="913"/>
      <c r="D186" s="913"/>
      <c r="E186" s="913"/>
      <c r="F186" s="913"/>
      <c r="G186" s="1073"/>
      <c r="H186" s="986"/>
      <c r="I186" s="1017"/>
      <c r="J186" s="1046"/>
      <c r="K186" s="1047"/>
      <c r="L186" s="1174" t="s">
        <v>228</v>
      </c>
      <c r="M186" s="1175"/>
      <c r="N186" s="1175"/>
      <c r="O186" s="1175"/>
      <c r="P186" s="1176"/>
      <c r="Q186" s="979" t="s">
        <v>99</v>
      </c>
      <c r="R186" s="1005"/>
      <c r="S186" s="1006"/>
      <c r="T186" s="1258"/>
      <c r="U186" s="1337"/>
      <c r="W186" s="74"/>
      <c r="X186" s="74"/>
      <c r="Z186" s="77"/>
      <c r="AA186" s="77"/>
      <c r="AC186" s="72">
        <f>IF(Q187="ja",1,0)</f>
        <v>0</v>
      </c>
    </row>
    <row r="187" spans="1:29" ht="14.25" customHeight="1" thickBot="1" x14ac:dyDescent="0.3">
      <c r="A187" s="1390"/>
      <c r="B187" s="1072"/>
      <c r="C187" s="913"/>
      <c r="D187" s="913"/>
      <c r="E187" s="913"/>
      <c r="F187" s="913"/>
      <c r="G187" s="1073"/>
      <c r="H187" s="986"/>
      <c r="I187" s="1017"/>
      <c r="J187" s="1046"/>
      <c r="K187" s="1047"/>
      <c r="L187" s="1873"/>
      <c r="M187" s="2252"/>
      <c r="N187" s="2252"/>
      <c r="O187" s="2252"/>
      <c r="P187" s="1875"/>
      <c r="Q187" s="1003"/>
      <c r="R187" s="1007"/>
      <c r="S187" s="1008"/>
      <c r="T187" s="1258"/>
      <c r="U187" s="1337"/>
      <c r="W187" s="74"/>
      <c r="X187" s="74"/>
      <c r="Z187" s="77"/>
      <c r="AA187" s="77"/>
      <c r="AC187" s="72" t="e">
        <f>IF(#REF!="ja",1,0)</f>
        <v>#REF!</v>
      </c>
    </row>
    <row r="188" spans="1:29" ht="14.25" customHeight="1" thickBot="1" x14ac:dyDescent="0.3">
      <c r="A188" s="1390"/>
      <c r="B188" s="1072"/>
      <c r="C188" s="913"/>
      <c r="D188" s="913"/>
      <c r="E188" s="913"/>
      <c r="F188" s="913"/>
      <c r="G188" s="1073"/>
      <c r="H188" s="986"/>
      <c r="I188" s="1017"/>
      <c r="J188" s="1046"/>
      <c r="K188" s="1047"/>
      <c r="L188" s="1873"/>
      <c r="M188" s="2252"/>
      <c r="N188" s="2252"/>
      <c r="O188" s="2252"/>
      <c r="P188" s="1875"/>
      <c r="Q188" s="1003"/>
      <c r="R188" s="1007"/>
      <c r="S188" s="1008"/>
      <c r="T188" s="1258"/>
      <c r="U188" s="1337"/>
      <c r="W188" s="74"/>
      <c r="X188" s="74"/>
      <c r="Z188" s="77"/>
      <c r="AA188" s="77"/>
      <c r="AC188" s="72">
        <f t="shared" si="2"/>
        <v>0</v>
      </c>
    </row>
    <row r="189" spans="1:29" ht="14.25" customHeight="1" thickBot="1" x14ac:dyDescent="0.3">
      <c r="A189" s="1390"/>
      <c r="B189" s="1072"/>
      <c r="C189" s="913"/>
      <c r="D189" s="913"/>
      <c r="E189" s="913"/>
      <c r="F189" s="913"/>
      <c r="G189" s="1073"/>
      <c r="H189" s="986"/>
      <c r="I189" s="1017"/>
      <c r="J189" s="1046"/>
      <c r="K189" s="1047"/>
      <c r="L189" s="1873"/>
      <c r="M189" s="2252"/>
      <c r="N189" s="2252"/>
      <c r="O189" s="2252"/>
      <c r="P189" s="1875"/>
      <c r="Q189" s="1003"/>
      <c r="R189" s="1007"/>
      <c r="S189" s="1008"/>
      <c r="T189" s="1258"/>
      <c r="U189" s="1337"/>
      <c r="W189" s="74"/>
      <c r="X189" s="74"/>
      <c r="Z189" s="77"/>
      <c r="AA189" s="77"/>
      <c r="AC189" s="72">
        <f t="shared" si="2"/>
        <v>0</v>
      </c>
    </row>
    <row r="190" spans="1:29" ht="14.25" customHeight="1" thickBot="1" x14ac:dyDescent="0.3">
      <c r="A190" s="1390"/>
      <c r="B190" s="1072"/>
      <c r="C190" s="913"/>
      <c r="D190" s="913"/>
      <c r="E190" s="913"/>
      <c r="F190" s="913"/>
      <c r="G190" s="1073"/>
      <c r="H190" s="986"/>
      <c r="I190" s="1017"/>
      <c r="J190" s="1046"/>
      <c r="K190" s="1047"/>
      <c r="L190" s="1873"/>
      <c r="M190" s="2252"/>
      <c r="N190" s="2252"/>
      <c r="O190" s="2252"/>
      <c r="P190" s="1875"/>
      <c r="Q190" s="1003"/>
      <c r="R190" s="1007"/>
      <c r="S190" s="1008"/>
      <c r="T190" s="1258"/>
      <c r="U190" s="1337"/>
      <c r="W190" s="74"/>
      <c r="X190" s="74"/>
      <c r="Z190" s="77"/>
      <c r="AA190" s="77"/>
      <c r="AC190" s="72">
        <f t="shared" ref="AC190:AC253" si="3">IF(Q190="ja",1,0)</f>
        <v>0</v>
      </c>
    </row>
    <row r="191" spans="1:29" ht="14.25" customHeight="1" thickBot="1" x14ac:dyDescent="0.3">
      <c r="A191" s="1390"/>
      <c r="B191" s="1072"/>
      <c r="C191" s="913"/>
      <c r="D191" s="913"/>
      <c r="E191" s="913"/>
      <c r="F191" s="913"/>
      <c r="G191" s="1073"/>
      <c r="H191" s="986"/>
      <c r="I191" s="1017"/>
      <c r="J191" s="1046"/>
      <c r="K191" s="1047"/>
      <c r="L191" s="1177"/>
      <c r="M191" s="1178"/>
      <c r="N191" s="1178"/>
      <c r="O191" s="1178"/>
      <c r="P191" s="1179"/>
      <c r="Q191" s="1295"/>
      <c r="R191" s="1269"/>
      <c r="S191" s="1270"/>
      <c r="T191" s="1258"/>
      <c r="U191" s="1337"/>
      <c r="W191" s="74"/>
      <c r="X191" s="74"/>
      <c r="Z191" s="77"/>
      <c r="AA191" s="77"/>
      <c r="AC191" s="72">
        <f t="shared" si="3"/>
        <v>0</v>
      </c>
    </row>
    <row r="192" spans="1:29" ht="14.25" customHeight="1" thickBot="1" x14ac:dyDescent="0.3">
      <c r="A192" s="1390"/>
      <c r="B192" s="1074"/>
      <c r="C192" s="1075"/>
      <c r="D192" s="1075"/>
      <c r="E192" s="1075"/>
      <c r="F192" s="1075"/>
      <c r="G192" s="1076"/>
      <c r="H192" s="986"/>
      <c r="I192" s="1017"/>
      <c r="J192" s="1046"/>
      <c r="K192" s="1047"/>
      <c r="L192" s="898"/>
      <c r="M192" s="2251"/>
      <c r="N192" s="2251"/>
      <c r="O192" s="2251"/>
      <c r="P192" s="899"/>
      <c r="Q192" s="2250"/>
      <c r="R192" s="1005"/>
      <c r="S192" s="1006"/>
      <c r="T192" s="1258"/>
      <c r="U192" s="1337"/>
      <c r="W192" s="76"/>
      <c r="X192" s="76"/>
      <c r="Z192" s="77"/>
      <c r="AC192" s="72">
        <f t="shared" si="3"/>
        <v>0</v>
      </c>
    </row>
    <row r="193" spans="1:29" ht="14.25" customHeight="1" thickBot="1" x14ac:dyDescent="0.3">
      <c r="A193" s="1390"/>
      <c r="B193" s="1072" t="s">
        <v>227</v>
      </c>
      <c r="C193" s="913"/>
      <c r="D193" s="913"/>
      <c r="E193" s="913"/>
      <c r="F193" s="913"/>
      <c r="G193" s="1073"/>
      <c r="H193" s="986" t="s">
        <v>100</v>
      </c>
      <c r="I193" s="1017"/>
      <c r="J193" s="1046"/>
      <c r="K193" s="1047"/>
      <c r="L193" s="898"/>
      <c r="M193" s="2251"/>
      <c r="N193" s="2251"/>
      <c r="O193" s="2251"/>
      <c r="P193" s="899"/>
      <c r="Q193" s="2250"/>
      <c r="R193" s="1007"/>
      <c r="S193" s="1008"/>
      <c r="T193" s="1258"/>
      <c r="U193" s="1337"/>
      <c r="V193" s="72">
        <f>IF(AND(Q193="ja",R193=""),1,0)</f>
        <v>0</v>
      </c>
      <c r="W193" s="74">
        <f>IF(H193="ja",Z193,0)</f>
        <v>0</v>
      </c>
      <c r="X193" s="74">
        <f>IF(H193="ja",AA193,0)</f>
        <v>0</v>
      </c>
      <c r="Y193" s="72" t="s">
        <v>179</v>
      </c>
      <c r="Z193" s="77">
        <v>1E-3</v>
      </c>
      <c r="AA193" s="77">
        <v>1.5E-3</v>
      </c>
      <c r="AC193" s="72">
        <f t="shared" si="3"/>
        <v>0</v>
      </c>
    </row>
    <row r="194" spans="1:29" ht="14.25" customHeight="1" thickBot="1" x14ac:dyDescent="0.3">
      <c r="A194" s="1390"/>
      <c r="B194" s="1072"/>
      <c r="C194" s="913"/>
      <c r="D194" s="913"/>
      <c r="E194" s="913"/>
      <c r="F194" s="913"/>
      <c r="G194" s="1073"/>
      <c r="H194" s="1014"/>
      <c r="I194" s="1017"/>
      <c r="J194" s="1046"/>
      <c r="K194" s="1047"/>
      <c r="L194" s="898"/>
      <c r="M194" s="2251"/>
      <c r="N194" s="2251"/>
      <c r="O194" s="2251"/>
      <c r="P194" s="899"/>
      <c r="Q194" s="2250"/>
      <c r="R194" s="1007"/>
      <c r="S194" s="1008"/>
      <c r="T194" s="1258"/>
      <c r="U194" s="1337"/>
      <c r="W194" s="74"/>
      <c r="X194" s="74"/>
      <c r="Z194" s="77"/>
      <c r="AA194" s="77"/>
      <c r="AC194" s="72">
        <f t="shared" si="3"/>
        <v>0</v>
      </c>
    </row>
    <row r="195" spans="1:29" ht="14.25" customHeight="1" thickBot="1" x14ac:dyDescent="0.3">
      <c r="A195" s="1390"/>
      <c r="B195" s="1072"/>
      <c r="C195" s="913"/>
      <c r="D195" s="913"/>
      <c r="E195" s="913"/>
      <c r="F195" s="913"/>
      <c r="G195" s="1073"/>
      <c r="H195" s="1014"/>
      <c r="I195" s="1017"/>
      <c r="J195" s="1046"/>
      <c r="K195" s="1047"/>
      <c r="L195" s="898"/>
      <c r="M195" s="2251"/>
      <c r="N195" s="2251"/>
      <c r="O195" s="2251"/>
      <c r="P195" s="899"/>
      <c r="Q195" s="2250"/>
      <c r="R195" s="1007"/>
      <c r="S195" s="1008"/>
      <c r="T195" s="1258"/>
      <c r="U195" s="1337"/>
      <c r="W195" s="74"/>
      <c r="X195" s="74"/>
      <c r="Z195" s="77"/>
      <c r="AA195" s="77"/>
      <c r="AC195" s="72">
        <f t="shared" si="3"/>
        <v>0</v>
      </c>
    </row>
    <row r="196" spans="1:29" ht="14.25" customHeight="1" thickBot="1" x14ac:dyDescent="0.3">
      <c r="A196" s="1390"/>
      <c r="B196" s="1074"/>
      <c r="C196" s="1075"/>
      <c r="D196" s="1075"/>
      <c r="E196" s="1075"/>
      <c r="F196" s="1075"/>
      <c r="G196" s="1076"/>
      <c r="H196" s="1015"/>
      <c r="I196" s="1018"/>
      <c r="J196" s="1048"/>
      <c r="K196" s="1049"/>
      <c r="L196" s="2247"/>
      <c r="M196" s="2248"/>
      <c r="N196" s="2248"/>
      <c r="O196" s="2248"/>
      <c r="P196" s="2249"/>
      <c r="Q196" s="2236"/>
      <c r="R196" s="1009"/>
      <c r="S196" s="1010"/>
      <c r="T196" s="1259"/>
      <c r="U196" s="1337"/>
      <c r="W196" s="75">
        <f>SUM(W172:W193)</f>
        <v>3.5000000000000001E-3</v>
      </c>
      <c r="X196" s="75">
        <f>SUM(X172:X193)</f>
        <v>2.5000000000000001E-3</v>
      </c>
      <c r="AC196" s="72">
        <f t="shared" si="3"/>
        <v>0</v>
      </c>
    </row>
    <row r="197" spans="1:29" ht="14.25" customHeight="1" thickBot="1" x14ac:dyDescent="0.3">
      <c r="A197" s="1390"/>
      <c r="B197" s="1082" t="s">
        <v>229</v>
      </c>
      <c r="C197" s="1083"/>
      <c r="D197" s="1083"/>
      <c r="E197" s="1083"/>
      <c r="F197" s="1083"/>
      <c r="G197" s="438">
        <f>COUNTIF(H172:H196,"ja")</f>
        <v>1</v>
      </c>
      <c r="I197" s="1050"/>
      <c r="J197" s="1051"/>
      <c r="K197" s="1052"/>
      <c r="L197" s="1331">
        <f>SUM(R172:S196)</f>
        <v>0</v>
      </c>
      <c r="M197" s="1332"/>
      <c r="N197" s="1332"/>
      <c r="O197" s="1332"/>
      <c r="P197" s="1332"/>
      <c r="Q197" s="212"/>
      <c r="R197" s="1302"/>
      <c r="S197" s="1303"/>
      <c r="T197" s="525"/>
      <c r="U197" s="335" t="s">
        <v>157</v>
      </c>
      <c r="W197" s="443">
        <f>IF(AND($B$129=$T$19,I197=""),1,0)</f>
        <v>0</v>
      </c>
      <c r="X197" s="443">
        <f>G214</f>
        <v>3</v>
      </c>
      <c r="Y197" s="150" t="s">
        <v>230</v>
      </c>
      <c r="Z197" s="150"/>
      <c r="AA197" s="150"/>
      <c r="AC197" s="72">
        <f t="shared" si="3"/>
        <v>0</v>
      </c>
    </row>
    <row r="198" spans="1:29" ht="14.25" customHeight="1" thickBot="1" x14ac:dyDescent="0.3">
      <c r="A198" s="1390"/>
      <c r="B198" s="1305" t="s">
        <v>231</v>
      </c>
      <c r="C198" s="1306"/>
      <c r="D198" s="1306"/>
      <c r="E198" s="1306"/>
      <c r="F198" s="1306"/>
      <c r="G198" s="1307"/>
      <c r="H198" s="326" t="s">
        <v>100</v>
      </c>
      <c r="I198" s="1016">
        <f>IF(I52="Gebäude",W214,X214)</f>
        <v>2.4999999999999998E-2</v>
      </c>
      <c r="J198" s="1044">
        <f>I198*I129</f>
        <v>0</v>
      </c>
      <c r="K198" s="1045"/>
      <c r="L198" s="1311" t="s">
        <v>232</v>
      </c>
      <c r="M198" s="1312"/>
      <c r="N198" s="1312"/>
      <c r="O198" s="1312"/>
      <c r="P198" s="1312"/>
      <c r="Q198" s="978" t="s">
        <v>99</v>
      </c>
      <c r="R198" s="972"/>
      <c r="S198" s="973"/>
      <c r="T198" s="1257" t="str">
        <f>IFERROR(IF((VLOOKUP(U198,Überblick!$M$125:$N$133,2))="ja","ja","nein"),"")</f>
        <v/>
      </c>
      <c r="U198" s="1337"/>
      <c r="V198" s="72">
        <f>IF(AND(Q198="ja",R198=""),1,0)</f>
        <v>1</v>
      </c>
      <c r="W198" s="74">
        <f>IF(H198="ja",Z198,0)</f>
        <v>0</v>
      </c>
      <c r="X198" s="74">
        <f>IF(H198="ja",AA198,0)</f>
        <v>0</v>
      </c>
      <c r="Y198" s="72" t="s">
        <v>189</v>
      </c>
      <c r="Z198" s="77">
        <v>2.5000000000000001E-3</v>
      </c>
      <c r="AA198" s="77">
        <v>2E-3</v>
      </c>
      <c r="AC198" s="72">
        <f t="shared" si="3"/>
        <v>1</v>
      </c>
    </row>
    <row r="199" spans="1:29" ht="14.25" customHeight="1" thickBot="1" x14ac:dyDescent="0.3">
      <c r="A199" s="1390"/>
      <c r="B199" s="1308" t="s">
        <v>233</v>
      </c>
      <c r="C199" s="1309"/>
      <c r="D199" s="1309"/>
      <c r="E199" s="1309"/>
      <c r="F199" s="1309"/>
      <c r="G199" s="1310"/>
      <c r="H199" s="316" t="s">
        <v>100</v>
      </c>
      <c r="I199" s="1017"/>
      <c r="J199" s="1046"/>
      <c r="K199" s="1047"/>
      <c r="L199" s="1172"/>
      <c r="M199" s="1173"/>
      <c r="N199" s="1173"/>
      <c r="O199" s="1173"/>
      <c r="P199" s="1173"/>
      <c r="Q199" s="978"/>
      <c r="R199" s="972"/>
      <c r="S199" s="973"/>
      <c r="T199" s="1258"/>
      <c r="U199" s="1337"/>
      <c r="W199" s="74">
        <f>IF(H199="ja",Z199,0)</f>
        <v>0</v>
      </c>
      <c r="X199" s="74">
        <f>IF(H199="ja",AA199,0)</f>
        <v>0</v>
      </c>
      <c r="Y199" s="72" t="s">
        <v>163</v>
      </c>
      <c r="Z199" s="77">
        <v>1E-3</v>
      </c>
      <c r="AA199" s="77">
        <v>1E-3</v>
      </c>
      <c r="AC199" s="72">
        <f t="shared" si="3"/>
        <v>0</v>
      </c>
    </row>
    <row r="200" spans="1:29" ht="14.25" customHeight="1" thickBot="1" x14ac:dyDescent="0.3">
      <c r="A200" s="1390"/>
      <c r="B200" s="1077" t="s">
        <v>234</v>
      </c>
      <c r="C200" s="1078"/>
      <c r="D200" s="1078"/>
      <c r="E200" s="1078"/>
      <c r="F200" s="1078"/>
      <c r="G200" s="1079"/>
      <c r="H200" s="986" t="s">
        <v>99</v>
      </c>
      <c r="I200" s="1017"/>
      <c r="J200" s="1046"/>
      <c r="K200" s="1047"/>
      <c r="L200" s="1172"/>
      <c r="M200" s="1173"/>
      <c r="N200" s="1173"/>
      <c r="O200" s="1173"/>
      <c r="P200" s="1173"/>
      <c r="Q200" s="978"/>
      <c r="R200" s="972"/>
      <c r="S200" s="973"/>
      <c r="T200" s="1258"/>
      <c r="U200" s="1337"/>
      <c r="W200" s="74">
        <f>IF(H200="ja",Z200,0)</f>
        <v>0.02</v>
      </c>
      <c r="X200" s="74">
        <f>IF(H200="ja",AA200,0)</f>
        <v>0.02</v>
      </c>
      <c r="Y200" s="72" t="s">
        <v>194</v>
      </c>
      <c r="Z200" s="77">
        <v>0.02</v>
      </c>
      <c r="AA200" s="77">
        <v>0.02</v>
      </c>
      <c r="AC200" s="72">
        <f t="shared" si="3"/>
        <v>0</v>
      </c>
    </row>
    <row r="201" spans="1:29" ht="14.25" customHeight="1" thickBot="1" x14ac:dyDescent="0.3">
      <c r="A201" s="1390"/>
      <c r="B201" s="1072"/>
      <c r="C201" s="913"/>
      <c r="D201" s="913"/>
      <c r="E201" s="913"/>
      <c r="F201" s="913"/>
      <c r="G201" s="1073"/>
      <c r="H201" s="986"/>
      <c r="I201" s="1017"/>
      <c r="J201" s="1046"/>
      <c r="K201" s="1047"/>
      <c r="L201" s="984" t="s">
        <v>235</v>
      </c>
      <c r="M201" s="985"/>
      <c r="N201" s="985"/>
      <c r="O201" s="985"/>
      <c r="P201" s="985"/>
      <c r="Q201" s="978" t="s">
        <v>99</v>
      </c>
      <c r="R201" s="972"/>
      <c r="S201" s="973"/>
      <c r="T201" s="1258"/>
      <c r="U201" s="1337"/>
      <c r="V201" s="72">
        <f>IF(AND(Q201="ja",R201=""),1,0)</f>
        <v>1</v>
      </c>
      <c r="W201" s="76"/>
      <c r="X201" s="76"/>
      <c r="AC201" s="72">
        <f t="shared" si="3"/>
        <v>1</v>
      </c>
    </row>
    <row r="202" spans="1:29" ht="14.25" customHeight="1" thickBot="1" x14ac:dyDescent="0.3">
      <c r="A202" s="1390"/>
      <c r="B202" s="1072"/>
      <c r="C202" s="913"/>
      <c r="D202" s="913"/>
      <c r="E202" s="913"/>
      <c r="F202" s="913"/>
      <c r="G202" s="1073"/>
      <c r="H202" s="986"/>
      <c r="I202" s="1017"/>
      <c r="J202" s="1046"/>
      <c r="K202" s="1047"/>
      <c r="L202" s="984"/>
      <c r="M202" s="985"/>
      <c r="N202" s="985"/>
      <c r="O202" s="985"/>
      <c r="P202" s="985"/>
      <c r="Q202" s="978"/>
      <c r="R202" s="972"/>
      <c r="S202" s="973"/>
      <c r="T202" s="1258"/>
      <c r="U202" s="1337"/>
      <c r="W202" s="76"/>
      <c r="X202" s="76"/>
      <c r="AC202" s="72">
        <f t="shared" si="3"/>
        <v>0</v>
      </c>
    </row>
    <row r="203" spans="1:29" ht="14.25" customHeight="1" thickBot="1" x14ac:dyDescent="0.3">
      <c r="A203" s="1390"/>
      <c r="B203" s="1072"/>
      <c r="C203" s="913"/>
      <c r="D203" s="913"/>
      <c r="E203" s="913"/>
      <c r="F203" s="913"/>
      <c r="G203" s="1073"/>
      <c r="H203" s="986"/>
      <c r="I203" s="1017"/>
      <c r="J203" s="1046"/>
      <c r="K203" s="1047"/>
      <c r="L203" s="984"/>
      <c r="M203" s="985"/>
      <c r="N203" s="985"/>
      <c r="O203" s="985"/>
      <c r="P203" s="985"/>
      <c r="Q203" s="978"/>
      <c r="R203" s="972"/>
      <c r="S203" s="973"/>
      <c r="T203" s="1258"/>
      <c r="U203" s="1337"/>
      <c r="W203" s="76"/>
      <c r="X203" s="76"/>
      <c r="AC203" s="72">
        <f t="shared" si="3"/>
        <v>0</v>
      </c>
    </row>
    <row r="204" spans="1:29" ht="14.25" customHeight="1" thickBot="1" x14ac:dyDescent="0.3">
      <c r="A204" s="1390"/>
      <c r="B204" s="1074"/>
      <c r="C204" s="1075"/>
      <c r="D204" s="1075"/>
      <c r="E204" s="1075"/>
      <c r="F204" s="1075"/>
      <c r="G204" s="1076"/>
      <c r="H204" s="986"/>
      <c r="I204" s="1017"/>
      <c r="J204" s="1046"/>
      <c r="K204" s="1047"/>
      <c r="L204" s="1064"/>
      <c r="M204" s="1065"/>
      <c r="N204" s="1065"/>
      <c r="O204" s="1065"/>
      <c r="P204" s="1066"/>
      <c r="Q204" s="979"/>
      <c r="R204" s="1005"/>
      <c r="S204" s="1006"/>
      <c r="T204" s="1258"/>
      <c r="U204" s="1337"/>
      <c r="V204" s="72">
        <f>IF(AND(Q204="ja",R204=""),1,0)</f>
        <v>0</v>
      </c>
      <c r="W204" s="76"/>
      <c r="X204" s="76"/>
      <c r="AC204" s="72">
        <f t="shared" si="3"/>
        <v>0</v>
      </c>
    </row>
    <row r="205" spans="1:29" ht="14.25" customHeight="1" thickBot="1" x14ac:dyDescent="0.3">
      <c r="A205" s="1390"/>
      <c r="B205" s="1308" t="s">
        <v>237</v>
      </c>
      <c r="C205" s="1309"/>
      <c r="D205" s="1309"/>
      <c r="E205" s="1309"/>
      <c r="F205" s="1309"/>
      <c r="G205" s="1310"/>
      <c r="H205" s="316" t="s">
        <v>99</v>
      </c>
      <c r="I205" s="1017"/>
      <c r="J205" s="1046"/>
      <c r="K205" s="1047"/>
      <c r="L205" s="1067"/>
      <c r="M205" s="2240"/>
      <c r="N205" s="2240"/>
      <c r="O205" s="2240"/>
      <c r="P205" s="1068"/>
      <c r="Q205" s="1003"/>
      <c r="R205" s="1007"/>
      <c r="S205" s="1008"/>
      <c r="T205" s="1258"/>
      <c r="U205" s="1337"/>
      <c r="W205" s="74">
        <f>IF(H205="ja",Z205,0)</f>
        <v>2.5000000000000001E-3</v>
      </c>
      <c r="X205" s="74">
        <f>IF(H205="ja",AA205,0)</f>
        <v>1E-3</v>
      </c>
      <c r="Y205" s="72" t="s">
        <v>167</v>
      </c>
      <c r="Z205" s="77">
        <v>2.5000000000000001E-3</v>
      </c>
      <c r="AA205" s="77">
        <v>1E-3</v>
      </c>
      <c r="AC205" s="72">
        <f t="shared" si="3"/>
        <v>0</v>
      </c>
    </row>
    <row r="206" spans="1:29" ht="14.25" customHeight="1" thickBot="1" x14ac:dyDescent="0.3">
      <c r="A206" s="1390"/>
      <c r="B206" s="1077" t="s">
        <v>238</v>
      </c>
      <c r="C206" s="1078"/>
      <c r="D206" s="1078"/>
      <c r="E206" s="1078"/>
      <c r="F206" s="1078"/>
      <c r="G206" s="1079"/>
      <c r="H206" s="986" t="s">
        <v>100</v>
      </c>
      <c r="I206" s="1017"/>
      <c r="J206" s="1046"/>
      <c r="K206" s="1047"/>
      <c r="L206" s="1067"/>
      <c r="M206" s="2240"/>
      <c r="N206" s="2240"/>
      <c r="O206" s="2240"/>
      <c r="P206" s="1068"/>
      <c r="Q206" s="1003"/>
      <c r="R206" s="1007"/>
      <c r="S206" s="1008"/>
      <c r="T206" s="1258"/>
      <c r="U206" s="1337"/>
      <c r="W206" s="74">
        <f>IF(H206="ja",Z206,0)</f>
        <v>0</v>
      </c>
      <c r="X206" s="74">
        <f>IF(H206="ja",AA206,0)</f>
        <v>0</v>
      </c>
      <c r="Y206" s="72" t="s">
        <v>168</v>
      </c>
      <c r="Z206" s="77">
        <v>8.0000000000000002E-3</v>
      </c>
      <c r="AA206" s="77">
        <v>2.5000000000000001E-3</v>
      </c>
      <c r="AC206" s="72">
        <f t="shared" si="3"/>
        <v>0</v>
      </c>
    </row>
    <row r="207" spans="1:29" ht="14.25" customHeight="1" thickBot="1" x14ac:dyDescent="0.3">
      <c r="A207" s="1390"/>
      <c r="B207" s="1074"/>
      <c r="C207" s="1075"/>
      <c r="D207" s="1075"/>
      <c r="E207" s="1075"/>
      <c r="F207" s="1075"/>
      <c r="G207" s="1076"/>
      <c r="H207" s="986"/>
      <c r="I207" s="1017"/>
      <c r="J207" s="1046"/>
      <c r="K207" s="1047"/>
      <c r="L207" s="1067"/>
      <c r="M207" s="2240"/>
      <c r="N207" s="2240"/>
      <c r="O207" s="2240"/>
      <c r="P207" s="1068"/>
      <c r="Q207" s="1003"/>
      <c r="R207" s="1007"/>
      <c r="S207" s="1008"/>
      <c r="T207" s="1258"/>
      <c r="U207" s="1337"/>
      <c r="V207" s="72">
        <f>IF(AND(Q207="ja",R207=""),1,0)</f>
        <v>0</v>
      </c>
      <c r="W207" s="76"/>
      <c r="X207" s="76"/>
      <c r="AC207" s="72">
        <f t="shared" si="3"/>
        <v>0</v>
      </c>
    </row>
    <row r="208" spans="1:29" ht="14.25" customHeight="1" thickBot="1" x14ac:dyDescent="0.3">
      <c r="A208" s="1390"/>
      <c r="B208" s="1077" t="s">
        <v>239</v>
      </c>
      <c r="C208" s="1078"/>
      <c r="D208" s="1078"/>
      <c r="E208" s="1078"/>
      <c r="F208" s="1078"/>
      <c r="G208" s="1079"/>
      <c r="H208" s="986" t="s">
        <v>100</v>
      </c>
      <c r="I208" s="1017"/>
      <c r="J208" s="1046"/>
      <c r="K208" s="1047"/>
      <c r="L208" s="1067"/>
      <c r="M208" s="2240"/>
      <c r="N208" s="2240"/>
      <c r="O208" s="2240"/>
      <c r="P208" s="1068"/>
      <c r="Q208" s="1003"/>
      <c r="R208" s="1007"/>
      <c r="S208" s="1008"/>
      <c r="T208" s="1258"/>
      <c r="U208" s="1337"/>
      <c r="W208" s="74">
        <f>IF(H208="ja",Z208,0)</f>
        <v>0</v>
      </c>
      <c r="X208" s="74">
        <f>IF(H208="ja",AA208,0)</f>
        <v>0</v>
      </c>
      <c r="Y208" s="72" t="s">
        <v>179</v>
      </c>
      <c r="Z208" s="77">
        <v>1E-3</v>
      </c>
      <c r="AA208" s="77">
        <v>1E-3</v>
      </c>
      <c r="AC208" s="72">
        <f t="shared" si="3"/>
        <v>0</v>
      </c>
    </row>
    <row r="209" spans="1:29" ht="14.25" customHeight="1" thickBot="1" x14ac:dyDescent="0.3">
      <c r="A209" s="1390"/>
      <c r="B209" s="1074"/>
      <c r="C209" s="1075"/>
      <c r="D209" s="1075"/>
      <c r="E209" s="1075"/>
      <c r="F209" s="1075"/>
      <c r="G209" s="1076"/>
      <c r="H209" s="986"/>
      <c r="I209" s="1017"/>
      <c r="J209" s="1046"/>
      <c r="K209" s="1047"/>
      <c r="L209" s="1067"/>
      <c r="M209" s="2240"/>
      <c r="N209" s="2240"/>
      <c r="O209" s="2240"/>
      <c r="P209" s="1068"/>
      <c r="Q209" s="1003"/>
      <c r="R209" s="1007"/>
      <c r="S209" s="1008"/>
      <c r="T209" s="1258"/>
      <c r="U209" s="1337"/>
      <c r="W209" s="76"/>
      <c r="X209" s="76"/>
      <c r="AC209" s="72">
        <f t="shared" si="3"/>
        <v>0</v>
      </c>
    </row>
    <row r="210" spans="1:29" ht="14.25" customHeight="1" thickBot="1" x14ac:dyDescent="0.3">
      <c r="A210" s="1390"/>
      <c r="B210" s="1072" t="s">
        <v>240</v>
      </c>
      <c r="C210" s="913"/>
      <c r="D210" s="913"/>
      <c r="E210" s="913"/>
      <c r="F210" s="913"/>
      <c r="G210" s="1073"/>
      <c r="H210" s="986" t="s">
        <v>99</v>
      </c>
      <c r="I210" s="1017"/>
      <c r="J210" s="1046"/>
      <c r="K210" s="1047"/>
      <c r="L210" s="1067"/>
      <c r="M210" s="2240"/>
      <c r="N210" s="2240"/>
      <c r="O210" s="2240"/>
      <c r="P210" s="1068"/>
      <c r="Q210" s="1003"/>
      <c r="R210" s="1007"/>
      <c r="S210" s="1008"/>
      <c r="T210" s="1258"/>
      <c r="U210" s="1337"/>
      <c r="V210" s="72">
        <f>IF(AND(Q210="ja",R210=""),1,0)</f>
        <v>0</v>
      </c>
      <c r="W210" s="74">
        <f>IF(H210="ja",Z210,0)</f>
        <v>2.5000000000000001E-3</v>
      </c>
      <c r="X210" s="74">
        <f>IF(H210="ja",AA210,0)</f>
        <v>1E-3</v>
      </c>
      <c r="Y210" s="72" t="s">
        <v>180</v>
      </c>
      <c r="Z210" s="77">
        <v>2.5000000000000001E-3</v>
      </c>
      <c r="AA210" s="77">
        <v>1E-3</v>
      </c>
      <c r="AC210" s="72">
        <f t="shared" si="3"/>
        <v>0</v>
      </c>
    </row>
    <row r="211" spans="1:29" ht="14.25" customHeight="1" thickBot="1" x14ac:dyDescent="0.3">
      <c r="A211" s="1390"/>
      <c r="B211" s="1072"/>
      <c r="C211" s="913"/>
      <c r="D211" s="913"/>
      <c r="E211" s="913"/>
      <c r="F211" s="913"/>
      <c r="G211" s="1073"/>
      <c r="H211" s="986"/>
      <c r="I211" s="1017"/>
      <c r="J211" s="1046"/>
      <c r="K211" s="1047"/>
      <c r="L211" s="1067"/>
      <c r="M211" s="2240"/>
      <c r="N211" s="2240"/>
      <c r="O211" s="2240"/>
      <c r="P211" s="1068"/>
      <c r="Q211" s="1003"/>
      <c r="R211" s="1007"/>
      <c r="S211" s="1008"/>
      <c r="T211" s="1258"/>
      <c r="U211" s="1337"/>
      <c r="W211" s="76"/>
      <c r="X211" s="76"/>
      <c r="AC211" s="72">
        <f t="shared" si="3"/>
        <v>0</v>
      </c>
    </row>
    <row r="212" spans="1:29" ht="14.25" customHeight="1" thickBot="1" x14ac:dyDescent="0.3">
      <c r="A212" s="1390"/>
      <c r="B212" s="1074"/>
      <c r="C212" s="1075"/>
      <c r="D212" s="1075"/>
      <c r="E212" s="1075"/>
      <c r="F212" s="1075"/>
      <c r="G212" s="1076"/>
      <c r="H212" s="986"/>
      <c r="I212" s="1017"/>
      <c r="J212" s="1046"/>
      <c r="K212" s="1047"/>
      <c r="L212" s="1067"/>
      <c r="M212" s="2240"/>
      <c r="N212" s="2240"/>
      <c r="O212" s="2240"/>
      <c r="P212" s="1068"/>
      <c r="Q212" s="1003"/>
      <c r="R212" s="1007"/>
      <c r="S212" s="1008"/>
      <c r="T212" s="1258"/>
      <c r="U212" s="1337"/>
      <c r="W212" s="76"/>
      <c r="X212" s="76"/>
      <c r="AC212" s="72">
        <f t="shared" si="3"/>
        <v>0</v>
      </c>
    </row>
    <row r="213" spans="1:29" ht="14.25" customHeight="1" thickBot="1" x14ac:dyDescent="0.3">
      <c r="A213" s="1390"/>
      <c r="B213" s="1308" t="s">
        <v>241</v>
      </c>
      <c r="C213" s="1309"/>
      <c r="D213" s="1309"/>
      <c r="E213" s="1309"/>
      <c r="F213" s="1309"/>
      <c r="G213" s="1310"/>
      <c r="H213" s="324" t="s">
        <v>100</v>
      </c>
      <c r="I213" s="1018"/>
      <c r="J213" s="1048"/>
      <c r="K213" s="1049"/>
      <c r="L213" s="1069"/>
      <c r="M213" s="1070"/>
      <c r="N213" s="1070"/>
      <c r="O213" s="1070"/>
      <c r="P213" s="1071"/>
      <c r="Q213" s="1004"/>
      <c r="R213" s="1009"/>
      <c r="S213" s="1010"/>
      <c r="T213" s="1259"/>
      <c r="U213" s="1337"/>
      <c r="V213" s="72">
        <f>IF(AND(Q213="ja",R213=""),1,0)</f>
        <v>0</v>
      </c>
      <c r="W213" s="74">
        <f>IF(H213="ja",Z213,0)</f>
        <v>0</v>
      </c>
      <c r="X213" s="74">
        <f>IF(H213="ja",AA213,0)</f>
        <v>0</v>
      </c>
      <c r="Y213" s="72" t="s">
        <v>242</v>
      </c>
      <c r="Z213" s="77">
        <v>2.5000000000000001E-3</v>
      </c>
      <c r="AA213" s="77">
        <v>1.5E-3</v>
      </c>
      <c r="AC213" s="72">
        <f t="shared" si="3"/>
        <v>0</v>
      </c>
    </row>
    <row r="214" spans="1:29" ht="14.25" customHeight="1" thickBot="1" x14ac:dyDescent="0.3">
      <c r="A214" s="1390"/>
      <c r="B214" s="1082" t="s">
        <v>243</v>
      </c>
      <c r="C214" s="1083"/>
      <c r="D214" s="1083"/>
      <c r="E214" s="1083"/>
      <c r="F214" s="1083"/>
      <c r="G214" s="438">
        <f>COUNTIF(H198:H213,"ja")</f>
        <v>3</v>
      </c>
      <c r="I214" s="1050"/>
      <c r="J214" s="1051"/>
      <c r="K214" s="1052"/>
      <c r="L214" s="1331">
        <f>SUM(R198:S213)</f>
        <v>0</v>
      </c>
      <c r="M214" s="1332"/>
      <c r="N214" s="1332"/>
      <c r="O214" s="1332"/>
      <c r="P214" s="1332"/>
      <c r="Q214" s="212"/>
      <c r="R214" s="1302"/>
      <c r="S214" s="1303"/>
      <c r="T214" s="525"/>
      <c r="U214" s="335" t="s">
        <v>157</v>
      </c>
      <c r="W214" s="75">
        <f>SUM(W198:W213)</f>
        <v>2.4999999999999998E-2</v>
      </c>
      <c r="X214" s="75">
        <f>SUM(X198:X213)</f>
        <v>2.2000000000000002E-2</v>
      </c>
      <c r="AB214" s="806"/>
      <c r="AC214" s="72">
        <f t="shared" si="3"/>
        <v>0</v>
      </c>
    </row>
    <row r="215" spans="1:29" ht="14.25" customHeight="1" thickBot="1" x14ac:dyDescent="0.3">
      <c r="A215" s="1390"/>
      <c r="B215" s="1313" t="s">
        <v>244</v>
      </c>
      <c r="C215" s="1314"/>
      <c r="D215" s="1314"/>
      <c r="E215" s="1314"/>
      <c r="F215" s="1314"/>
      <c r="G215" s="1315"/>
      <c r="H215" s="1316" t="s">
        <v>100</v>
      </c>
      <c r="I215" s="1016">
        <f>IF(I52="Gebäude",W261,X261)</f>
        <v>0.01</v>
      </c>
      <c r="J215" s="1044">
        <f>I215*I129</f>
        <v>0</v>
      </c>
      <c r="K215" s="1045"/>
      <c r="L215" s="987" t="s">
        <v>245</v>
      </c>
      <c r="M215" s="988"/>
      <c r="N215" s="988"/>
      <c r="O215" s="988"/>
      <c r="P215" s="988"/>
      <c r="Q215" s="1294" t="s">
        <v>99</v>
      </c>
      <c r="R215" s="1296"/>
      <c r="S215" s="1297"/>
      <c r="T215" s="1257" t="str">
        <f>IFERROR(IF((VLOOKUP(U215,Überblick!$M$125:$N$133,2))="ja","ja","nein"),"")</f>
        <v/>
      </c>
      <c r="U215" s="1337"/>
      <c r="V215" s="72">
        <f>IF(AND(Q215="ja",R215=""),1,0)</f>
        <v>1</v>
      </c>
      <c r="W215" s="74">
        <f>IF(H215="ja",Z215,0)</f>
        <v>0</v>
      </c>
      <c r="X215" s="74">
        <f>IF(H215="ja",AA215,0)</f>
        <v>0</v>
      </c>
      <c r="Y215" s="151" t="s">
        <v>189</v>
      </c>
      <c r="Z215" s="152">
        <v>0.18</v>
      </c>
      <c r="AA215" s="152">
        <v>0.18</v>
      </c>
      <c r="AC215" s="72">
        <f t="shared" si="3"/>
        <v>1</v>
      </c>
    </row>
    <row r="216" spans="1:29" ht="14.25" customHeight="1" thickBot="1" x14ac:dyDescent="0.3">
      <c r="A216" s="1390"/>
      <c r="B216" s="1072"/>
      <c r="C216" s="913"/>
      <c r="D216" s="913"/>
      <c r="E216" s="913"/>
      <c r="F216" s="913"/>
      <c r="G216" s="1073"/>
      <c r="H216" s="1080"/>
      <c r="I216" s="1017"/>
      <c r="J216" s="1046"/>
      <c r="K216" s="1047"/>
      <c r="L216" s="984"/>
      <c r="M216" s="985"/>
      <c r="N216" s="985"/>
      <c r="O216" s="985"/>
      <c r="P216" s="985"/>
      <c r="Q216" s="1003"/>
      <c r="R216" s="1007"/>
      <c r="S216" s="1008"/>
      <c r="T216" s="1258"/>
      <c r="U216" s="1337"/>
      <c r="Y216" s="151"/>
      <c r="Z216" s="151"/>
      <c r="AA216" s="151"/>
      <c r="AC216" s="72">
        <f t="shared" si="3"/>
        <v>0</v>
      </c>
    </row>
    <row r="217" spans="1:29" ht="14.25" customHeight="1" thickBot="1" x14ac:dyDescent="0.3">
      <c r="A217" s="1390"/>
      <c r="B217" s="1072"/>
      <c r="C217" s="913"/>
      <c r="D217" s="913"/>
      <c r="E217" s="913"/>
      <c r="F217" s="913"/>
      <c r="G217" s="1073"/>
      <c r="H217" s="1080"/>
      <c r="I217" s="1017"/>
      <c r="J217" s="1046"/>
      <c r="K217" s="1047"/>
      <c r="L217" s="984"/>
      <c r="M217" s="985"/>
      <c r="N217" s="985"/>
      <c r="O217" s="985"/>
      <c r="P217" s="985"/>
      <c r="Q217" s="1003"/>
      <c r="R217" s="1007"/>
      <c r="S217" s="1008"/>
      <c r="T217" s="1258"/>
      <c r="U217" s="1337"/>
      <c r="AC217" s="72">
        <f t="shared" si="3"/>
        <v>0</v>
      </c>
    </row>
    <row r="218" spans="1:29" ht="14.25" customHeight="1" thickBot="1" x14ac:dyDescent="0.3">
      <c r="A218" s="1390"/>
      <c r="B218" s="1072"/>
      <c r="C218" s="913"/>
      <c r="D218" s="913"/>
      <c r="E218" s="913"/>
      <c r="F218" s="913"/>
      <c r="G218" s="1073"/>
      <c r="H218" s="1080"/>
      <c r="I218" s="1017"/>
      <c r="J218" s="1046"/>
      <c r="K218" s="1047"/>
      <c r="L218" s="984"/>
      <c r="M218" s="985"/>
      <c r="N218" s="985"/>
      <c r="O218" s="985"/>
      <c r="P218" s="985"/>
      <c r="Q218" s="1003"/>
      <c r="R218" s="1007"/>
      <c r="S218" s="1008"/>
      <c r="T218" s="1258"/>
      <c r="U218" s="1337"/>
      <c r="Y218" s="151"/>
      <c r="Z218" s="151"/>
      <c r="AA218" s="151"/>
      <c r="AC218" s="72">
        <f t="shared" si="3"/>
        <v>0</v>
      </c>
    </row>
    <row r="219" spans="1:29" ht="14.25" customHeight="1" thickBot="1" x14ac:dyDescent="0.3">
      <c r="A219" s="1390"/>
      <c r="B219" s="1072"/>
      <c r="C219" s="913"/>
      <c r="D219" s="913"/>
      <c r="E219" s="913"/>
      <c r="F219" s="913"/>
      <c r="G219" s="1073"/>
      <c r="H219" s="1080"/>
      <c r="I219" s="1017"/>
      <c r="J219" s="1046"/>
      <c r="K219" s="1047"/>
      <c r="L219" s="984"/>
      <c r="M219" s="985"/>
      <c r="N219" s="985"/>
      <c r="O219" s="985"/>
      <c r="P219" s="985"/>
      <c r="Q219" s="1003"/>
      <c r="R219" s="1007"/>
      <c r="S219" s="1008"/>
      <c r="T219" s="1258"/>
      <c r="U219" s="1337"/>
      <c r="AC219" s="72">
        <f t="shared" si="3"/>
        <v>0</v>
      </c>
    </row>
    <row r="220" spans="1:29" ht="14.25" customHeight="1" thickBot="1" x14ac:dyDescent="0.3">
      <c r="A220" s="1390"/>
      <c r="B220" s="1072"/>
      <c r="C220" s="913"/>
      <c r="D220" s="913"/>
      <c r="E220" s="913"/>
      <c r="F220" s="913"/>
      <c r="G220" s="1073"/>
      <c r="H220" s="1080"/>
      <c r="I220" s="1017"/>
      <c r="J220" s="1046"/>
      <c r="K220" s="1047"/>
      <c r="L220" s="984"/>
      <c r="M220" s="985"/>
      <c r="N220" s="985"/>
      <c r="O220" s="985"/>
      <c r="P220" s="985"/>
      <c r="Q220" s="1003"/>
      <c r="R220" s="1007"/>
      <c r="S220" s="1008"/>
      <c r="T220" s="1258"/>
      <c r="U220" s="1337"/>
      <c r="AC220" s="72">
        <f t="shared" si="3"/>
        <v>0</v>
      </c>
    </row>
    <row r="221" spans="1:29" ht="14.25" customHeight="1" thickBot="1" x14ac:dyDescent="0.3">
      <c r="A221" s="1390"/>
      <c r="B221" s="1072"/>
      <c r="C221" s="913"/>
      <c r="D221" s="913"/>
      <c r="E221" s="913"/>
      <c r="F221" s="913"/>
      <c r="G221" s="1073"/>
      <c r="H221" s="1080"/>
      <c r="I221" s="1017"/>
      <c r="J221" s="1046"/>
      <c r="K221" s="1047"/>
      <c r="L221" s="984"/>
      <c r="M221" s="985"/>
      <c r="N221" s="985"/>
      <c r="O221" s="985"/>
      <c r="P221" s="985"/>
      <c r="Q221" s="1003"/>
      <c r="R221" s="1007"/>
      <c r="S221" s="1008"/>
      <c r="T221" s="1258"/>
      <c r="U221" s="1337"/>
      <c r="AC221" s="72">
        <f t="shared" si="3"/>
        <v>0</v>
      </c>
    </row>
    <row r="222" spans="1:29" ht="14.25" customHeight="1" thickBot="1" x14ac:dyDescent="0.3">
      <c r="A222" s="1390"/>
      <c r="B222" s="1074"/>
      <c r="C222" s="1075"/>
      <c r="D222" s="1075"/>
      <c r="E222" s="1075"/>
      <c r="F222" s="1075"/>
      <c r="G222" s="1076"/>
      <c r="H222" s="1081"/>
      <c r="I222" s="1017"/>
      <c r="J222" s="1046"/>
      <c r="K222" s="1047"/>
      <c r="L222" s="984"/>
      <c r="M222" s="985"/>
      <c r="N222" s="985"/>
      <c r="O222" s="985"/>
      <c r="P222" s="985"/>
      <c r="Q222" s="1003"/>
      <c r="R222" s="1007"/>
      <c r="S222" s="1008"/>
      <c r="T222" s="1258"/>
      <c r="U222" s="1337"/>
      <c r="AC222" s="72">
        <f t="shared" si="3"/>
        <v>0</v>
      </c>
    </row>
    <row r="223" spans="1:29" ht="14.25" customHeight="1" thickBot="1" x14ac:dyDescent="0.3">
      <c r="A223" s="1390"/>
      <c r="B223" s="1077" t="s">
        <v>246</v>
      </c>
      <c r="C223" s="1078"/>
      <c r="D223" s="1078"/>
      <c r="E223" s="1078"/>
      <c r="F223" s="1078"/>
      <c r="G223" s="1079"/>
      <c r="H223" s="986" t="s">
        <v>100</v>
      </c>
      <c r="I223" s="1017"/>
      <c r="J223" s="1046"/>
      <c r="K223" s="1047"/>
      <c r="L223" s="984"/>
      <c r="M223" s="985"/>
      <c r="N223" s="985"/>
      <c r="O223" s="985"/>
      <c r="P223" s="985"/>
      <c r="Q223" s="1295"/>
      <c r="R223" s="1269"/>
      <c r="S223" s="1270"/>
      <c r="T223" s="1258"/>
      <c r="U223" s="1337"/>
      <c r="W223" s="74">
        <f>IF(H223="ja",Z223,0)</f>
        <v>0</v>
      </c>
      <c r="X223" s="74">
        <f>IF(H223="ja",AA223,0)</f>
        <v>0</v>
      </c>
      <c r="Y223" s="151" t="s">
        <v>163</v>
      </c>
      <c r="Z223" s="152">
        <v>1E-3</v>
      </c>
      <c r="AA223" s="152">
        <v>1E-3</v>
      </c>
      <c r="AC223" s="72">
        <f t="shared" si="3"/>
        <v>0</v>
      </c>
    </row>
    <row r="224" spans="1:29" ht="14.25" customHeight="1" thickBot="1" x14ac:dyDescent="0.3">
      <c r="A224" s="1390"/>
      <c r="B224" s="1072"/>
      <c r="C224" s="913"/>
      <c r="D224" s="913"/>
      <c r="E224" s="913"/>
      <c r="F224" s="913"/>
      <c r="G224" s="1073"/>
      <c r="H224" s="986"/>
      <c r="I224" s="1017"/>
      <c r="J224" s="1046"/>
      <c r="K224" s="1047"/>
      <c r="L224" s="984" t="s">
        <v>247</v>
      </c>
      <c r="M224" s="985"/>
      <c r="N224" s="985"/>
      <c r="O224" s="985"/>
      <c r="P224" s="985"/>
      <c r="Q224" s="978" t="s">
        <v>99</v>
      </c>
      <c r="R224" s="972"/>
      <c r="S224" s="973"/>
      <c r="T224" s="1258"/>
      <c r="U224" s="1337"/>
      <c r="V224" s="72">
        <f>IF(AND(Q224="ja",R224=""),1,0)</f>
        <v>1</v>
      </c>
      <c r="Y224" s="151"/>
      <c r="Z224" s="152"/>
      <c r="AA224" s="151"/>
      <c r="AC224" s="72">
        <f t="shared" si="3"/>
        <v>1</v>
      </c>
    </row>
    <row r="225" spans="1:29" ht="14.25" customHeight="1" thickBot="1" x14ac:dyDescent="0.3">
      <c r="A225" s="1390"/>
      <c r="B225" s="1074"/>
      <c r="C225" s="1075"/>
      <c r="D225" s="1075"/>
      <c r="E225" s="1075"/>
      <c r="F225" s="1075"/>
      <c r="G225" s="1076"/>
      <c r="H225" s="986"/>
      <c r="I225" s="1017"/>
      <c r="J225" s="1046"/>
      <c r="K225" s="1047"/>
      <c r="L225" s="984"/>
      <c r="M225" s="985"/>
      <c r="N225" s="985"/>
      <c r="O225" s="985"/>
      <c r="P225" s="985"/>
      <c r="Q225" s="978"/>
      <c r="R225" s="972"/>
      <c r="S225" s="973"/>
      <c r="T225" s="1258"/>
      <c r="U225" s="1337"/>
      <c r="AC225" s="72">
        <f t="shared" si="3"/>
        <v>0</v>
      </c>
    </row>
    <row r="226" spans="1:29" ht="14.25" customHeight="1" thickBot="1" x14ac:dyDescent="0.3">
      <c r="A226" s="1390"/>
      <c r="B226" s="1077" t="s">
        <v>248</v>
      </c>
      <c r="C226" s="1078"/>
      <c r="D226" s="1078"/>
      <c r="E226" s="1078"/>
      <c r="F226" s="1078"/>
      <c r="G226" s="1079"/>
      <c r="H226" s="986" t="s">
        <v>100</v>
      </c>
      <c r="I226" s="1017"/>
      <c r="J226" s="1046"/>
      <c r="K226" s="1047"/>
      <c r="L226" s="984"/>
      <c r="M226" s="985"/>
      <c r="N226" s="985"/>
      <c r="O226" s="985"/>
      <c r="P226" s="985"/>
      <c r="Q226" s="978"/>
      <c r="R226" s="972"/>
      <c r="S226" s="973"/>
      <c r="T226" s="1258"/>
      <c r="U226" s="1337"/>
      <c r="W226" s="74">
        <f>IF(H226="ja",Z226,0)</f>
        <v>0</v>
      </c>
      <c r="X226" s="74">
        <f>IF(H226="ja",AA226,0)</f>
        <v>0</v>
      </c>
      <c r="Y226" s="151" t="s">
        <v>194</v>
      </c>
      <c r="Z226" s="152">
        <v>1.4999999999999999E-2</v>
      </c>
      <c r="AA226" s="152">
        <v>1.2500000000000001E-2</v>
      </c>
      <c r="AC226" s="72">
        <f t="shared" si="3"/>
        <v>0</v>
      </c>
    </row>
    <row r="227" spans="1:29" ht="14.25" customHeight="1" thickBot="1" x14ac:dyDescent="0.3">
      <c r="A227" s="1390"/>
      <c r="B227" s="1074"/>
      <c r="C227" s="1075"/>
      <c r="D227" s="1075"/>
      <c r="E227" s="1075"/>
      <c r="F227" s="1075"/>
      <c r="G227" s="1076"/>
      <c r="H227" s="986"/>
      <c r="I227" s="1017"/>
      <c r="J227" s="1046"/>
      <c r="K227" s="1047"/>
      <c r="L227" s="984" t="s">
        <v>249</v>
      </c>
      <c r="M227" s="985"/>
      <c r="N227" s="985"/>
      <c r="O227" s="985"/>
      <c r="P227" s="985"/>
      <c r="Q227" s="978" t="s">
        <v>99</v>
      </c>
      <c r="R227" s="972"/>
      <c r="S227" s="973"/>
      <c r="T227" s="1258"/>
      <c r="U227" s="1337"/>
      <c r="V227" s="72">
        <f>IF(AND(Q227="ja",R227=""),1,0)</f>
        <v>1</v>
      </c>
      <c r="AC227" s="72">
        <f t="shared" si="3"/>
        <v>1</v>
      </c>
    </row>
    <row r="228" spans="1:29" ht="14.25" customHeight="1" thickBot="1" x14ac:dyDescent="0.3">
      <c r="A228" s="1390"/>
      <c r="B228" s="1077" t="s">
        <v>250</v>
      </c>
      <c r="C228" s="1078"/>
      <c r="D228" s="1078"/>
      <c r="E228" s="1078"/>
      <c r="F228" s="1078"/>
      <c r="G228" s="1079"/>
      <c r="H228" s="986" t="s">
        <v>100</v>
      </c>
      <c r="I228" s="1017"/>
      <c r="J228" s="1046"/>
      <c r="K228" s="1047"/>
      <c r="L228" s="984"/>
      <c r="M228" s="985"/>
      <c r="N228" s="985"/>
      <c r="O228" s="985"/>
      <c r="P228" s="985"/>
      <c r="Q228" s="978"/>
      <c r="R228" s="972"/>
      <c r="S228" s="973"/>
      <c r="T228" s="1258"/>
      <c r="U228" s="1337"/>
      <c r="W228" s="74">
        <f>IF(H228="ja",Z228,0)</f>
        <v>0</v>
      </c>
      <c r="X228" s="74">
        <f>IF(H228="ja",AA228,0)</f>
        <v>0</v>
      </c>
      <c r="Y228" s="151" t="s">
        <v>167</v>
      </c>
      <c r="Z228" s="152">
        <v>1.6E-2</v>
      </c>
      <c r="AA228" s="152">
        <v>1.2500000000000001E-2</v>
      </c>
      <c r="AC228" s="72">
        <f t="shared" si="3"/>
        <v>0</v>
      </c>
    </row>
    <row r="229" spans="1:29" ht="14.25" customHeight="1" thickBot="1" x14ac:dyDescent="0.3">
      <c r="A229" s="1390"/>
      <c r="B229" s="1074"/>
      <c r="C229" s="1075"/>
      <c r="D229" s="1075"/>
      <c r="E229" s="1075"/>
      <c r="F229" s="1075"/>
      <c r="G229" s="1076"/>
      <c r="H229" s="986"/>
      <c r="I229" s="1017"/>
      <c r="J229" s="1046"/>
      <c r="K229" s="1047"/>
      <c r="L229" s="984"/>
      <c r="M229" s="985"/>
      <c r="N229" s="985"/>
      <c r="O229" s="985"/>
      <c r="P229" s="985"/>
      <c r="Q229" s="978"/>
      <c r="R229" s="972"/>
      <c r="S229" s="973"/>
      <c r="T229" s="1258"/>
      <c r="U229" s="1337"/>
      <c r="AC229" s="72">
        <f t="shared" si="3"/>
        <v>0</v>
      </c>
    </row>
    <row r="230" spans="1:29" ht="13.6" customHeight="1" thickBot="1" x14ac:dyDescent="0.3">
      <c r="A230" s="1390"/>
      <c r="B230" s="1077" t="s">
        <v>251</v>
      </c>
      <c r="C230" s="1078"/>
      <c r="D230" s="1078"/>
      <c r="E230" s="1078"/>
      <c r="F230" s="1078"/>
      <c r="G230" s="1079"/>
      <c r="H230" s="1014" t="s">
        <v>100</v>
      </c>
      <c r="I230" s="1017"/>
      <c r="J230" s="1046"/>
      <c r="K230" s="1047"/>
      <c r="L230" s="984" t="s">
        <v>976</v>
      </c>
      <c r="M230" s="985"/>
      <c r="N230" s="985"/>
      <c r="O230" s="985"/>
      <c r="P230" s="985"/>
      <c r="Q230" s="979" t="s">
        <v>99</v>
      </c>
      <c r="R230" s="1005"/>
      <c r="S230" s="1006"/>
      <c r="T230" s="1258"/>
      <c r="U230" s="1337"/>
      <c r="V230" s="72">
        <f>IF(AND(Q230="ja",R230=""),1,0)</f>
        <v>1</v>
      </c>
      <c r="W230" s="74">
        <f>IF(H230="ja",Z230,0)</f>
        <v>0</v>
      </c>
      <c r="X230" s="74">
        <f>IF(H230="ja",AA230,0)</f>
        <v>0</v>
      </c>
      <c r="Y230" s="151" t="s">
        <v>168</v>
      </c>
      <c r="Z230" s="152">
        <v>7.4999999999999997E-3</v>
      </c>
      <c r="AA230" s="152">
        <v>7.4999999999999997E-3</v>
      </c>
      <c r="AC230" s="72">
        <f t="shared" si="3"/>
        <v>1</v>
      </c>
    </row>
    <row r="231" spans="1:29" ht="13.6" customHeight="1" thickBot="1" x14ac:dyDescent="0.3">
      <c r="A231" s="1390"/>
      <c r="B231" s="1072"/>
      <c r="C231" s="913"/>
      <c r="D231" s="913"/>
      <c r="E231" s="913"/>
      <c r="F231" s="913"/>
      <c r="G231" s="1073"/>
      <c r="H231" s="1080"/>
      <c r="I231" s="1017"/>
      <c r="J231" s="1046"/>
      <c r="K231" s="1047"/>
      <c r="L231" s="984"/>
      <c r="M231" s="985"/>
      <c r="N231" s="985"/>
      <c r="O231" s="985"/>
      <c r="P231" s="985"/>
      <c r="Q231" s="1003"/>
      <c r="R231" s="1007"/>
      <c r="S231" s="1008"/>
      <c r="T231" s="1258"/>
      <c r="U231" s="1337"/>
      <c r="W231" s="74"/>
      <c r="X231" s="74"/>
      <c r="Y231" s="151"/>
      <c r="Z231" s="152"/>
      <c r="AA231" s="152"/>
      <c r="AC231" s="72">
        <f t="shared" si="3"/>
        <v>0</v>
      </c>
    </row>
    <row r="232" spans="1:29" ht="13.6" customHeight="1" thickBot="1" x14ac:dyDescent="0.3">
      <c r="A232" s="1390"/>
      <c r="B232" s="1074"/>
      <c r="C232" s="1075"/>
      <c r="D232" s="1075"/>
      <c r="E232" s="1075"/>
      <c r="F232" s="1075"/>
      <c r="G232" s="1076"/>
      <c r="H232" s="1081"/>
      <c r="I232" s="1017"/>
      <c r="J232" s="1046"/>
      <c r="K232" s="1047"/>
      <c r="L232" s="984"/>
      <c r="M232" s="985"/>
      <c r="N232" s="985"/>
      <c r="O232" s="985"/>
      <c r="P232" s="985"/>
      <c r="Q232" s="1003"/>
      <c r="R232" s="1007"/>
      <c r="S232" s="1008"/>
      <c r="T232" s="1258"/>
      <c r="U232" s="1337"/>
      <c r="W232" s="74"/>
      <c r="X232" s="74"/>
      <c r="Y232" s="151"/>
      <c r="Z232" s="152"/>
      <c r="AA232" s="152"/>
      <c r="AC232" s="72">
        <f t="shared" si="3"/>
        <v>0</v>
      </c>
    </row>
    <row r="233" spans="1:29" ht="15" customHeight="1" thickBot="1" x14ac:dyDescent="0.3">
      <c r="A233" s="1390"/>
      <c r="B233" s="1077" t="s">
        <v>252</v>
      </c>
      <c r="C233" s="1078"/>
      <c r="D233" s="1078"/>
      <c r="E233" s="1078"/>
      <c r="F233" s="1078"/>
      <c r="G233" s="1079"/>
      <c r="H233" s="986" t="s">
        <v>100</v>
      </c>
      <c r="I233" s="1017"/>
      <c r="J233" s="1046"/>
      <c r="K233" s="1047"/>
      <c r="L233" s="984"/>
      <c r="M233" s="985"/>
      <c r="N233" s="985"/>
      <c r="O233" s="985"/>
      <c r="P233" s="985"/>
      <c r="Q233" s="1003"/>
      <c r="R233" s="1007"/>
      <c r="S233" s="1008"/>
      <c r="T233" s="1258"/>
      <c r="U233" s="1337"/>
      <c r="W233" s="74">
        <f>IF(H233="ja",Z233,0)</f>
        <v>0</v>
      </c>
      <c r="X233" s="74">
        <f>IF(H233="ja",AA233,0)</f>
        <v>0</v>
      </c>
      <c r="Y233" s="151" t="s">
        <v>179</v>
      </c>
      <c r="Z233" s="152">
        <v>0.01</v>
      </c>
      <c r="AA233" s="152">
        <v>0.01</v>
      </c>
      <c r="AC233" s="72">
        <f t="shared" si="3"/>
        <v>0</v>
      </c>
    </row>
    <row r="234" spans="1:29" ht="15" customHeight="1" thickBot="1" x14ac:dyDescent="0.3">
      <c r="A234" s="1390"/>
      <c r="B234" s="1074"/>
      <c r="C234" s="1075"/>
      <c r="D234" s="1075"/>
      <c r="E234" s="1075"/>
      <c r="F234" s="1075"/>
      <c r="G234" s="1076"/>
      <c r="H234" s="986"/>
      <c r="I234" s="1017"/>
      <c r="J234" s="1046"/>
      <c r="K234" s="1047"/>
      <c r="L234" s="984"/>
      <c r="M234" s="985"/>
      <c r="N234" s="985"/>
      <c r="O234" s="985"/>
      <c r="P234" s="985"/>
      <c r="Q234" s="1003"/>
      <c r="R234" s="1007"/>
      <c r="S234" s="1008"/>
      <c r="T234" s="1258"/>
      <c r="U234" s="1337"/>
      <c r="AC234" s="72">
        <f t="shared" si="3"/>
        <v>0</v>
      </c>
    </row>
    <row r="235" spans="1:29" ht="14.25" customHeight="1" thickBot="1" x14ac:dyDescent="0.3">
      <c r="A235" s="1390"/>
      <c r="B235" s="1077" t="s">
        <v>253</v>
      </c>
      <c r="C235" s="1078"/>
      <c r="D235" s="1078"/>
      <c r="E235" s="1078"/>
      <c r="F235" s="1078"/>
      <c r="G235" s="1079"/>
      <c r="H235" s="1014" t="s">
        <v>100</v>
      </c>
      <c r="I235" s="1017"/>
      <c r="J235" s="1046"/>
      <c r="K235" s="1047"/>
      <c r="L235" s="984"/>
      <c r="M235" s="985"/>
      <c r="N235" s="985"/>
      <c r="O235" s="985"/>
      <c r="P235" s="985"/>
      <c r="Q235" s="1003"/>
      <c r="R235" s="1007"/>
      <c r="S235" s="1008"/>
      <c r="T235" s="1258"/>
      <c r="U235" s="1337"/>
      <c r="W235" s="74">
        <f>IF(H235="ja",Z235,0)</f>
        <v>0</v>
      </c>
      <c r="X235" s="74">
        <f>IF(H235="ja",AA235,0)</f>
        <v>0</v>
      </c>
      <c r="Y235" s="151" t="s">
        <v>180</v>
      </c>
      <c r="Z235" s="152">
        <v>3.7499999999999999E-2</v>
      </c>
      <c r="AA235" s="152">
        <v>3.7499999999999999E-2</v>
      </c>
      <c r="AC235" s="72">
        <f t="shared" si="3"/>
        <v>0</v>
      </c>
    </row>
    <row r="236" spans="1:29" ht="23.25" customHeight="1" thickBot="1" x14ac:dyDescent="0.3">
      <c r="A236" s="1390"/>
      <c r="B236" s="1072"/>
      <c r="C236" s="913"/>
      <c r="D236" s="913"/>
      <c r="E236" s="913"/>
      <c r="F236" s="913"/>
      <c r="G236" s="1073"/>
      <c r="H236" s="1080"/>
      <c r="I236" s="1017"/>
      <c r="J236" s="1046"/>
      <c r="K236" s="1047"/>
      <c r="L236" s="984"/>
      <c r="M236" s="985"/>
      <c r="N236" s="985"/>
      <c r="O236" s="985"/>
      <c r="P236" s="985"/>
      <c r="Q236" s="1295"/>
      <c r="R236" s="1269"/>
      <c r="S236" s="1270"/>
      <c r="T236" s="1258"/>
      <c r="U236" s="1337"/>
      <c r="AC236" s="72">
        <f t="shared" si="3"/>
        <v>0</v>
      </c>
    </row>
    <row r="237" spans="1:29" ht="14.25" customHeight="1" thickBot="1" x14ac:dyDescent="0.3">
      <c r="A237" s="1390"/>
      <c r="B237" s="1074"/>
      <c r="C237" s="1075"/>
      <c r="D237" s="1075"/>
      <c r="E237" s="1075"/>
      <c r="F237" s="1075"/>
      <c r="G237" s="1076"/>
      <c r="H237" s="1081"/>
      <c r="I237" s="1017"/>
      <c r="J237" s="1046"/>
      <c r="K237" s="1047"/>
      <c r="L237" s="984" t="s">
        <v>254</v>
      </c>
      <c r="M237" s="985"/>
      <c r="N237" s="985"/>
      <c r="O237" s="985"/>
      <c r="P237" s="985"/>
      <c r="Q237" s="978" t="s">
        <v>99</v>
      </c>
      <c r="R237" s="972"/>
      <c r="S237" s="973"/>
      <c r="T237" s="1258"/>
      <c r="U237" s="1337"/>
      <c r="V237" s="72">
        <f>IF(AND(Q237="ja",R237=""),1,0)</f>
        <v>1</v>
      </c>
      <c r="AC237" s="72">
        <f t="shared" si="3"/>
        <v>1</v>
      </c>
    </row>
    <row r="238" spans="1:29" ht="14.25" customHeight="1" thickBot="1" x14ac:dyDescent="0.3">
      <c r="A238" s="1390"/>
      <c r="B238" s="1077" t="s">
        <v>255</v>
      </c>
      <c r="C238" s="1078"/>
      <c r="D238" s="1078"/>
      <c r="E238" s="1078"/>
      <c r="F238" s="1078"/>
      <c r="G238" s="1079"/>
      <c r="H238" s="986" t="s">
        <v>100</v>
      </c>
      <c r="I238" s="1017"/>
      <c r="J238" s="1046"/>
      <c r="K238" s="1047"/>
      <c r="L238" s="984"/>
      <c r="M238" s="985"/>
      <c r="N238" s="985"/>
      <c r="O238" s="985"/>
      <c r="P238" s="985"/>
      <c r="Q238" s="978"/>
      <c r="R238" s="972"/>
      <c r="S238" s="973"/>
      <c r="T238" s="1258"/>
      <c r="U238" s="1337"/>
      <c r="W238" s="74">
        <f>IF(H238="ja",Z238,0)</f>
        <v>0</v>
      </c>
      <c r="X238" s="74">
        <f>IF(H238="ja",AA238,0)</f>
        <v>0</v>
      </c>
      <c r="Y238" s="151" t="s">
        <v>242</v>
      </c>
      <c r="Z238" s="152">
        <v>2.5000000000000001E-3</v>
      </c>
      <c r="AA238" s="152">
        <v>0.01</v>
      </c>
      <c r="AC238" s="72">
        <f t="shared" si="3"/>
        <v>0</v>
      </c>
    </row>
    <row r="239" spans="1:29" ht="14.25" customHeight="1" thickBot="1" x14ac:dyDescent="0.3">
      <c r="A239" s="1390"/>
      <c r="B239" s="1074"/>
      <c r="C239" s="1075"/>
      <c r="D239" s="1075"/>
      <c r="E239" s="1075"/>
      <c r="F239" s="1075"/>
      <c r="G239" s="1076"/>
      <c r="H239" s="986"/>
      <c r="I239" s="1017"/>
      <c r="J239" s="1046"/>
      <c r="K239" s="1047"/>
      <c r="L239" s="984"/>
      <c r="M239" s="985"/>
      <c r="N239" s="985"/>
      <c r="O239" s="985"/>
      <c r="P239" s="985"/>
      <c r="Q239" s="978"/>
      <c r="R239" s="972"/>
      <c r="S239" s="973"/>
      <c r="T239" s="1258"/>
      <c r="U239" s="1337"/>
      <c r="Y239" s="151"/>
      <c r="Z239" s="151"/>
      <c r="AA239" s="151"/>
      <c r="AC239" s="72">
        <f t="shared" si="3"/>
        <v>0</v>
      </c>
    </row>
    <row r="240" spans="1:29" ht="14.25" customHeight="1" thickBot="1" x14ac:dyDescent="0.3">
      <c r="A240" s="1390"/>
      <c r="B240" s="1077" t="s">
        <v>256</v>
      </c>
      <c r="C240" s="1078"/>
      <c r="D240" s="1078"/>
      <c r="E240" s="1078"/>
      <c r="F240" s="1078"/>
      <c r="G240" s="1079"/>
      <c r="H240" s="986" t="s">
        <v>100</v>
      </c>
      <c r="I240" s="1017"/>
      <c r="J240" s="1046"/>
      <c r="K240" s="1047"/>
      <c r="L240" s="984" t="s">
        <v>975</v>
      </c>
      <c r="M240" s="985"/>
      <c r="N240" s="985"/>
      <c r="O240" s="985"/>
      <c r="P240" s="985"/>
      <c r="Q240" s="978" t="s">
        <v>99</v>
      </c>
      <c r="R240" s="972"/>
      <c r="S240" s="973"/>
      <c r="T240" s="1258"/>
      <c r="U240" s="1337"/>
      <c r="V240" s="72">
        <f>IF(AND(Q240="ja",R240=""),1,0)</f>
        <v>1</v>
      </c>
      <c r="W240" s="74">
        <f>IF(H240="ja",Z240,0)</f>
        <v>0</v>
      </c>
      <c r="X240" s="74">
        <f>IF(H240="ja",AA240,0)</f>
        <v>0</v>
      </c>
      <c r="Y240" s="151" t="s">
        <v>185</v>
      </c>
      <c r="Z240" s="152">
        <v>8.5000000000000006E-3</v>
      </c>
      <c r="AA240" s="152">
        <v>7.0000000000000001E-3</v>
      </c>
      <c r="AC240" s="72">
        <f t="shared" si="3"/>
        <v>1</v>
      </c>
    </row>
    <row r="241" spans="1:29" ht="14.25" customHeight="1" thickBot="1" x14ac:dyDescent="0.3">
      <c r="A241" s="1390"/>
      <c r="B241" s="1072"/>
      <c r="C241" s="913"/>
      <c r="D241" s="913"/>
      <c r="E241" s="913"/>
      <c r="F241" s="913"/>
      <c r="G241" s="1073"/>
      <c r="H241" s="986"/>
      <c r="I241" s="1017"/>
      <c r="J241" s="1046"/>
      <c r="K241" s="1047"/>
      <c r="L241" s="984"/>
      <c r="M241" s="985"/>
      <c r="N241" s="985"/>
      <c r="O241" s="985"/>
      <c r="P241" s="985"/>
      <c r="Q241" s="978"/>
      <c r="R241" s="972"/>
      <c r="S241" s="973"/>
      <c r="T241" s="1258"/>
      <c r="U241" s="1337"/>
      <c r="W241" s="74"/>
      <c r="X241" s="74"/>
      <c r="Y241" s="151"/>
      <c r="Z241" s="152"/>
      <c r="AA241" s="152"/>
      <c r="AC241" s="72">
        <f t="shared" si="3"/>
        <v>0</v>
      </c>
    </row>
    <row r="242" spans="1:29" ht="14.25" customHeight="1" thickBot="1" x14ac:dyDescent="0.3">
      <c r="A242" s="1390"/>
      <c r="B242" s="1072"/>
      <c r="C242" s="913"/>
      <c r="D242" s="913"/>
      <c r="E242" s="913"/>
      <c r="F242" s="913"/>
      <c r="G242" s="1073"/>
      <c r="H242" s="986"/>
      <c r="I242" s="1017"/>
      <c r="J242" s="1046"/>
      <c r="K242" s="1047"/>
      <c r="L242" s="984"/>
      <c r="M242" s="985"/>
      <c r="N242" s="985"/>
      <c r="O242" s="985"/>
      <c r="P242" s="985"/>
      <c r="Q242" s="978"/>
      <c r="R242" s="972"/>
      <c r="S242" s="973"/>
      <c r="T242" s="1258"/>
      <c r="U242" s="1337"/>
      <c r="W242" s="74"/>
      <c r="X242" s="74"/>
      <c r="Y242" s="151"/>
      <c r="Z242" s="152"/>
      <c r="AA242" s="152"/>
      <c r="AC242" s="72">
        <f t="shared" si="3"/>
        <v>0</v>
      </c>
    </row>
    <row r="243" spans="1:29" ht="14.25" customHeight="1" thickBot="1" x14ac:dyDescent="0.3">
      <c r="A243" s="1390"/>
      <c r="B243" s="1072"/>
      <c r="C243" s="913"/>
      <c r="D243" s="913"/>
      <c r="E243" s="913"/>
      <c r="F243" s="913"/>
      <c r="G243" s="1073"/>
      <c r="H243" s="986"/>
      <c r="I243" s="1017"/>
      <c r="J243" s="1046"/>
      <c r="K243" s="1047"/>
      <c r="L243" s="984"/>
      <c r="M243" s="985"/>
      <c r="N243" s="985"/>
      <c r="O243" s="985"/>
      <c r="P243" s="985"/>
      <c r="Q243" s="978"/>
      <c r="R243" s="972"/>
      <c r="S243" s="973"/>
      <c r="T243" s="1258"/>
      <c r="U243" s="1337"/>
      <c r="Y243" s="151"/>
      <c r="Z243" s="152"/>
      <c r="AA243" s="151"/>
      <c r="AC243" s="72">
        <f t="shared" si="3"/>
        <v>0</v>
      </c>
    </row>
    <row r="244" spans="1:29" ht="35.25" customHeight="1" thickBot="1" x14ac:dyDescent="0.3">
      <c r="A244" s="1390"/>
      <c r="B244" s="1074"/>
      <c r="C244" s="1075"/>
      <c r="D244" s="1075"/>
      <c r="E244" s="1075"/>
      <c r="F244" s="1075"/>
      <c r="G244" s="1076"/>
      <c r="H244" s="986"/>
      <c r="I244" s="1017"/>
      <c r="J244" s="1046"/>
      <c r="K244" s="1047"/>
      <c r="L244" s="984"/>
      <c r="M244" s="985"/>
      <c r="N244" s="985"/>
      <c r="O244" s="985"/>
      <c r="P244" s="985"/>
      <c r="Q244" s="978"/>
      <c r="R244" s="972"/>
      <c r="S244" s="973"/>
      <c r="T244" s="1258"/>
      <c r="U244" s="1337"/>
      <c r="AC244" s="72">
        <f t="shared" si="3"/>
        <v>0</v>
      </c>
    </row>
    <row r="245" spans="1:29" ht="14.25" customHeight="1" thickBot="1" x14ac:dyDescent="0.3">
      <c r="A245" s="1390"/>
      <c r="B245" s="1308" t="s">
        <v>257</v>
      </c>
      <c r="C245" s="1309"/>
      <c r="D245" s="1309"/>
      <c r="E245" s="1309"/>
      <c r="F245" s="1309"/>
      <c r="G245" s="1310"/>
      <c r="H245" s="316" t="s">
        <v>100</v>
      </c>
      <c r="I245" s="1017"/>
      <c r="J245" s="1046"/>
      <c r="K245" s="1047"/>
      <c r="L245" s="1484" t="s">
        <v>263</v>
      </c>
      <c r="M245" s="1485"/>
      <c r="N245" s="1485"/>
      <c r="O245" s="1485"/>
      <c r="P245" s="1486"/>
      <c r="Q245" s="979" t="s">
        <v>99</v>
      </c>
      <c r="R245" s="1005"/>
      <c r="S245" s="1006"/>
      <c r="T245" s="1258"/>
      <c r="U245" s="1337"/>
      <c r="V245" s="72">
        <f>IF(AND(Q245="ja",R245=""),1,0)</f>
        <v>1</v>
      </c>
      <c r="W245" s="74">
        <f>IF(H245="ja",Z245,0)</f>
        <v>0</v>
      </c>
      <c r="X245" s="74">
        <f>IF(H245="ja",AA245,0)</f>
        <v>0</v>
      </c>
      <c r="Y245" s="151" t="s">
        <v>258</v>
      </c>
      <c r="Z245" s="152">
        <v>0.01</v>
      </c>
      <c r="AA245" s="152">
        <v>0.01</v>
      </c>
      <c r="AC245" s="72">
        <f t="shared" si="3"/>
        <v>1</v>
      </c>
    </row>
    <row r="246" spans="1:29" ht="14.25" customHeight="1" thickBot="1" x14ac:dyDescent="0.3">
      <c r="A246" s="1390"/>
      <c r="B246" s="1077" t="s">
        <v>259</v>
      </c>
      <c r="C246" s="1078"/>
      <c r="D246" s="1078"/>
      <c r="E246" s="1078"/>
      <c r="F246" s="1078"/>
      <c r="G246" s="1079"/>
      <c r="H246" s="986" t="s">
        <v>100</v>
      </c>
      <c r="I246" s="1017"/>
      <c r="J246" s="1046"/>
      <c r="K246" s="1047"/>
      <c r="L246" s="1288"/>
      <c r="M246" s="2227"/>
      <c r="N246" s="2227"/>
      <c r="O246" s="2227"/>
      <c r="P246" s="1290"/>
      <c r="Q246" s="1003"/>
      <c r="R246" s="1007"/>
      <c r="S246" s="1008"/>
      <c r="T246" s="1258"/>
      <c r="U246" s="1337"/>
      <c r="W246" s="74">
        <f>IF(H246="ja",Z246,0)</f>
        <v>0</v>
      </c>
      <c r="X246" s="74">
        <f>IF(H246="ja",AA246,0)</f>
        <v>0</v>
      </c>
      <c r="Y246" s="151" t="s">
        <v>260</v>
      </c>
      <c r="Z246" s="152">
        <v>1.4999999999999999E-2</v>
      </c>
      <c r="AA246" s="152">
        <v>1.4999999999999999E-2</v>
      </c>
      <c r="AC246" s="72">
        <f t="shared" si="3"/>
        <v>0</v>
      </c>
    </row>
    <row r="247" spans="1:29" ht="14.25" customHeight="1" thickBot="1" x14ac:dyDescent="0.3">
      <c r="A247" s="1390"/>
      <c r="B247" s="1072"/>
      <c r="C247" s="913"/>
      <c r="D247" s="913"/>
      <c r="E247" s="913"/>
      <c r="F247" s="913"/>
      <c r="G247" s="1073"/>
      <c r="H247" s="986"/>
      <c r="I247" s="1017"/>
      <c r="J247" s="1046"/>
      <c r="K247" s="1047"/>
      <c r="L247" s="1288"/>
      <c r="M247" s="2227"/>
      <c r="N247" s="2227"/>
      <c r="O247" s="2227"/>
      <c r="P247" s="1290"/>
      <c r="Q247" s="1003"/>
      <c r="R247" s="1007"/>
      <c r="S247" s="1008"/>
      <c r="T247" s="1258"/>
      <c r="U247" s="1337"/>
      <c r="Y247" s="151"/>
      <c r="Z247" s="152"/>
      <c r="AA247" s="152"/>
      <c r="AC247" s="72">
        <f t="shared" si="3"/>
        <v>0</v>
      </c>
    </row>
    <row r="248" spans="1:29" ht="14.25" customHeight="1" thickBot="1" x14ac:dyDescent="0.3">
      <c r="A248" s="1390"/>
      <c r="B248" s="1072"/>
      <c r="C248" s="913"/>
      <c r="D248" s="913"/>
      <c r="E248" s="913"/>
      <c r="F248" s="913"/>
      <c r="G248" s="1073"/>
      <c r="H248" s="986"/>
      <c r="I248" s="1017"/>
      <c r="J248" s="1046"/>
      <c r="K248" s="1047"/>
      <c r="L248" s="1288"/>
      <c r="M248" s="2227"/>
      <c r="N248" s="2227"/>
      <c r="O248" s="2227"/>
      <c r="P248" s="1290"/>
      <c r="Q248" s="1003"/>
      <c r="R248" s="1007"/>
      <c r="S248" s="1008"/>
      <c r="T248" s="1258"/>
      <c r="U248" s="1337"/>
      <c r="V248" s="72">
        <f>IF(AND(Q248="ja",R248=""),1,0)</f>
        <v>0</v>
      </c>
      <c r="AC248" s="72">
        <f t="shared" si="3"/>
        <v>0</v>
      </c>
    </row>
    <row r="249" spans="1:29" ht="14.25" customHeight="1" thickBot="1" x14ac:dyDescent="0.3">
      <c r="A249" s="1390"/>
      <c r="B249" s="1074"/>
      <c r="C249" s="1075"/>
      <c r="D249" s="1075"/>
      <c r="E249" s="1075"/>
      <c r="F249" s="1075"/>
      <c r="G249" s="1076"/>
      <c r="H249" s="986"/>
      <c r="I249" s="1017"/>
      <c r="J249" s="1046"/>
      <c r="K249" s="1047"/>
      <c r="L249" s="1288"/>
      <c r="M249" s="2227"/>
      <c r="N249" s="2227"/>
      <c r="O249" s="2227"/>
      <c r="P249" s="1290"/>
      <c r="Q249" s="1003"/>
      <c r="R249" s="1007"/>
      <c r="S249" s="1008"/>
      <c r="T249" s="1258"/>
      <c r="U249" s="1337"/>
      <c r="AC249" s="72">
        <f t="shared" si="3"/>
        <v>0</v>
      </c>
    </row>
    <row r="250" spans="1:29" ht="14.25" customHeight="1" thickBot="1" x14ac:dyDescent="0.3">
      <c r="A250" s="1390"/>
      <c r="B250" s="1077" t="s">
        <v>261</v>
      </c>
      <c r="C250" s="1078"/>
      <c r="D250" s="1078"/>
      <c r="E250" s="1078"/>
      <c r="F250" s="1078"/>
      <c r="G250" s="1079"/>
      <c r="H250" s="986" t="s">
        <v>100</v>
      </c>
      <c r="I250" s="1017"/>
      <c r="J250" s="1046"/>
      <c r="K250" s="1047"/>
      <c r="L250" s="1291"/>
      <c r="M250" s="1292"/>
      <c r="N250" s="1292"/>
      <c r="O250" s="1292"/>
      <c r="P250" s="1293"/>
      <c r="Q250" s="1295"/>
      <c r="R250" s="1269"/>
      <c r="S250" s="1270"/>
      <c r="T250" s="1258"/>
      <c r="U250" s="1337"/>
      <c r="W250" s="74">
        <f>IF(H250="ja",Z250,0)</f>
        <v>0</v>
      </c>
      <c r="X250" s="74">
        <f>IF(H250="ja",AA250,0)</f>
        <v>0</v>
      </c>
      <c r="Y250" s="151" t="s">
        <v>262</v>
      </c>
      <c r="Z250" s="152">
        <v>1E-3</v>
      </c>
      <c r="AA250" s="152">
        <v>1E-3</v>
      </c>
      <c r="AC250" s="72">
        <f t="shared" si="3"/>
        <v>0</v>
      </c>
    </row>
    <row r="251" spans="1:29" ht="14.25" customHeight="1" thickBot="1" x14ac:dyDescent="0.3">
      <c r="A251" s="1390"/>
      <c r="B251" s="1074"/>
      <c r="C251" s="1075"/>
      <c r="D251" s="1075"/>
      <c r="E251" s="1075"/>
      <c r="F251" s="1075"/>
      <c r="G251" s="1076"/>
      <c r="H251" s="986"/>
      <c r="I251" s="1017"/>
      <c r="J251" s="1046"/>
      <c r="K251" s="1047"/>
      <c r="L251" s="1064"/>
      <c r="M251" s="1065"/>
      <c r="N251" s="1065"/>
      <c r="O251" s="1065"/>
      <c r="P251" s="1066"/>
      <c r="Q251" s="979"/>
      <c r="R251" s="1005"/>
      <c r="S251" s="1006"/>
      <c r="T251" s="1258"/>
      <c r="U251" s="1337"/>
      <c r="V251" s="72">
        <f>IF(AND(Q251="ja",R251=""),1,0)</f>
        <v>0</v>
      </c>
      <c r="Y251" s="151"/>
      <c r="Z251" s="151"/>
      <c r="AA251" s="152"/>
      <c r="AC251" s="72">
        <f t="shared" si="3"/>
        <v>0</v>
      </c>
    </row>
    <row r="252" spans="1:29" ht="14.25" customHeight="1" thickBot="1" x14ac:dyDescent="0.3">
      <c r="A252" s="1390"/>
      <c r="B252" s="1077" t="s">
        <v>264</v>
      </c>
      <c r="C252" s="1078"/>
      <c r="D252" s="1078"/>
      <c r="E252" s="1078"/>
      <c r="F252" s="1078"/>
      <c r="G252" s="1079"/>
      <c r="H252" s="1014" t="s">
        <v>100</v>
      </c>
      <c r="I252" s="1017"/>
      <c r="J252" s="1046"/>
      <c r="K252" s="1047"/>
      <c r="L252" s="1067"/>
      <c r="M252" s="2240"/>
      <c r="N252" s="2240"/>
      <c r="O252" s="2240"/>
      <c r="P252" s="1068"/>
      <c r="Q252" s="1003"/>
      <c r="R252" s="1007"/>
      <c r="S252" s="1008"/>
      <c r="T252" s="1258"/>
      <c r="U252" s="1337"/>
      <c r="W252" s="74">
        <f>IF(H252="ja",Z252,0)</f>
        <v>0</v>
      </c>
      <c r="X252" s="74">
        <f>IF(H252="ja",AA252,0)</f>
        <v>0</v>
      </c>
      <c r="Y252" s="151" t="s">
        <v>265</v>
      </c>
      <c r="Z252" s="152">
        <v>2.5000000000000001E-3</v>
      </c>
      <c r="AA252" s="152">
        <v>2.5000000000000001E-3</v>
      </c>
      <c r="AC252" s="72">
        <f t="shared" si="3"/>
        <v>0</v>
      </c>
    </row>
    <row r="253" spans="1:29" ht="14.25" customHeight="1" thickBot="1" x14ac:dyDescent="0.3">
      <c r="A253" s="1390"/>
      <c r="B253" s="1072"/>
      <c r="C253" s="913"/>
      <c r="D253" s="913"/>
      <c r="E253" s="913"/>
      <c r="F253" s="913"/>
      <c r="G253" s="1073"/>
      <c r="H253" s="1080"/>
      <c r="I253" s="1017"/>
      <c r="J253" s="1046"/>
      <c r="K253" s="1047"/>
      <c r="L253" s="1067"/>
      <c r="M253" s="2240"/>
      <c r="N253" s="2240"/>
      <c r="O253" s="2240"/>
      <c r="P253" s="1068"/>
      <c r="Q253" s="1003"/>
      <c r="R253" s="1007"/>
      <c r="S253" s="1008"/>
      <c r="T253" s="1258"/>
      <c r="U253" s="1337"/>
      <c r="W253" s="74"/>
      <c r="X253" s="74"/>
      <c r="Y253" s="151"/>
      <c r="Z253" s="152"/>
      <c r="AA253" s="152"/>
      <c r="AC253" s="72">
        <f t="shared" si="3"/>
        <v>0</v>
      </c>
    </row>
    <row r="254" spans="1:29" ht="14.25" customHeight="1" thickBot="1" x14ac:dyDescent="0.3">
      <c r="A254" s="1390"/>
      <c r="B254" s="1072"/>
      <c r="C254" s="913"/>
      <c r="D254" s="913"/>
      <c r="E254" s="913"/>
      <c r="F254" s="913"/>
      <c r="G254" s="1073"/>
      <c r="H254" s="1080"/>
      <c r="I254" s="1017"/>
      <c r="J254" s="1046"/>
      <c r="K254" s="1047"/>
      <c r="L254" s="1067"/>
      <c r="M254" s="2240"/>
      <c r="N254" s="2240"/>
      <c r="O254" s="2240"/>
      <c r="P254" s="1068"/>
      <c r="Q254" s="1003"/>
      <c r="R254" s="1007"/>
      <c r="S254" s="1008"/>
      <c r="T254" s="1258"/>
      <c r="U254" s="1337"/>
      <c r="W254" s="74"/>
      <c r="X254" s="74"/>
      <c r="Y254" s="151"/>
      <c r="Z254" s="152"/>
      <c r="AA254" s="152"/>
      <c r="AC254" s="72">
        <f t="shared" ref="AC254:AC271" si="4">IF(Q254="ja",1,0)</f>
        <v>0</v>
      </c>
    </row>
    <row r="255" spans="1:29" ht="14.25" customHeight="1" thickBot="1" x14ac:dyDescent="0.3">
      <c r="A255" s="1390"/>
      <c r="B255" s="1072"/>
      <c r="C255" s="913"/>
      <c r="D255" s="913"/>
      <c r="E255" s="913"/>
      <c r="F255" s="913"/>
      <c r="G255" s="1073"/>
      <c r="H255" s="1080"/>
      <c r="I255" s="1017"/>
      <c r="J255" s="1046"/>
      <c r="K255" s="1047"/>
      <c r="L255" s="1067"/>
      <c r="M255" s="2240"/>
      <c r="N255" s="2240"/>
      <c r="O255" s="2240"/>
      <c r="P255" s="1068"/>
      <c r="Q255" s="1003"/>
      <c r="R255" s="1007"/>
      <c r="S255" s="1008"/>
      <c r="T255" s="1258"/>
      <c r="U255" s="1337"/>
      <c r="Y255" s="151"/>
      <c r="Z255" s="151"/>
      <c r="AA255" s="151"/>
      <c r="AC255" s="72">
        <f t="shared" si="4"/>
        <v>0</v>
      </c>
    </row>
    <row r="256" spans="1:29" ht="14.25" customHeight="1" thickBot="1" x14ac:dyDescent="0.3">
      <c r="A256" s="1390"/>
      <c r="B256" s="1072"/>
      <c r="C256" s="913"/>
      <c r="D256" s="913"/>
      <c r="E256" s="913"/>
      <c r="F256" s="913"/>
      <c r="G256" s="1073"/>
      <c r="H256" s="1080"/>
      <c r="I256" s="1017"/>
      <c r="J256" s="1046"/>
      <c r="K256" s="1047"/>
      <c r="L256" s="1067"/>
      <c r="M256" s="2240"/>
      <c r="N256" s="2240"/>
      <c r="O256" s="2240"/>
      <c r="P256" s="1068"/>
      <c r="Q256" s="1003"/>
      <c r="R256" s="1007"/>
      <c r="S256" s="1008"/>
      <c r="T256" s="1258"/>
      <c r="U256" s="1337"/>
      <c r="V256" s="72">
        <f>IF(AND(Q256="ja",R256=""),1,0)</f>
        <v>0</v>
      </c>
      <c r="AC256" s="72">
        <f t="shared" si="4"/>
        <v>0</v>
      </c>
    </row>
    <row r="257" spans="1:29" ht="14.25" customHeight="1" thickBot="1" x14ac:dyDescent="0.3">
      <c r="A257" s="1390"/>
      <c r="B257" s="1074"/>
      <c r="C257" s="1075"/>
      <c r="D257" s="1075"/>
      <c r="E257" s="1075"/>
      <c r="F257" s="1075"/>
      <c r="G257" s="1076"/>
      <c r="H257" s="1081"/>
      <c r="I257" s="1017"/>
      <c r="J257" s="1046"/>
      <c r="K257" s="1047"/>
      <c r="L257" s="1067"/>
      <c r="M257" s="2240"/>
      <c r="N257" s="2240"/>
      <c r="O257" s="2240"/>
      <c r="P257" s="1068"/>
      <c r="Q257" s="1003"/>
      <c r="R257" s="1007"/>
      <c r="S257" s="1008"/>
      <c r="T257" s="1258"/>
      <c r="U257" s="1337"/>
      <c r="AC257" s="72">
        <f t="shared" si="4"/>
        <v>0</v>
      </c>
    </row>
    <row r="258" spans="1:29" ht="14.25" customHeight="1" thickBot="1" x14ac:dyDescent="0.3">
      <c r="A258" s="1390"/>
      <c r="B258" s="1308" t="s">
        <v>266</v>
      </c>
      <c r="C258" s="1309"/>
      <c r="D258" s="1309"/>
      <c r="E258" s="1309"/>
      <c r="F258" s="1309"/>
      <c r="G258" s="1310"/>
      <c r="H258" s="316" t="s">
        <v>100</v>
      </c>
      <c r="I258" s="1017"/>
      <c r="J258" s="1046"/>
      <c r="K258" s="1047"/>
      <c r="L258" s="1067"/>
      <c r="M258" s="2240"/>
      <c r="N258" s="2240"/>
      <c r="O258" s="2240"/>
      <c r="P258" s="1068"/>
      <c r="Q258" s="1003"/>
      <c r="R258" s="1007"/>
      <c r="S258" s="1008"/>
      <c r="T258" s="1258"/>
      <c r="U258" s="1337"/>
      <c r="W258" s="74">
        <f>IF(H258="ja",Z258,0)</f>
        <v>0</v>
      </c>
      <c r="X258" s="74">
        <f>IF(H258="ja",AA258,0)</f>
        <v>0</v>
      </c>
      <c r="Y258" s="151" t="s">
        <v>267</v>
      </c>
      <c r="Z258" s="152">
        <v>2.5000000000000001E-3</v>
      </c>
      <c r="AA258" s="152">
        <v>2.5000000000000001E-3</v>
      </c>
      <c r="AC258" s="72">
        <f t="shared" si="4"/>
        <v>0</v>
      </c>
    </row>
    <row r="259" spans="1:29" ht="14.25" customHeight="1" thickBot="1" x14ac:dyDescent="0.3">
      <c r="A259" s="1390"/>
      <c r="B259" s="1308" t="s">
        <v>268</v>
      </c>
      <c r="C259" s="1309"/>
      <c r="D259" s="1309"/>
      <c r="E259" s="1309"/>
      <c r="F259" s="1309"/>
      <c r="G259" s="1310"/>
      <c r="H259" s="316" t="s">
        <v>100</v>
      </c>
      <c r="I259" s="1017"/>
      <c r="J259" s="1046"/>
      <c r="K259" s="1047"/>
      <c r="L259" s="1067"/>
      <c r="M259" s="2240"/>
      <c r="N259" s="2240"/>
      <c r="O259" s="2240"/>
      <c r="P259" s="1068"/>
      <c r="Q259" s="1003"/>
      <c r="R259" s="1007"/>
      <c r="S259" s="1008"/>
      <c r="T259" s="1258"/>
      <c r="U259" s="1337"/>
      <c r="V259" s="72">
        <f>IF(AND(Q259="ja",R259=""),1,0)</f>
        <v>0</v>
      </c>
      <c r="W259" s="74">
        <f>IF(H259="ja",Z259,0)</f>
        <v>0</v>
      </c>
      <c r="X259" s="74">
        <f>IF(H259="ja",AA259,0)</f>
        <v>0</v>
      </c>
      <c r="Y259" s="151" t="s">
        <v>269</v>
      </c>
      <c r="Z259" s="152">
        <v>1E-3</v>
      </c>
      <c r="AA259" s="152">
        <v>1E-3</v>
      </c>
      <c r="AC259" s="72">
        <f t="shared" si="4"/>
        <v>0</v>
      </c>
    </row>
    <row r="260" spans="1:29" ht="14.25" customHeight="1" thickBot="1" x14ac:dyDescent="0.3">
      <c r="A260" s="1390"/>
      <c r="B260" s="1077" t="s">
        <v>270</v>
      </c>
      <c r="C260" s="1078"/>
      <c r="D260" s="1078"/>
      <c r="E260" s="1078"/>
      <c r="F260" s="1078"/>
      <c r="G260" s="1079"/>
      <c r="H260" s="986" t="s">
        <v>99</v>
      </c>
      <c r="I260" s="1017"/>
      <c r="J260" s="1046"/>
      <c r="K260" s="1047"/>
      <c r="L260" s="1067"/>
      <c r="M260" s="2240"/>
      <c r="N260" s="2240"/>
      <c r="O260" s="2240"/>
      <c r="P260" s="1068"/>
      <c r="Q260" s="1003"/>
      <c r="R260" s="1007"/>
      <c r="S260" s="1008"/>
      <c r="T260" s="1258"/>
      <c r="U260" s="1337"/>
      <c r="W260" s="74">
        <f>IF(H260="ja",Z260,0)</f>
        <v>0.01</v>
      </c>
      <c r="X260" s="74">
        <f>IF(H260="ja",AA260,0)</f>
        <v>0.01</v>
      </c>
      <c r="Y260" s="151" t="s">
        <v>271</v>
      </c>
      <c r="Z260" s="152">
        <v>0.01</v>
      </c>
      <c r="AA260" s="152">
        <v>0.01</v>
      </c>
      <c r="AC260" s="72">
        <f t="shared" si="4"/>
        <v>0</v>
      </c>
    </row>
    <row r="261" spans="1:29" ht="14.25" customHeight="1" thickBot="1" x14ac:dyDescent="0.3">
      <c r="A261" s="1390"/>
      <c r="B261" s="1074"/>
      <c r="C261" s="1075"/>
      <c r="D261" s="1075"/>
      <c r="E261" s="1075"/>
      <c r="F261" s="1075"/>
      <c r="G261" s="1076"/>
      <c r="H261" s="1015"/>
      <c r="I261" s="1018"/>
      <c r="J261" s="1048"/>
      <c r="K261" s="1049"/>
      <c r="L261" s="1069"/>
      <c r="M261" s="1070"/>
      <c r="N261" s="1070"/>
      <c r="O261" s="1070"/>
      <c r="P261" s="1071"/>
      <c r="Q261" s="1004"/>
      <c r="R261" s="1009"/>
      <c r="S261" s="1010"/>
      <c r="T261" s="1259"/>
      <c r="U261" s="1337"/>
      <c r="W261" s="75">
        <f>SUM(W215:W260)</f>
        <v>0.01</v>
      </c>
      <c r="X261" s="75">
        <f>SUM(X215:X260)</f>
        <v>0.01</v>
      </c>
      <c r="AC261" s="72">
        <f t="shared" si="4"/>
        <v>0</v>
      </c>
    </row>
    <row r="262" spans="1:29" ht="14.25" customHeight="1" thickBot="1" x14ac:dyDescent="0.3">
      <c r="A262" s="1390"/>
      <c r="B262" s="1082" t="s">
        <v>272</v>
      </c>
      <c r="C262" s="1083"/>
      <c r="D262" s="1083"/>
      <c r="E262" s="1083"/>
      <c r="F262" s="1083"/>
      <c r="G262" s="438">
        <f>COUNTIF(H215:H261,"ja")</f>
        <v>1</v>
      </c>
      <c r="I262" s="1050"/>
      <c r="J262" s="1051"/>
      <c r="K262" s="1052"/>
      <c r="L262" s="1331">
        <f>SUM(R215:S261)</f>
        <v>0</v>
      </c>
      <c r="M262" s="1332"/>
      <c r="N262" s="1332"/>
      <c r="O262" s="1332"/>
      <c r="P262" s="1332"/>
      <c r="Q262" s="212"/>
      <c r="R262" s="1302"/>
      <c r="S262" s="1303"/>
      <c r="T262" s="525"/>
      <c r="U262" s="335" t="s">
        <v>157</v>
      </c>
      <c r="W262" s="443">
        <f>IF(AND($B$129=$T$19,I262=""),1,0)</f>
        <v>0</v>
      </c>
      <c r="X262" s="443">
        <f>F272</f>
        <v>2</v>
      </c>
      <c r="Y262" s="150" t="s">
        <v>273</v>
      </c>
      <c r="Z262" s="150"/>
      <c r="AA262" s="150"/>
      <c r="AC262" s="72">
        <f t="shared" si="4"/>
        <v>0</v>
      </c>
    </row>
    <row r="263" spans="1:29" ht="14.25" customHeight="1" thickBot="1" x14ac:dyDescent="0.3">
      <c r="A263" s="1390"/>
      <c r="B263" s="1313" t="s">
        <v>274</v>
      </c>
      <c r="C263" s="1314"/>
      <c r="D263" s="1314"/>
      <c r="E263" s="1314"/>
      <c r="F263" s="1314"/>
      <c r="G263" s="1315"/>
      <c r="H263" s="1316" t="s">
        <v>99</v>
      </c>
      <c r="I263" s="1016">
        <f>IF($I$52="Gebäude",W272,X272)</f>
        <v>1.8000000000000002E-2</v>
      </c>
      <c r="J263" s="1044">
        <f>I263*I129</f>
        <v>0</v>
      </c>
      <c r="K263" s="1045"/>
      <c r="L263" s="2253"/>
      <c r="M263" s="2254"/>
      <c r="N263" s="2254"/>
      <c r="O263" s="2254"/>
      <c r="P263" s="2255"/>
      <c r="Q263" s="1294"/>
      <c r="R263" s="1296"/>
      <c r="S263" s="1297"/>
      <c r="T263" s="1257" t="str">
        <f>IFERROR(IF((VLOOKUP(U263,Überblick!$M$125:$N$133,2))="ja","ja","nein"),"")</f>
        <v/>
      </c>
      <c r="U263" s="1337"/>
      <c r="V263" s="72">
        <f>IF(AND(Q263="ja",R263=""),1,0)</f>
        <v>0</v>
      </c>
      <c r="W263" s="74">
        <f>IF(H263="ja",Z263,0)</f>
        <v>0.01</v>
      </c>
      <c r="X263" s="74">
        <f>IF(H263="ja",AA263,0)</f>
        <v>0.01</v>
      </c>
      <c r="Y263" s="151" t="s">
        <v>189</v>
      </c>
      <c r="Z263" s="152">
        <v>0.01</v>
      </c>
      <c r="AA263" s="152">
        <v>0.01</v>
      </c>
      <c r="AC263" s="72">
        <f t="shared" si="4"/>
        <v>0</v>
      </c>
    </row>
    <row r="264" spans="1:29" ht="14.25" customHeight="1" thickBot="1" x14ac:dyDescent="0.3">
      <c r="A264" s="1390"/>
      <c r="B264" s="1072"/>
      <c r="C264" s="913"/>
      <c r="D264" s="913"/>
      <c r="E264" s="913"/>
      <c r="F264" s="913"/>
      <c r="G264" s="1073"/>
      <c r="H264" s="1080"/>
      <c r="I264" s="1017"/>
      <c r="J264" s="1046"/>
      <c r="K264" s="1047"/>
      <c r="L264" s="1067"/>
      <c r="M264" s="2240"/>
      <c r="N264" s="2240"/>
      <c r="O264" s="2240"/>
      <c r="P264" s="1068"/>
      <c r="Q264" s="1003"/>
      <c r="R264" s="1007"/>
      <c r="S264" s="1008"/>
      <c r="T264" s="1258"/>
      <c r="U264" s="1337"/>
      <c r="AC264" s="72">
        <f t="shared" si="4"/>
        <v>0</v>
      </c>
    </row>
    <row r="265" spans="1:29" ht="14.25" customHeight="1" thickBot="1" x14ac:dyDescent="0.3">
      <c r="A265" s="1390"/>
      <c r="B265" s="1072"/>
      <c r="C265" s="913"/>
      <c r="D265" s="913"/>
      <c r="E265" s="913"/>
      <c r="F265" s="913"/>
      <c r="G265" s="1073"/>
      <c r="H265" s="1080"/>
      <c r="I265" s="1017"/>
      <c r="J265" s="1046"/>
      <c r="K265" s="1047"/>
      <c r="L265" s="1067"/>
      <c r="M265" s="2240"/>
      <c r="N265" s="2240"/>
      <c r="O265" s="2240"/>
      <c r="P265" s="1068"/>
      <c r="Q265" s="1003"/>
      <c r="R265" s="1007"/>
      <c r="S265" s="1008"/>
      <c r="T265" s="1258"/>
      <c r="U265" s="1337"/>
      <c r="AC265" s="72">
        <f t="shared" si="4"/>
        <v>0</v>
      </c>
    </row>
    <row r="266" spans="1:29" ht="14.25" customHeight="1" thickBot="1" x14ac:dyDescent="0.3">
      <c r="A266" s="1390"/>
      <c r="B266" s="1072"/>
      <c r="C266" s="913"/>
      <c r="D266" s="913"/>
      <c r="E266" s="913"/>
      <c r="F266" s="913"/>
      <c r="G266" s="1073"/>
      <c r="H266" s="1080"/>
      <c r="I266" s="1017"/>
      <c r="J266" s="1046"/>
      <c r="K266" s="1047"/>
      <c r="L266" s="1067"/>
      <c r="M266" s="2240"/>
      <c r="N266" s="2240"/>
      <c r="O266" s="2240"/>
      <c r="P266" s="1068"/>
      <c r="Q266" s="1003"/>
      <c r="R266" s="1007"/>
      <c r="S266" s="1008"/>
      <c r="T266" s="1258"/>
      <c r="U266" s="1337"/>
      <c r="V266" s="72">
        <f>IF(AND(Q266="ja",R266=""),1,0)</f>
        <v>0</v>
      </c>
      <c r="AC266" s="72">
        <f t="shared" si="4"/>
        <v>0</v>
      </c>
    </row>
    <row r="267" spans="1:29" ht="14.25" customHeight="1" thickBot="1" x14ac:dyDescent="0.3">
      <c r="A267" s="1390"/>
      <c r="B267" s="1074"/>
      <c r="C267" s="1075"/>
      <c r="D267" s="1075"/>
      <c r="E267" s="1075"/>
      <c r="F267" s="1075"/>
      <c r="G267" s="1076"/>
      <c r="H267" s="1081"/>
      <c r="I267" s="1017"/>
      <c r="J267" s="1046"/>
      <c r="K267" s="1047"/>
      <c r="L267" s="1067"/>
      <c r="M267" s="2240"/>
      <c r="N267" s="2240"/>
      <c r="O267" s="2240"/>
      <c r="P267" s="1068"/>
      <c r="Q267" s="1003"/>
      <c r="R267" s="1007"/>
      <c r="S267" s="1008"/>
      <c r="T267" s="1258"/>
      <c r="U267" s="1337"/>
      <c r="Y267" s="76"/>
      <c r="Z267" s="76"/>
      <c r="AA267" s="153"/>
      <c r="AC267" s="72">
        <f t="shared" si="4"/>
        <v>0</v>
      </c>
    </row>
    <row r="268" spans="1:29" ht="14.25" customHeight="1" thickBot="1" x14ac:dyDescent="0.3">
      <c r="A268" s="1390"/>
      <c r="B268" s="1072" t="s">
        <v>275</v>
      </c>
      <c r="C268" s="913"/>
      <c r="D268" s="913"/>
      <c r="E268" s="913"/>
      <c r="F268" s="913"/>
      <c r="G268" s="1073"/>
      <c r="H268" s="986" t="s">
        <v>99</v>
      </c>
      <c r="I268" s="1017"/>
      <c r="J268" s="1046"/>
      <c r="K268" s="1047"/>
      <c r="L268" s="1067"/>
      <c r="M268" s="2240"/>
      <c r="N268" s="2240"/>
      <c r="O268" s="2240"/>
      <c r="P268" s="1068"/>
      <c r="Q268" s="1003"/>
      <c r="R268" s="1007"/>
      <c r="S268" s="1008"/>
      <c r="T268" s="1258"/>
      <c r="U268" s="1337"/>
      <c r="W268" s="74">
        <f>IF(H268="ja",Z268,0)</f>
        <v>8.0000000000000002E-3</v>
      </c>
      <c r="X268" s="74">
        <f>IF(H268="ja",AA268,0)</f>
        <v>8.0000000000000002E-3</v>
      </c>
      <c r="Y268" s="151" t="s">
        <v>163</v>
      </c>
      <c r="Z268" s="152">
        <v>8.0000000000000002E-3</v>
      </c>
      <c r="AA268" s="152">
        <v>8.0000000000000002E-3</v>
      </c>
      <c r="AC268" s="72">
        <f t="shared" si="4"/>
        <v>0</v>
      </c>
    </row>
    <row r="269" spans="1:29" ht="14.25" customHeight="1" thickBot="1" x14ac:dyDescent="0.3">
      <c r="A269" s="1390"/>
      <c r="B269" s="1072"/>
      <c r="C269" s="913"/>
      <c r="D269" s="913"/>
      <c r="E269" s="913"/>
      <c r="F269" s="913"/>
      <c r="G269" s="1073"/>
      <c r="H269" s="986"/>
      <c r="I269" s="1017"/>
      <c r="J269" s="1046"/>
      <c r="K269" s="1047"/>
      <c r="L269" s="1067"/>
      <c r="M269" s="2240"/>
      <c r="N269" s="2240"/>
      <c r="O269" s="2240"/>
      <c r="P269" s="1068"/>
      <c r="Q269" s="1003"/>
      <c r="R269" s="1007"/>
      <c r="S269" s="1008"/>
      <c r="T269" s="1258"/>
      <c r="U269" s="1337"/>
      <c r="V269" s="72">
        <f>IF(AND(Q269="ja",R269=""),1,0)</f>
        <v>0</v>
      </c>
      <c r="Y269" s="151"/>
      <c r="Z269" s="152"/>
      <c r="AA269" s="151"/>
      <c r="AC269" s="72">
        <f t="shared" si="4"/>
        <v>0</v>
      </c>
    </row>
    <row r="270" spans="1:29" ht="14.25" customHeight="1" thickBot="1" x14ac:dyDescent="0.3">
      <c r="A270" s="1390"/>
      <c r="B270" s="1074"/>
      <c r="C270" s="1075"/>
      <c r="D270" s="1075"/>
      <c r="E270" s="1075"/>
      <c r="F270" s="1075"/>
      <c r="G270" s="1076"/>
      <c r="H270" s="986"/>
      <c r="I270" s="1017"/>
      <c r="J270" s="1046"/>
      <c r="K270" s="1047"/>
      <c r="L270" s="1067"/>
      <c r="M270" s="2240"/>
      <c r="N270" s="2240"/>
      <c r="O270" s="2240"/>
      <c r="P270" s="1068"/>
      <c r="Q270" s="1003"/>
      <c r="R270" s="1007"/>
      <c r="S270" s="1008"/>
      <c r="T270" s="1258"/>
      <c r="U270" s="1337"/>
      <c r="AC270" s="72">
        <f t="shared" si="4"/>
        <v>0</v>
      </c>
    </row>
    <row r="271" spans="1:29" ht="14.25" customHeight="1" thickBot="1" x14ac:dyDescent="0.3">
      <c r="A271" s="1391"/>
      <c r="B271" s="1319" t="s">
        <v>276</v>
      </c>
      <c r="C271" s="1320"/>
      <c r="D271" s="1320"/>
      <c r="E271" s="1320"/>
      <c r="F271" s="1320"/>
      <c r="G271" s="1320"/>
      <c r="H271" s="317" t="s">
        <v>100</v>
      </c>
      <c r="I271" s="1018"/>
      <c r="J271" s="1048"/>
      <c r="K271" s="1049"/>
      <c r="L271" s="1069"/>
      <c r="M271" s="1070"/>
      <c r="N271" s="1070"/>
      <c r="O271" s="1070"/>
      <c r="P271" s="1071"/>
      <c r="Q271" s="1004"/>
      <c r="R271" s="1009"/>
      <c r="S271" s="1010"/>
      <c r="T271" s="1259"/>
      <c r="U271" s="1337"/>
      <c r="W271" s="74">
        <f>IF(H271="ja",Z271,0)</f>
        <v>0</v>
      </c>
      <c r="X271" s="74">
        <f>IF(H271="ja",AA271,0)</f>
        <v>0</v>
      </c>
      <c r="Y271" s="151" t="s">
        <v>194</v>
      </c>
      <c r="Z271" s="152">
        <v>2E-3</v>
      </c>
      <c r="AA271" s="152">
        <v>2E-3</v>
      </c>
      <c r="AC271" s="72">
        <f t="shared" si="4"/>
        <v>0</v>
      </c>
    </row>
    <row r="272" spans="1:29" ht="14.25" customHeight="1" thickBot="1" x14ac:dyDescent="0.3">
      <c r="A272" s="507"/>
      <c r="B272" s="45"/>
      <c r="C272" s="439"/>
      <c r="D272" s="439"/>
      <c r="E272" s="439"/>
      <c r="F272" s="442">
        <f>COUNTIF(H263:H271,"ja")</f>
        <v>2</v>
      </c>
      <c r="G272" s="1054" t="s">
        <v>277</v>
      </c>
      <c r="H272" s="905"/>
      <c r="I272" s="1321">
        <f>I61+I77+I105+I133+I143++I149+I156+I160+I162+I166+I172+I198+I215+I263</f>
        <v>0.5754999999999999</v>
      </c>
      <c r="J272" s="1036">
        <f>'Berechnung - Hochbau'!Q165</f>
        <v>0</v>
      </c>
      <c r="K272" s="1037"/>
      <c r="L272" s="1323">
        <f>SUM(R263:S271)</f>
        <v>0</v>
      </c>
      <c r="M272" s="1323"/>
      <c r="N272" s="1323"/>
      <c r="O272" s="1323"/>
      <c r="P272" s="1324"/>
      <c r="Q272" s="1329"/>
      <c r="R272" s="1327">
        <f>SUM(R263:S271)+SUM(R215:S261)+SUM(R198:S213)+SUM(R172:S196)+SUM(R143:S170)+SUM(R133:S141)+SUM(R105:S128)+SUM(R77:S100)+SUM(R61:S75)</f>
        <v>0</v>
      </c>
      <c r="S272" s="1037"/>
      <c r="T272" s="1257"/>
      <c r="U272" s="1371"/>
      <c r="W272" s="75">
        <f>SUM(W263:W271)</f>
        <v>1.8000000000000002E-2</v>
      </c>
      <c r="X272" s="75">
        <f>SUM(X263:X271)</f>
        <v>1.8000000000000002E-2</v>
      </c>
      <c r="Y272" s="78"/>
      <c r="Z272" s="78"/>
      <c r="AA272" s="78"/>
      <c r="AC272" s="72">
        <f t="shared" ref="AC272" si="5">IF(Q272="ja",1,0)</f>
        <v>0</v>
      </c>
    </row>
    <row r="273" spans="1:29" ht="15" customHeight="1" thickBot="1" x14ac:dyDescent="0.3">
      <c r="A273" s="506"/>
      <c r="B273" s="440"/>
      <c r="C273" s="441"/>
      <c r="D273" s="441"/>
      <c r="E273" s="441"/>
      <c r="F273" s="441"/>
      <c r="G273" s="1055"/>
      <c r="H273" s="907"/>
      <c r="I273" s="1322"/>
      <c r="J273" s="1042"/>
      <c r="K273" s="1043"/>
      <c r="L273" s="1325"/>
      <c r="M273" s="1325"/>
      <c r="N273" s="1325"/>
      <c r="O273" s="1325"/>
      <c r="P273" s="1326"/>
      <c r="Q273" s="1330"/>
      <c r="R273" s="1328"/>
      <c r="S273" s="1043"/>
      <c r="T273" s="1259"/>
      <c r="U273" s="1371"/>
      <c r="V273" s="809">
        <f>SUM(V57:V271)+R42</f>
        <v>35</v>
      </c>
      <c r="W273" s="810"/>
      <c r="X273" s="207"/>
      <c r="Y273" s="207"/>
      <c r="AC273" s="809" t="e">
        <f>SUM(AC57:AC271)+Y42</f>
        <v>#REF!</v>
      </c>
    </row>
    <row r="274" spans="1:29" ht="15" customHeight="1" x14ac:dyDescent="0.25">
      <c r="B274" s="136"/>
      <c r="C274" s="136"/>
      <c r="D274" s="136"/>
      <c r="E274" s="136"/>
      <c r="F274" s="136"/>
      <c r="G274" s="136"/>
      <c r="H274" s="136"/>
      <c r="I274" s="137"/>
      <c r="J274" s="138"/>
      <c r="K274" s="138"/>
      <c r="L274" s="139"/>
      <c r="M274" s="137"/>
      <c r="N274" s="137"/>
      <c r="O274" s="137"/>
      <c r="P274" s="138"/>
      <c r="Q274" s="138"/>
      <c r="R274" s="140"/>
      <c r="S274" s="79"/>
      <c r="T274" s="80"/>
      <c r="U274" s="80"/>
    </row>
    <row r="275" spans="1:29" ht="15" customHeight="1" x14ac:dyDescent="0.25">
      <c r="B275" s="1317" t="s">
        <v>278</v>
      </c>
      <c r="C275" s="1318"/>
      <c r="D275" s="1318"/>
      <c r="E275" s="1318"/>
      <c r="F275" s="1318"/>
      <c r="G275" s="1318"/>
      <c r="H275" s="1318"/>
      <c r="I275" s="1318"/>
      <c r="J275" s="1318"/>
      <c r="K275" s="1318"/>
      <c r="L275" s="1318"/>
      <c r="M275" s="1318"/>
      <c r="N275" s="1318"/>
      <c r="O275" s="1318"/>
      <c r="P275" s="1318"/>
      <c r="Q275" s="1318"/>
      <c r="R275" s="1318"/>
      <c r="S275" s="79"/>
      <c r="T275" s="80"/>
      <c r="U275" s="80"/>
    </row>
    <row r="276" spans="1:29" ht="15" customHeight="1" x14ac:dyDescent="0.25">
      <c r="B276" s="1318"/>
      <c r="C276" s="1318"/>
      <c r="D276" s="1318"/>
      <c r="E276" s="1318"/>
      <c r="F276" s="1318"/>
      <c r="G276" s="1318"/>
      <c r="H276" s="1318"/>
      <c r="I276" s="1318"/>
      <c r="J276" s="1318"/>
      <c r="K276" s="1318"/>
      <c r="L276" s="1318"/>
      <c r="M276" s="1318"/>
      <c r="N276" s="1318"/>
      <c r="O276" s="1318"/>
      <c r="P276" s="1318"/>
      <c r="Q276" s="1318"/>
      <c r="R276" s="1318"/>
      <c r="S276" s="79"/>
      <c r="T276" s="80"/>
      <c r="U276" s="80"/>
    </row>
    <row r="277" spans="1:29" ht="15" customHeight="1" x14ac:dyDescent="0.25">
      <c r="B277" s="327"/>
      <c r="C277" s="327"/>
      <c r="D277" s="327"/>
      <c r="E277" s="327"/>
      <c r="F277" s="327"/>
      <c r="G277" s="327"/>
      <c r="H277" s="327"/>
      <c r="I277" s="327"/>
      <c r="J277" s="327"/>
      <c r="K277" s="327"/>
      <c r="L277" s="327"/>
      <c r="M277" s="327"/>
      <c r="N277" s="327"/>
      <c r="O277" s="327"/>
      <c r="P277" s="327"/>
      <c r="Q277" s="327"/>
      <c r="R277" s="327"/>
      <c r="S277" s="79"/>
      <c r="T277" s="80"/>
      <c r="U277" s="80"/>
    </row>
    <row r="279" spans="1:29" x14ac:dyDescent="0.25">
      <c r="A279" s="491" t="s">
        <v>279</v>
      </c>
      <c r="B279" s="40" t="str">
        <f>IF(B1=V2,"Honorarvereinbarung für die zunächst beauftragten und für die optionalen Leistungen ","Honorarangebot für die zunächst beauftragten und für die optionalen Leistungen")</f>
        <v>Honorarangebot für die zunächst beauftragten und für die optionalen Leistungen</v>
      </c>
      <c r="Q279" s="40"/>
      <c r="AA279" s="151"/>
    </row>
    <row r="280" spans="1:29" ht="14.55" thickBot="1" x14ac:dyDescent="0.3"/>
    <row r="281" spans="1:29" x14ac:dyDescent="0.25">
      <c r="B281" s="941" t="s">
        <v>55</v>
      </c>
      <c r="C281" s="942"/>
      <c r="D281" s="942"/>
      <c r="E281" s="942"/>
      <c r="F281" s="943"/>
      <c r="G281" s="99"/>
      <c r="H281" s="944">
        <f>'Berechnung - Hochbau'!Q165</f>
        <v>0</v>
      </c>
      <c r="I281" s="944"/>
      <c r="J281" s="945"/>
    </row>
    <row r="282" spans="1:29" x14ac:dyDescent="0.25">
      <c r="B282" s="90"/>
      <c r="C282" s="91"/>
      <c r="D282" s="91"/>
      <c r="E282" s="91"/>
      <c r="F282" s="92"/>
      <c r="G282" s="88"/>
      <c r="J282" s="89"/>
    </row>
    <row r="283" spans="1:29" ht="15.95" customHeight="1" thickBot="1" x14ac:dyDescent="0.3">
      <c r="B283" s="1298" t="s">
        <v>280</v>
      </c>
      <c r="C283" s="1299"/>
      <c r="D283" s="1299"/>
      <c r="E283" s="1299"/>
      <c r="F283" s="1300"/>
      <c r="G283" s="102">
        <f>F37</f>
        <v>0</v>
      </c>
      <c r="H283" s="956">
        <f>'Berechnung - Hochbau'!Q152-'Berechnung - Hochbau'!Q165</f>
        <v>0</v>
      </c>
      <c r="I283" s="956"/>
      <c r="J283" s="957"/>
    </row>
    <row r="284" spans="1:29" x14ac:dyDescent="0.25">
      <c r="B284" s="90"/>
      <c r="C284" s="91"/>
      <c r="D284" s="91"/>
      <c r="E284" s="91"/>
      <c r="F284" s="92"/>
      <c r="G284" s="88"/>
      <c r="J284" s="89"/>
    </row>
    <row r="285" spans="1:29" x14ac:dyDescent="0.25">
      <c r="B285" s="926" t="s">
        <v>57</v>
      </c>
      <c r="C285" s="927"/>
      <c r="D285" s="927"/>
      <c r="E285" s="927"/>
      <c r="F285" s="928"/>
      <c r="G285" s="101"/>
      <c r="H285" s="954">
        <f>R272</f>
        <v>0</v>
      </c>
      <c r="I285" s="954"/>
      <c r="J285" s="955"/>
    </row>
    <row r="286" spans="1:29" ht="14.55" thickBot="1" x14ac:dyDescent="0.3">
      <c r="B286" s="296"/>
      <c r="C286" s="297"/>
      <c r="D286" s="297"/>
      <c r="E286" s="297"/>
      <c r="F286" s="298"/>
      <c r="G286" s="1333"/>
      <c r="H286" s="1334"/>
      <c r="I286" s="1334"/>
      <c r="J286" s="1335"/>
    </row>
    <row r="287" spans="1:29" ht="15.95" customHeight="1" thickBot="1" x14ac:dyDescent="0.3">
      <c r="B287" s="929" t="s">
        <v>59</v>
      </c>
      <c r="C287" s="930"/>
      <c r="D287" s="930"/>
      <c r="E287" s="930"/>
      <c r="F287" s="931"/>
      <c r="G287" s="107"/>
      <c r="H287" s="935">
        <f>SUM(H281:J285)</f>
        <v>0</v>
      </c>
      <c r="I287" s="935"/>
      <c r="J287" s="936"/>
    </row>
    <row r="288" spans="1:29" x14ac:dyDescent="0.25">
      <c r="B288" s="320"/>
      <c r="C288" s="321"/>
      <c r="D288" s="321"/>
      <c r="E288" s="321"/>
      <c r="F288" s="322"/>
      <c r="G288" s="45"/>
      <c r="H288" s="93"/>
      <c r="I288" s="93"/>
      <c r="J288" s="94"/>
    </row>
    <row r="289" spans="1:26" ht="15" customHeight="1" x14ac:dyDescent="0.25">
      <c r="B289" s="917" t="s">
        <v>60</v>
      </c>
      <c r="C289" s="918"/>
      <c r="D289" s="918"/>
      <c r="E289" s="918"/>
      <c r="F289" s="919"/>
      <c r="G289" s="100">
        <f>Überblick!$G$98</f>
        <v>0.19</v>
      </c>
      <c r="H289" s="954">
        <f>H287*G289</f>
        <v>0</v>
      </c>
      <c r="I289" s="954"/>
      <c r="J289" s="955"/>
    </row>
    <row r="290" spans="1:26" ht="14.55" thickBot="1" x14ac:dyDescent="0.3">
      <c r="B290" s="305"/>
      <c r="C290" s="306"/>
      <c r="D290" s="306"/>
      <c r="E290" s="306"/>
      <c r="F290" s="307"/>
      <c r="G290" s="102"/>
      <c r="H290" s="299"/>
      <c r="I290" s="299"/>
      <c r="J290" s="300"/>
    </row>
    <row r="291" spans="1:26" ht="15" customHeight="1" x14ac:dyDescent="0.25">
      <c r="B291" s="920" t="s">
        <v>281</v>
      </c>
      <c r="C291" s="921"/>
      <c r="D291" s="921"/>
      <c r="E291" s="921"/>
      <c r="F291" s="922"/>
      <c r="G291" s="97"/>
      <c r="H291" s="937">
        <f>H287+H289</f>
        <v>0</v>
      </c>
      <c r="I291" s="937"/>
      <c r="J291" s="938"/>
    </row>
    <row r="292" spans="1:26" ht="14.55" thickBot="1" x14ac:dyDescent="0.3">
      <c r="B292" s="923"/>
      <c r="C292" s="924"/>
      <c r="D292" s="924"/>
      <c r="E292" s="924"/>
      <c r="F292" s="925"/>
      <c r="G292" s="98"/>
      <c r="H292" s="939"/>
      <c r="I292" s="939"/>
      <c r="J292" s="940"/>
    </row>
    <row r="294" spans="1:26" x14ac:dyDescent="0.25">
      <c r="A294" s="491" t="s">
        <v>282</v>
      </c>
      <c r="B294" s="60" t="str">
        <f>IF(B1=V2,"Honorarvereinbarung für die zunächst beauftragenden Leistungen","Honorangebot für die zunächst beauftragenden Leistungen ")</f>
        <v xml:space="preserve">Honorangebot für die zunächst beauftragenden Leistungen </v>
      </c>
      <c r="C294" s="60"/>
      <c r="D294" s="60"/>
      <c r="E294" s="60"/>
      <c r="F294" s="65"/>
      <c r="G294" s="65"/>
      <c r="H294" s="65"/>
      <c r="I294" s="66"/>
      <c r="J294" s="66"/>
      <c r="K294" s="66"/>
      <c r="L294" s="66"/>
      <c r="M294" s="66"/>
      <c r="N294" s="66"/>
      <c r="O294" s="66"/>
      <c r="P294" s="67"/>
      <c r="Q294" s="60"/>
      <c r="R294" s="67"/>
      <c r="S294" s="67"/>
      <c r="T294" s="67"/>
      <c r="U294" s="67"/>
      <c r="Z294" s="461"/>
    </row>
    <row r="295" spans="1:26" ht="14.55" thickBot="1" x14ac:dyDescent="0.3">
      <c r="B295" s="60"/>
      <c r="C295" s="60"/>
      <c r="D295" s="60"/>
      <c r="E295" s="60"/>
      <c r="F295" s="65"/>
      <c r="G295" s="65"/>
      <c r="H295" s="65"/>
      <c r="I295" s="66"/>
      <c r="J295" s="66"/>
      <c r="K295" s="66"/>
      <c r="L295" s="66"/>
      <c r="M295" s="66"/>
      <c r="N295" s="66"/>
      <c r="O295" s="66"/>
      <c r="P295" s="67"/>
      <c r="Q295" s="67"/>
      <c r="R295" s="67"/>
      <c r="S295" s="67"/>
      <c r="T295" s="67"/>
      <c r="U295" s="67"/>
    </row>
    <row r="296" spans="1:26" x14ac:dyDescent="0.25">
      <c r="B296" s="941" t="s">
        <v>55</v>
      </c>
      <c r="C296" s="942"/>
      <c r="D296" s="942"/>
      <c r="E296" s="942"/>
      <c r="F296" s="943"/>
      <c r="G296" s="99"/>
      <c r="H296" s="944">
        <f>'Berechnung - Hochbau'!M126</f>
        <v>0</v>
      </c>
      <c r="I296" s="944"/>
      <c r="J296" s="945"/>
      <c r="K296" s="66"/>
      <c r="L296" s="66"/>
      <c r="M296" s="66"/>
      <c r="N296" s="66"/>
      <c r="O296" s="66"/>
      <c r="P296" s="67"/>
      <c r="Q296" s="67"/>
      <c r="R296" s="67"/>
      <c r="S296" s="67"/>
      <c r="T296" s="67"/>
      <c r="U296" s="67"/>
    </row>
    <row r="297" spans="1:26" x14ac:dyDescent="0.25">
      <c r="B297" s="301"/>
      <c r="C297" s="41"/>
      <c r="D297" s="41"/>
      <c r="E297" s="41"/>
      <c r="F297" s="302"/>
      <c r="G297" s="101"/>
      <c r="H297" s="303"/>
      <c r="I297" s="303"/>
      <c r="J297" s="304"/>
      <c r="K297" s="66"/>
      <c r="L297" s="66"/>
      <c r="M297" s="66"/>
      <c r="N297" s="66"/>
      <c r="O297" s="66"/>
      <c r="P297" s="67"/>
      <c r="Q297" s="67"/>
      <c r="R297" s="67"/>
      <c r="S297" s="67"/>
      <c r="T297" s="67"/>
      <c r="U297" s="67"/>
    </row>
    <row r="298" spans="1:26" ht="15" customHeight="1" thickBot="1" x14ac:dyDescent="0.3">
      <c r="B298" s="1298" t="s">
        <v>280</v>
      </c>
      <c r="C298" s="1299"/>
      <c r="D298" s="1299"/>
      <c r="E298" s="1299"/>
      <c r="F298" s="1300"/>
      <c r="G298" s="102">
        <f>F37</f>
        <v>0</v>
      </c>
      <c r="H298" s="956">
        <f>'Berechnung - Hochbau'!H126-'Berechnung - Hochbau'!M126</f>
        <v>0</v>
      </c>
      <c r="I298" s="956"/>
      <c r="J298" s="957"/>
      <c r="K298" s="66"/>
      <c r="L298" s="66"/>
      <c r="M298" s="66"/>
      <c r="N298" s="66"/>
      <c r="O298" s="66"/>
      <c r="P298" s="67"/>
      <c r="Q298" s="67"/>
      <c r="R298" s="67"/>
      <c r="S298" s="67"/>
      <c r="T298" s="67"/>
      <c r="U298" s="67"/>
    </row>
    <row r="299" spans="1:26" x14ac:dyDescent="0.25">
      <c r="B299" s="90"/>
      <c r="C299" s="91"/>
      <c r="D299" s="91"/>
      <c r="E299" s="91"/>
      <c r="F299" s="92"/>
      <c r="G299" s="45"/>
      <c r="H299" s="46"/>
      <c r="I299" s="46"/>
      <c r="J299" s="105"/>
      <c r="K299" s="66"/>
      <c r="L299" s="66"/>
      <c r="M299" s="66"/>
      <c r="N299" s="66"/>
      <c r="O299" s="66"/>
      <c r="P299" s="67"/>
      <c r="Q299" s="67"/>
      <c r="R299" s="67"/>
      <c r="S299" s="67"/>
      <c r="T299" s="67"/>
      <c r="U299" s="67"/>
    </row>
    <row r="300" spans="1:26" x14ac:dyDescent="0.25">
      <c r="B300" s="926" t="s">
        <v>57</v>
      </c>
      <c r="C300" s="927"/>
      <c r="D300" s="927"/>
      <c r="E300" s="927"/>
      <c r="F300" s="928"/>
      <c r="G300" s="101"/>
      <c r="H300" s="954">
        <f>'Berechnung - Hochbau'!J126</f>
        <v>0</v>
      </c>
      <c r="I300" s="954"/>
      <c r="J300" s="955"/>
      <c r="K300" s="66"/>
      <c r="L300" s="66"/>
      <c r="M300" s="66"/>
      <c r="N300" s="66"/>
      <c r="O300" s="66"/>
      <c r="P300" s="67"/>
      <c r="Q300" s="67"/>
      <c r="R300" s="67"/>
      <c r="S300" s="67"/>
      <c r="T300" s="67"/>
      <c r="U300" s="67"/>
    </row>
    <row r="301" spans="1:26" ht="14.55" thickBot="1" x14ac:dyDescent="0.3">
      <c r="B301" s="90"/>
      <c r="C301" s="91"/>
      <c r="D301" s="91"/>
      <c r="E301" s="91"/>
      <c r="F301" s="92"/>
      <c r="G301" s="1333"/>
      <c r="H301" s="1334"/>
      <c r="I301" s="1334"/>
      <c r="J301" s="1335"/>
      <c r="K301" s="66"/>
      <c r="L301" s="66"/>
      <c r="M301" s="66"/>
      <c r="N301" s="66"/>
      <c r="O301" s="66"/>
      <c r="P301" s="67"/>
      <c r="Q301" s="67"/>
      <c r="R301" s="67"/>
      <c r="S301" s="67"/>
      <c r="T301" s="67"/>
      <c r="U301" s="67"/>
    </row>
    <row r="302" spans="1:26" ht="15.95" customHeight="1" thickBot="1" x14ac:dyDescent="0.3">
      <c r="B302" s="929" t="s">
        <v>59</v>
      </c>
      <c r="C302" s="930"/>
      <c r="D302" s="930"/>
      <c r="E302" s="930"/>
      <c r="F302" s="931"/>
      <c r="G302" s="107"/>
      <c r="H302" s="935">
        <f>SUM(H296:J300)</f>
        <v>0</v>
      </c>
      <c r="I302" s="935"/>
      <c r="J302" s="936"/>
      <c r="K302" s="66"/>
      <c r="L302" s="66"/>
      <c r="M302" s="66"/>
      <c r="N302" s="66"/>
      <c r="O302" s="66"/>
      <c r="P302" s="67"/>
      <c r="Q302" s="67"/>
      <c r="R302" s="67"/>
      <c r="S302" s="67"/>
      <c r="T302" s="67"/>
      <c r="U302" s="67"/>
    </row>
    <row r="303" spans="1:26" x14ac:dyDescent="0.25">
      <c r="B303" s="320"/>
      <c r="C303" s="321"/>
      <c r="D303" s="321"/>
      <c r="E303" s="321"/>
      <c r="F303" s="322"/>
      <c r="G303" s="45"/>
      <c r="H303" s="93"/>
      <c r="I303" s="93"/>
      <c r="J303" s="94"/>
      <c r="K303" s="66"/>
      <c r="L303" s="66"/>
      <c r="M303" s="66"/>
      <c r="N303" s="66"/>
      <c r="O303" s="66"/>
      <c r="P303" s="67"/>
      <c r="Q303" s="67"/>
      <c r="R303" s="67"/>
      <c r="S303" s="67"/>
      <c r="T303" s="67"/>
      <c r="U303" s="67"/>
    </row>
    <row r="304" spans="1:26" x14ac:dyDescent="0.25">
      <c r="B304" s="917" t="s">
        <v>94</v>
      </c>
      <c r="C304" s="918"/>
      <c r="D304" s="918"/>
      <c r="E304" s="918"/>
      <c r="F304" s="919"/>
      <c r="G304" s="100">
        <f>Überblick!$G$98</f>
        <v>0.19</v>
      </c>
      <c r="H304" s="954">
        <f>H302*G304</f>
        <v>0</v>
      </c>
      <c r="I304" s="954"/>
      <c r="J304" s="955"/>
      <c r="K304" s="66"/>
      <c r="L304" s="66"/>
      <c r="M304" s="66"/>
      <c r="N304" s="66"/>
      <c r="O304" s="66"/>
      <c r="P304" s="67"/>
      <c r="Q304" s="67"/>
      <c r="R304" s="67"/>
      <c r="S304" s="67"/>
      <c r="T304" s="67"/>
      <c r="U304" s="67"/>
    </row>
    <row r="305" spans="1:21" ht="14.55" thickBot="1" x14ac:dyDescent="0.3">
      <c r="B305" s="305"/>
      <c r="C305" s="306"/>
      <c r="D305" s="306"/>
      <c r="E305" s="306"/>
      <c r="F305" s="307"/>
      <c r="G305" s="102"/>
      <c r="H305" s="299"/>
      <c r="I305" s="299"/>
      <c r="J305" s="300"/>
      <c r="K305" s="66"/>
      <c r="L305" s="66"/>
      <c r="M305" s="66"/>
      <c r="N305" s="66"/>
      <c r="O305" s="66"/>
      <c r="P305" s="67"/>
      <c r="Q305" s="67"/>
      <c r="R305" s="67"/>
      <c r="S305" s="67"/>
      <c r="T305" s="67"/>
      <c r="U305" s="67"/>
    </row>
    <row r="306" spans="1:21" x14ac:dyDescent="0.25">
      <c r="B306" s="920" t="s">
        <v>283</v>
      </c>
      <c r="C306" s="921"/>
      <c r="D306" s="921"/>
      <c r="E306" s="921"/>
      <c r="F306" s="922"/>
      <c r="G306" s="172"/>
      <c r="H306" s="937">
        <f>H302+H304</f>
        <v>0</v>
      </c>
      <c r="I306" s="937"/>
      <c r="J306" s="938"/>
      <c r="K306" s="66"/>
      <c r="L306" s="66"/>
      <c r="M306" s="66"/>
      <c r="N306" s="66"/>
      <c r="O306" s="66"/>
      <c r="P306" s="67"/>
      <c r="Q306" s="67"/>
      <c r="R306" s="67"/>
      <c r="S306" s="67"/>
      <c r="T306" s="67"/>
      <c r="U306" s="67"/>
    </row>
    <row r="307" spans="1:21" ht="14.55" thickBot="1" x14ac:dyDescent="0.3">
      <c r="B307" s="923"/>
      <c r="C307" s="924"/>
      <c r="D307" s="924"/>
      <c r="E307" s="924"/>
      <c r="F307" s="925"/>
      <c r="G307" s="98"/>
      <c r="H307" s="939"/>
      <c r="I307" s="939"/>
      <c r="J307" s="940"/>
      <c r="K307" s="66"/>
      <c r="L307" s="66"/>
      <c r="M307" s="66"/>
      <c r="N307" s="66"/>
      <c r="O307" s="66"/>
      <c r="P307" s="67"/>
      <c r="Q307" s="67"/>
      <c r="R307" s="67"/>
      <c r="S307" s="67"/>
      <c r="T307" s="67"/>
      <c r="U307" s="67"/>
    </row>
    <row r="308" spans="1:21" x14ac:dyDescent="0.25">
      <c r="B308" s="60"/>
      <c r="C308" s="60"/>
      <c r="D308" s="60"/>
      <c r="E308" s="60"/>
      <c r="F308" s="65"/>
      <c r="G308" s="65"/>
      <c r="H308" s="65"/>
      <c r="I308" s="66"/>
      <c r="J308" s="66"/>
      <c r="K308" s="66"/>
      <c r="L308" s="66"/>
      <c r="M308" s="66"/>
      <c r="N308" s="66"/>
      <c r="O308" s="66"/>
      <c r="P308" s="67"/>
      <c r="Q308" s="67"/>
      <c r="R308" s="67"/>
      <c r="S308" s="67"/>
      <c r="T308" s="67"/>
      <c r="U308" s="67"/>
    </row>
    <row r="309" spans="1:21" x14ac:dyDescent="0.25">
      <c r="A309" s="491" t="s">
        <v>284</v>
      </c>
      <c r="B309" s="40" t="str">
        <f>IF(B1=V2,"Gemäß der Honorarvereinbarung werden die Stufen wie folgt vergütet (netto): ","Gemäß des Honorarangebotes werden die Stufen wie folgt vergütet (netto): ")</f>
        <v xml:space="preserve">Gemäß des Honorarangebotes werden die Stufen wie folgt vergütet (netto): </v>
      </c>
      <c r="C309" s="40"/>
      <c r="D309" s="40"/>
      <c r="E309" s="40"/>
      <c r="F309" s="40"/>
      <c r="G309" s="40"/>
      <c r="H309" s="40"/>
      <c r="I309" s="40"/>
      <c r="J309" s="40"/>
      <c r="K309" s="40"/>
      <c r="L309" s="60"/>
      <c r="M309" s="66"/>
      <c r="N309" s="66"/>
      <c r="O309" s="40"/>
      <c r="P309" s="67"/>
      <c r="Q309" s="67"/>
      <c r="R309" s="67"/>
      <c r="S309" s="67"/>
      <c r="T309" s="67"/>
      <c r="U309" s="67"/>
    </row>
    <row r="310" spans="1:21" ht="14.55" thickBot="1" x14ac:dyDescent="0.3">
      <c r="B310" s="60"/>
      <c r="C310" s="60"/>
      <c r="D310" s="60"/>
      <c r="E310" s="60"/>
      <c r="F310" s="65"/>
      <c r="G310" s="65"/>
      <c r="H310" s="65"/>
      <c r="I310" s="66"/>
      <c r="J310" s="66"/>
      <c r="K310" s="66"/>
      <c r="L310" s="66"/>
      <c r="M310" s="66"/>
      <c r="N310" s="66"/>
      <c r="O310" s="40"/>
      <c r="P310" s="67"/>
      <c r="Q310" s="67"/>
      <c r="R310" s="67"/>
      <c r="S310" s="67"/>
      <c r="T310" s="67"/>
      <c r="U310" s="67"/>
    </row>
    <row r="311" spans="1:21" ht="15.2" thickTop="1" thickBot="1" x14ac:dyDescent="0.3">
      <c r="B311" s="357" t="s">
        <v>105</v>
      </c>
      <c r="C311" s="358" t="s">
        <v>285</v>
      </c>
      <c r="D311" s="359" t="s">
        <v>286</v>
      </c>
      <c r="E311" s="360" t="s">
        <v>287</v>
      </c>
      <c r="F311" s="360" t="s">
        <v>288</v>
      </c>
      <c r="G311" s="361" t="s">
        <v>289</v>
      </c>
      <c r="H311" s="361" t="s">
        <v>290</v>
      </c>
      <c r="I311" s="362" t="s">
        <v>291</v>
      </c>
      <c r="J311" s="362" t="s">
        <v>292</v>
      </c>
      <c r="K311" s="362" t="s">
        <v>293</v>
      </c>
      <c r="L311" s="362" t="s">
        <v>294</v>
      </c>
      <c r="M311" s="362" t="s">
        <v>295</v>
      </c>
      <c r="N311" s="362" t="s">
        <v>296</v>
      </c>
      <c r="O311" s="362" t="s">
        <v>297</v>
      </c>
      <c r="P311" s="363" t="s">
        <v>298</v>
      </c>
      <c r="Q311" s="67"/>
      <c r="R311" s="67"/>
      <c r="S311" s="67"/>
      <c r="T311" s="67"/>
      <c r="U311" s="67"/>
    </row>
    <row r="312" spans="1:21" x14ac:dyDescent="0.25">
      <c r="A312" s="492"/>
      <c r="B312" s="153" t="str">
        <f>IF(Überblick!$H$53&gt;=1,"1:",0)</f>
        <v>1:</v>
      </c>
      <c r="C312" s="481">
        <f>'Berechnung - Hochbau'!C131</f>
        <v>0</v>
      </c>
      <c r="D312" s="481">
        <f>'Berechnung - Hochbau'!D131</f>
        <v>0</v>
      </c>
      <c r="E312" s="481">
        <f>'Berechnung - Hochbau'!E131</f>
        <v>0</v>
      </c>
      <c r="F312" s="481">
        <f>'Berechnung - Hochbau'!F131</f>
        <v>0</v>
      </c>
      <c r="G312" s="481">
        <f>'Berechnung - Hochbau'!G131</f>
        <v>0</v>
      </c>
      <c r="H312" s="481">
        <f>'Berechnung - Hochbau'!H131</f>
        <v>0</v>
      </c>
      <c r="I312" s="481">
        <f>'Berechnung - Hochbau'!I131</f>
        <v>0</v>
      </c>
      <c r="J312" s="481">
        <f>'Berechnung - Hochbau'!J131</f>
        <v>0</v>
      </c>
      <c r="K312" s="481">
        <f>'Berechnung - Hochbau'!K131</f>
        <v>0</v>
      </c>
      <c r="L312" s="481">
        <f>'Berechnung - Hochbau'!L131</f>
        <v>0</v>
      </c>
      <c r="M312" s="481">
        <f>'Berechnung - Hochbau'!M131</f>
        <v>0</v>
      </c>
      <c r="N312" s="481">
        <f>'Berechnung - Hochbau'!N131</f>
        <v>0</v>
      </c>
      <c r="O312" s="481">
        <f>'Berechnung - Hochbau'!O131</f>
        <v>0</v>
      </c>
      <c r="P312" s="481">
        <f>'Berechnung - Hochbau'!P131</f>
        <v>0</v>
      </c>
      <c r="Q312" s="96">
        <f>SUM(C312:P312)</f>
        <v>0</v>
      </c>
      <c r="S312" s="63"/>
      <c r="T312" s="63"/>
      <c r="U312" s="63"/>
    </row>
    <row r="313" spans="1:21" ht="15.95" customHeight="1" x14ac:dyDescent="0.25">
      <c r="A313" s="492"/>
      <c r="B313" s="153" t="str">
        <f>IF(Überblick!$H$53&gt;=2,"2:",0)</f>
        <v>2:</v>
      </c>
      <c r="C313" s="481">
        <f>'Berechnung - Hochbau'!C132</f>
        <v>0</v>
      </c>
      <c r="D313" s="481">
        <f>'Berechnung - Hochbau'!D132</f>
        <v>0</v>
      </c>
      <c r="E313" s="481">
        <f>'Berechnung - Hochbau'!E132</f>
        <v>0</v>
      </c>
      <c r="F313" s="481">
        <f>'Berechnung - Hochbau'!F132</f>
        <v>0</v>
      </c>
      <c r="G313" s="481">
        <f>'Berechnung - Hochbau'!G132</f>
        <v>0</v>
      </c>
      <c r="H313" s="481">
        <f>'Berechnung - Hochbau'!H132</f>
        <v>0</v>
      </c>
      <c r="I313" s="481">
        <f>'Berechnung - Hochbau'!I132</f>
        <v>0</v>
      </c>
      <c r="J313" s="481">
        <f>'Berechnung - Hochbau'!J132</f>
        <v>0</v>
      </c>
      <c r="K313" s="481">
        <f>'Berechnung - Hochbau'!K132</f>
        <v>0</v>
      </c>
      <c r="L313" s="481">
        <f>'Berechnung - Hochbau'!L132</f>
        <v>0</v>
      </c>
      <c r="M313" s="481">
        <f>'Berechnung - Hochbau'!M132</f>
        <v>0</v>
      </c>
      <c r="N313" s="481">
        <f>'Berechnung - Hochbau'!N132</f>
        <v>0</v>
      </c>
      <c r="O313" s="481">
        <f>'Berechnung - Hochbau'!O132</f>
        <v>0</v>
      </c>
      <c r="P313" s="481">
        <f>'Berechnung - Hochbau'!P132</f>
        <v>0</v>
      </c>
      <c r="Q313" s="96">
        <f t="shared" ref="Q313:Q319" si="6">SUM(C313:P313)</f>
        <v>0</v>
      </c>
    </row>
    <row r="314" spans="1:21" x14ac:dyDescent="0.25">
      <c r="A314" s="59"/>
      <c r="B314" s="153" t="str">
        <f>IF(Überblick!$H$53&gt;=3,"3:",0)</f>
        <v>3:</v>
      </c>
      <c r="C314" s="481">
        <f>'Berechnung - Hochbau'!C133</f>
        <v>0</v>
      </c>
      <c r="D314" s="481">
        <f>'Berechnung - Hochbau'!D133</f>
        <v>0</v>
      </c>
      <c r="E314" s="481">
        <f>'Berechnung - Hochbau'!E133</f>
        <v>0</v>
      </c>
      <c r="F314" s="481">
        <f>'Berechnung - Hochbau'!F133</f>
        <v>0</v>
      </c>
      <c r="G314" s="481">
        <f>'Berechnung - Hochbau'!G133</f>
        <v>0</v>
      </c>
      <c r="H314" s="481">
        <f>'Berechnung - Hochbau'!H133</f>
        <v>0</v>
      </c>
      <c r="I314" s="481">
        <f>'Berechnung - Hochbau'!I133</f>
        <v>0</v>
      </c>
      <c r="J314" s="481">
        <f>'Berechnung - Hochbau'!J133</f>
        <v>0</v>
      </c>
      <c r="K314" s="481">
        <f>'Berechnung - Hochbau'!K133</f>
        <v>0</v>
      </c>
      <c r="L314" s="481">
        <f>'Berechnung - Hochbau'!L133</f>
        <v>0</v>
      </c>
      <c r="M314" s="481">
        <f>'Berechnung - Hochbau'!M133</f>
        <v>0</v>
      </c>
      <c r="N314" s="481">
        <f>'Berechnung - Hochbau'!N133</f>
        <v>0</v>
      </c>
      <c r="O314" s="481">
        <f>'Berechnung - Hochbau'!O133</f>
        <v>0</v>
      </c>
      <c r="P314" s="481">
        <f>'Berechnung - Hochbau'!P133</f>
        <v>0</v>
      </c>
      <c r="Q314" s="96">
        <f t="shared" si="6"/>
        <v>0</v>
      </c>
    </row>
    <row r="315" spans="1:21" x14ac:dyDescent="0.25">
      <c r="B315" s="153" t="str">
        <f>IF(Überblick!$H$53&gt;=4,"4:",0)</f>
        <v>4:</v>
      </c>
      <c r="C315" s="481">
        <f>'Berechnung - Hochbau'!C134</f>
        <v>0</v>
      </c>
      <c r="D315" s="481">
        <f>'Berechnung - Hochbau'!D134</f>
        <v>0</v>
      </c>
      <c r="E315" s="481">
        <f>'Berechnung - Hochbau'!E134</f>
        <v>0</v>
      </c>
      <c r="F315" s="481">
        <f>'Berechnung - Hochbau'!F134</f>
        <v>0</v>
      </c>
      <c r="G315" s="481">
        <f>'Berechnung - Hochbau'!G134</f>
        <v>0</v>
      </c>
      <c r="H315" s="481">
        <f>'Berechnung - Hochbau'!H134</f>
        <v>0</v>
      </c>
      <c r="I315" s="481">
        <f>'Berechnung - Hochbau'!I134</f>
        <v>0</v>
      </c>
      <c r="J315" s="481">
        <f>'Berechnung - Hochbau'!J134</f>
        <v>0</v>
      </c>
      <c r="K315" s="481">
        <f>'Berechnung - Hochbau'!K134</f>
        <v>0</v>
      </c>
      <c r="L315" s="481">
        <f>'Berechnung - Hochbau'!L134</f>
        <v>0</v>
      </c>
      <c r="M315" s="481">
        <f>'Berechnung - Hochbau'!M134</f>
        <v>0</v>
      </c>
      <c r="N315" s="481">
        <f>'Berechnung - Hochbau'!N134</f>
        <v>0</v>
      </c>
      <c r="O315" s="481">
        <f>'Berechnung - Hochbau'!O134</f>
        <v>0</v>
      </c>
      <c r="P315" s="481">
        <f>'Berechnung - Hochbau'!P134</f>
        <v>0</v>
      </c>
      <c r="Q315" s="96">
        <f t="shared" si="6"/>
        <v>0</v>
      </c>
    </row>
    <row r="316" spans="1:21" x14ac:dyDescent="0.25">
      <c r="B316" s="153" t="str">
        <f>IF(Überblick!$H$53&gt;=5,"5:",0)</f>
        <v>5:</v>
      </c>
      <c r="C316" s="481">
        <f>'Berechnung - Hochbau'!C135</f>
        <v>0</v>
      </c>
      <c r="D316" s="481">
        <f>'Berechnung - Hochbau'!D135</f>
        <v>0</v>
      </c>
      <c r="E316" s="481">
        <f>'Berechnung - Hochbau'!E135</f>
        <v>0</v>
      </c>
      <c r="F316" s="481">
        <f>'Berechnung - Hochbau'!F135</f>
        <v>0</v>
      </c>
      <c r="G316" s="481">
        <f>'Berechnung - Hochbau'!G135</f>
        <v>0</v>
      </c>
      <c r="H316" s="481">
        <f>'Berechnung - Hochbau'!H135</f>
        <v>0</v>
      </c>
      <c r="I316" s="481">
        <f>'Berechnung - Hochbau'!I135</f>
        <v>0</v>
      </c>
      <c r="J316" s="481">
        <f>'Berechnung - Hochbau'!J135</f>
        <v>0</v>
      </c>
      <c r="K316" s="481">
        <f>'Berechnung - Hochbau'!K135</f>
        <v>0</v>
      </c>
      <c r="L316" s="481">
        <f>'Berechnung - Hochbau'!L135</f>
        <v>0</v>
      </c>
      <c r="M316" s="481">
        <f>'Berechnung - Hochbau'!M135</f>
        <v>0</v>
      </c>
      <c r="N316" s="481">
        <f>'Berechnung - Hochbau'!N135</f>
        <v>0</v>
      </c>
      <c r="O316" s="481">
        <f>'Berechnung - Hochbau'!O135</f>
        <v>0</v>
      </c>
      <c r="P316" s="481">
        <f>'Berechnung - Hochbau'!P135</f>
        <v>0</v>
      </c>
      <c r="Q316" s="96">
        <f t="shared" si="6"/>
        <v>0</v>
      </c>
    </row>
    <row r="317" spans="1:21" ht="15.95" customHeight="1" x14ac:dyDescent="0.25">
      <c r="B317" s="153" t="str">
        <f>IF(Überblick!$H$53&gt;=6,"6:",0)</f>
        <v>6:</v>
      </c>
      <c r="C317" s="481">
        <f>'Berechnung - Hochbau'!C136</f>
        <v>0</v>
      </c>
      <c r="D317" s="481">
        <f>'Berechnung - Hochbau'!D136</f>
        <v>0</v>
      </c>
      <c r="E317" s="481">
        <f>'Berechnung - Hochbau'!E136</f>
        <v>0</v>
      </c>
      <c r="F317" s="481">
        <f>'Berechnung - Hochbau'!F136</f>
        <v>0</v>
      </c>
      <c r="G317" s="481">
        <f>'Berechnung - Hochbau'!G136</f>
        <v>0</v>
      </c>
      <c r="H317" s="481">
        <f>'Berechnung - Hochbau'!H136</f>
        <v>0</v>
      </c>
      <c r="I317" s="481">
        <f>'Berechnung - Hochbau'!I136</f>
        <v>0</v>
      </c>
      <c r="J317" s="481">
        <f>'Berechnung - Hochbau'!J136</f>
        <v>0</v>
      </c>
      <c r="K317" s="481">
        <f>'Berechnung - Hochbau'!K136</f>
        <v>0</v>
      </c>
      <c r="L317" s="481">
        <f>'Berechnung - Hochbau'!L136</f>
        <v>0</v>
      </c>
      <c r="M317" s="481">
        <f>'Berechnung - Hochbau'!M136</f>
        <v>0</v>
      </c>
      <c r="N317" s="481">
        <f>'Berechnung - Hochbau'!N136</f>
        <v>0</v>
      </c>
      <c r="O317" s="481">
        <f>'Berechnung - Hochbau'!O136</f>
        <v>0</v>
      </c>
      <c r="P317" s="481">
        <f>'Berechnung - Hochbau'!P136</f>
        <v>0</v>
      </c>
      <c r="Q317" s="96">
        <f t="shared" si="6"/>
        <v>0</v>
      </c>
    </row>
    <row r="318" spans="1:21" x14ac:dyDescent="0.25">
      <c r="B318" s="153">
        <f>IF(Überblick!$H$53&gt;=7,"7:",0)</f>
        <v>0</v>
      </c>
      <c r="C318" s="481">
        <f>'Berechnung - Hochbau'!C137</f>
        <v>0</v>
      </c>
      <c r="D318" s="481">
        <f>'Berechnung - Hochbau'!D137</f>
        <v>0</v>
      </c>
      <c r="E318" s="481">
        <f>'Berechnung - Hochbau'!E137</f>
        <v>0</v>
      </c>
      <c r="F318" s="481">
        <f>'Berechnung - Hochbau'!F137</f>
        <v>0</v>
      </c>
      <c r="G318" s="481">
        <f>'Berechnung - Hochbau'!G137</f>
        <v>0</v>
      </c>
      <c r="H318" s="481">
        <f>'Berechnung - Hochbau'!H137</f>
        <v>0</v>
      </c>
      <c r="I318" s="481">
        <f>'Berechnung - Hochbau'!I137</f>
        <v>0</v>
      </c>
      <c r="J318" s="481">
        <f>'Berechnung - Hochbau'!J137</f>
        <v>0</v>
      </c>
      <c r="K318" s="481">
        <f>'Berechnung - Hochbau'!K137</f>
        <v>0</v>
      </c>
      <c r="L318" s="481">
        <f>'Berechnung - Hochbau'!L137</f>
        <v>0</v>
      </c>
      <c r="M318" s="481">
        <f>'Berechnung - Hochbau'!M137</f>
        <v>0</v>
      </c>
      <c r="N318" s="481">
        <f>'Berechnung - Hochbau'!N137</f>
        <v>0</v>
      </c>
      <c r="O318" s="481">
        <f>'Berechnung - Hochbau'!O137</f>
        <v>0</v>
      </c>
      <c r="P318" s="481">
        <f>'Berechnung - Hochbau'!P137</f>
        <v>0</v>
      </c>
      <c r="Q318" s="96">
        <f t="shared" si="6"/>
        <v>0</v>
      </c>
    </row>
    <row r="319" spans="1:21" ht="15" customHeight="1" x14ac:dyDescent="0.25">
      <c r="B319" s="153">
        <f>IF(Überblick!$H$53&gt;=8,"8:",0)</f>
        <v>0</v>
      </c>
      <c r="C319" s="481">
        <f>'Berechnung - Hochbau'!C138</f>
        <v>0</v>
      </c>
      <c r="D319" s="481">
        <f>'Berechnung - Hochbau'!D138</f>
        <v>0</v>
      </c>
      <c r="E319" s="481">
        <f>'Berechnung - Hochbau'!E138</f>
        <v>0</v>
      </c>
      <c r="F319" s="481">
        <f>'Berechnung - Hochbau'!F138</f>
        <v>0</v>
      </c>
      <c r="G319" s="481">
        <f>'Berechnung - Hochbau'!G138</f>
        <v>0</v>
      </c>
      <c r="H319" s="481">
        <f>'Berechnung - Hochbau'!H138</f>
        <v>0</v>
      </c>
      <c r="I319" s="481">
        <f>'Berechnung - Hochbau'!I138</f>
        <v>0</v>
      </c>
      <c r="J319" s="481">
        <f>'Berechnung - Hochbau'!J138</f>
        <v>0</v>
      </c>
      <c r="K319" s="481">
        <f>'Berechnung - Hochbau'!K138</f>
        <v>0</v>
      </c>
      <c r="L319" s="481">
        <f>'Berechnung - Hochbau'!L138</f>
        <v>0</v>
      </c>
      <c r="M319" s="481">
        <f>'Berechnung - Hochbau'!M138</f>
        <v>0</v>
      </c>
      <c r="N319" s="481">
        <f>'Berechnung - Hochbau'!N138</f>
        <v>0</v>
      </c>
      <c r="O319" s="481">
        <f>'Berechnung - Hochbau'!O138</f>
        <v>0</v>
      </c>
      <c r="P319" s="481">
        <f>'Berechnung - Hochbau'!P138</f>
        <v>0</v>
      </c>
      <c r="Q319" s="96">
        <f t="shared" si="6"/>
        <v>0</v>
      </c>
    </row>
    <row r="320" spans="1:21" x14ac:dyDescent="0.25">
      <c r="B320" s="153">
        <f>IF(Überblick!$H$53&gt;=9,"9:",0)</f>
        <v>0</v>
      </c>
      <c r="C320" s="481">
        <f>'Berechnung - Hochbau'!C139</f>
        <v>0</v>
      </c>
      <c r="D320" s="481">
        <f>'Berechnung - Hochbau'!D139</f>
        <v>0</v>
      </c>
      <c r="E320" s="481">
        <f>'Berechnung - Hochbau'!E139</f>
        <v>0</v>
      </c>
      <c r="F320" s="481">
        <f>'Berechnung - Hochbau'!F139</f>
        <v>0</v>
      </c>
      <c r="G320" s="481">
        <f>'Berechnung - Hochbau'!G139</f>
        <v>0</v>
      </c>
      <c r="H320" s="481">
        <f>'Berechnung - Hochbau'!H139</f>
        <v>0</v>
      </c>
      <c r="I320" s="481">
        <f>'Berechnung - Hochbau'!I139</f>
        <v>0</v>
      </c>
      <c r="J320" s="481">
        <f>'Berechnung - Hochbau'!J139</f>
        <v>0</v>
      </c>
      <c r="K320" s="481">
        <f>'Berechnung - Hochbau'!K139</f>
        <v>0</v>
      </c>
      <c r="L320" s="481">
        <f>'Berechnung - Hochbau'!L139</f>
        <v>0</v>
      </c>
      <c r="M320" s="481">
        <f>'Berechnung - Hochbau'!M139</f>
        <v>0</v>
      </c>
      <c r="N320" s="481">
        <f>'Berechnung - Hochbau'!N139</f>
        <v>0</v>
      </c>
      <c r="O320" s="481">
        <f>'Berechnung - Hochbau'!O139</f>
        <v>0</v>
      </c>
      <c r="P320" s="481">
        <f>'Berechnung - Hochbau'!P139</f>
        <v>0</v>
      </c>
      <c r="Q320" s="96"/>
    </row>
    <row r="321" spans="2:17" ht="14.25" customHeight="1" x14ac:dyDescent="0.25">
      <c r="B321" s="140"/>
      <c r="C321" s="140"/>
      <c r="D321" s="140"/>
      <c r="E321" s="140"/>
      <c r="F321" s="140"/>
      <c r="G321" s="140"/>
      <c r="H321" s="140"/>
      <c r="I321" s="140"/>
      <c r="J321" s="140"/>
      <c r="K321" s="140"/>
      <c r="L321" s="140"/>
      <c r="M321" s="140"/>
      <c r="N321" s="140"/>
      <c r="O321" s="140"/>
      <c r="P321" s="140"/>
      <c r="Q321" s="96"/>
    </row>
    <row r="322" spans="2:17" x14ac:dyDescent="0.25">
      <c r="B322" s="140"/>
      <c r="C322" s="140"/>
      <c r="D322" s="140"/>
      <c r="E322" s="140"/>
      <c r="F322" s="140"/>
      <c r="G322" s="140"/>
      <c r="H322" s="140"/>
      <c r="I322" s="140"/>
      <c r="J322" s="140"/>
      <c r="K322" s="140"/>
      <c r="L322" s="140"/>
      <c r="M322" s="140"/>
      <c r="N322" s="140"/>
      <c r="O322" s="140"/>
      <c r="P322" s="140"/>
      <c r="Q322" s="96"/>
    </row>
    <row r="323" spans="2:17" x14ac:dyDescent="0.25">
      <c r="Q323" s="96"/>
    </row>
    <row r="324" spans="2:17" x14ac:dyDescent="0.25">
      <c r="Q324" s="96"/>
    </row>
  </sheetData>
  <sheetProtection algorithmName="SHA-512" hashValue="1uE3rSYeBzK7ywA2/E4+JKc+sQFz5UhTSZmyJtQ04z/ZTwThuIiFRcB8nukgDl9oN7TWx1FDOJwscBtTWHAneA==" saltValue="DTIRxBP73OfnU2ArP1F+LQ==" spinCount="100000" sheet="1" objects="1" scenarios="1"/>
  <mergeCells count="471">
    <mergeCell ref="R192:S196"/>
    <mergeCell ref="L204:P213"/>
    <mergeCell ref="Q204:Q213"/>
    <mergeCell ref="R204:S213"/>
    <mergeCell ref="L245:P250"/>
    <mergeCell ref="Q245:Q250"/>
    <mergeCell ref="R245:S250"/>
    <mergeCell ref="L251:P261"/>
    <mergeCell ref="Q251:Q261"/>
    <mergeCell ref="R251:S261"/>
    <mergeCell ref="L91:P100"/>
    <mergeCell ref="Q91:Q100"/>
    <mergeCell ref="R91:S100"/>
    <mergeCell ref="L160:P170"/>
    <mergeCell ref="Q160:Q170"/>
    <mergeCell ref="R160:S170"/>
    <mergeCell ref="T143:T170"/>
    <mergeCell ref="U143:U170"/>
    <mergeCell ref="L175:P185"/>
    <mergeCell ref="Q175:Q185"/>
    <mergeCell ref="R175:S185"/>
    <mergeCell ref="Q65:Q66"/>
    <mergeCell ref="R65:S66"/>
    <mergeCell ref="L67:P69"/>
    <mergeCell ref="Q67:Q69"/>
    <mergeCell ref="R67:S69"/>
    <mergeCell ref="L70:P75"/>
    <mergeCell ref="Q70:Q75"/>
    <mergeCell ref="R70:S75"/>
    <mergeCell ref="L82:P84"/>
    <mergeCell ref="Q82:Q84"/>
    <mergeCell ref="R82:S84"/>
    <mergeCell ref="S2:U2"/>
    <mergeCell ref="S3:U3"/>
    <mergeCell ref="S4:U4"/>
    <mergeCell ref="T1:U1"/>
    <mergeCell ref="A171:A271"/>
    <mergeCell ref="A54:A142"/>
    <mergeCell ref="B143:G148"/>
    <mergeCell ref="B181:G182"/>
    <mergeCell ref="B183:G192"/>
    <mergeCell ref="B193:G196"/>
    <mergeCell ref="B77:G78"/>
    <mergeCell ref="A156:A159"/>
    <mergeCell ref="A149:A155"/>
    <mergeCell ref="B69:G71"/>
    <mergeCell ref="A143:A148"/>
    <mergeCell ref="B160:G161"/>
    <mergeCell ref="B149:G155"/>
    <mergeCell ref="B156:G159"/>
    <mergeCell ref="B162:G165"/>
    <mergeCell ref="B166:G170"/>
    <mergeCell ref="B133:G138"/>
    <mergeCell ref="B60:G60"/>
    <mergeCell ref="B230:G232"/>
    <mergeCell ref="B86:G89"/>
    <mergeCell ref="B61:G63"/>
    <mergeCell ref="B198:G198"/>
    <mergeCell ref="B199:G199"/>
    <mergeCell ref="L104:P104"/>
    <mergeCell ref="R104:S104"/>
    <mergeCell ref="Q105:Q106"/>
    <mergeCell ref="Q107:Q108"/>
    <mergeCell ref="Q109:Q110"/>
    <mergeCell ref="Q114:Q116"/>
    <mergeCell ref="Q117:Q119"/>
    <mergeCell ref="L105:P106"/>
    <mergeCell ref="L107:P108"/>
    <mergeCell ref="L109:P110"/>
    <mergeCell ref="R105:S106"/>
    <mergeCell ref="R107:S108"/>
    <mergeCell ref="R109:S110"/>
    <mergeCell ref="L114:P116"/>
    <mergeCell ref="L111:P111"/>
    <mergeCell ref="L117:P119"/>
    <mergeCell ref="L101:P103"/>
    <mergeCell ref="Q101:Q103"/>
    <mergeCell ref="R101:S103"/>
    <mergeCell ref="L60:P60"/>
    <mergeCell ref="R60:S60"/>
    <mergeCell ref="Q79:Q81"/>
    <mergeCell ref="Q88:Q90"/>
    <mergeCell ref="Q77:Q78"/>
    <mergeCell ref="Q85:Q86"/>
    <mergeCell ref="L88:P90"/>
    <mergeCell ref="R62:S62"/>
    <mergeCell ref="L63:P64"/>
    <mergeCell ref="Q63:Q64"/>
    <mergeCell ref="R63:S64"/>
    <mergeCell ref="L65:P66"/>
    <mergeCell ref="T198:T213"/>
    <mergeCell ref="U272:U273"/>
    <mergeCell ref="U101:U103"/>
    <mergeCell ref="U129:U131"/>
    <mergeCell ref="U263:U271"/>
    <mergeCell ref="U215:U261"/>
    <mergeCell ref="U198:U213"/>
    <mergeCell ref="U172:U196"/>
    <mergeCell ref="U105:U128"/>
    <mergeCell ref="U133:U141"/>
    <mergeCell ref="T272:T273"/>
    <mergeCell ref="T263:T271"/>
    <mergeCell ref="T215:T261"/>
    <mergeCell ref="T172:T196"/>
    <mergeCell ref="R215:S223"/>
    <mergeCell ref="R240:S244"/>
    <mergeCell ref="R237:S239"/>
    <mergeCell ref="R214:S214"/>
    <mergeCell ref="Q215:Q223"/>
    <mergeCell ref="Q230:Q236"/>
    <mergeCell ref="Q224:Q226"/>
    <mergeCell ref="Q227:Q229"/>
    <mergeCell ref="R230:S236"/>
    <mergeCell ref="L240:P244"/>
    <mergeCell ref="L230:P236"/>
    <mergeCell ref="Q240:Q244"/>
    <mergeCell ref="Q237:Q239"/>
    <mergeCell ref="L215:P223"/>
    <mergeCell ref="L224:P226"/>
    <mergeCell ref="L227:P229"/>
    <mergeCell ref="L214:P214"/>
    <mergeCell ref="R142:S142"/>
    <mergeCell ref="L142:P142"/>
    <mergeCell ref="R201:S203"/>
    <mergeCell ref="Q149:Q155"/>
    <mergeCell ref="Q129:Q131"/>
    <mergeCell ref="R129:S131"/>
    <mergeCell ref="Q172:Q174"/>
    <mergeCell ref="L171:P171"/>
    <mergeCell ref="L197:P197"/>
    <mergeCell ref="R197:S197"/>
    <mergeCell ref="R172:S174"/>
    <mergeCell ref="L139:P141"/>
    <mergeCell ref="L133:P135"/>
    <mergeCell ref="R111:S111"/>
    <mergeCell ref="R112:S112"/>
    <mergeCell ref="R113:S113"/>
    <mergeCell ref="R114:S116"/>
    <mergeCell ref="R117:S119"/>
    <mergeCell ref="R133:S135"/>
    <mergeCell ref="R136:S138"/>
    <mergeCell ref="R139:S141"/>
    <mergeCell ref="L112:P112"/>
    <mergeCell ref="L113:P113"/>
    <mergeCell ref="L129:P131"/>
    <mergeCell ref="R132:S132"/>
    <mergeCell ref="L132:P132"/>
    <mergeCell ref="Q139:Q141"/>
    <mergeCell ref="Q133:Q135"/>
    <mergeCell ref="Q136:Q138"/>
    <mergeCell ref="L136:P138"/>
    <mergeCell ref="L120:P128"/>
    <mergeCell ref="Q120:Q128"/>
    <mergeCell ref="U57:U59"/>
    <mergeCell ref="U61:U75"/>
    <mergeCell ref="U77:U100"/>
    <mergeCell ref="T61:T75"/>
    <mergeCell ref="I57:K59"/>
    <mergeCell ref="I60:K60"/>
    <mergeCell ref="R77:S78"/>
    <mergeCell ref="R79:S81"/>
    <mergeCell ref="R85:S86"/>
    <mergeCell ref="L61:P61"/>
    <mergeCell ref="I77:I100"/>
    <mergeCell ref="J77:K100"/>
    <mergeCell ref="L77:P78"/>
    <mergeCell ref="L79:P81"/>
    <mergeCell ref="L85:P86"/>
    <mergeCell ref="L87:P87"/>
    <mergeCell ref="B250:G251"/>
    <mergeCell ref="H250:H251"/>
    <mergeCell ref="I263:I271"/>
    <mergeCell ref="J198:K213"/>
    <mergeCell ref="I215:I261"/>
    <mergeCell ref="J215:K261"/>
    <mergeCell ref="I214:K214"/>
    <mergeCell ref="I262:K262"/>
    <mergeCell ref="H246:H249"/>
    <mergeCell ref="B252:G257"/>
    <mergeCell ref="H252:H257"/>
    <mergeCell ref="B245:G245"/>
    <mergeCell ref="B246:G249"/>
    <mergeCell ref="B240:G244"/>
    <mergeCell ref="B226:G227"/>
    <mergeCell ref="B214:F214"/>
    <mergeCell ref="B262:F262"/>
    <mergeCell ref="H223:H225"/>
    <mergeCell ref="B228:G229"/>
    <mergeCell ref="H240:H244"/>
    <mergeCell ref="B215:G222"/>
    <mergeCell ref="H215:H222"/>
    <mergeCell ref="H230:H232"/>
    <mergeCell ref="B223:G225"/>
    <mergeCell ref="H306:J307"/>
    <mergeCell ref="H291:J292"/>
    <mergeCell ref="B306:F307"/>
    <mergeCell ref="B281:F281"/>
    <mergeCell ref="H281:J281"/>
    <mergeCell ref="B283:F283"/>
    <mergeCell ref="B285:F285"/>
    <mergeCell ref="H285:J285"/>
    <mergeCell ref="G286:J286"/>
    <mergeCell ref="B287:F287"/>
    <mergeCell ref="H287:J287"/>
    <mergeCell ref="B289:F289"/>
    <mergeCell ref="H289:J289"/>
    <mergeCell ref="B291:F292"/>
    <mergeCell ref="B300:F300"/>
    <mergeCell ref="H300:J300"/>
    <mergeCell ref="B296:F296"/>
    <mergeCell ref="H283:J283"/>
    <mergeCell ref="G301:J301"/>
    <mergeCell ref="B302:F302"/>
    <mergeCell ref="H302:J302"/>
    <mergeCell ref="B304:F304"/>
    <mergeCell ref="H304:J304"/>
    <mergeCell ref="H296:J296"/>
    <mergeCell ref="R227:S229"/>
    <mergeCell ref="R224:S226"/>
    <mergeCell ref="L237:P239"/>
    <mergeCell ref="L263:P271"/>
    <mergeCell ref="Q263:Q271"/>
    <mergeCell ref="R263:S271"/>
    <mergeCell ref="B238:G239"/>
    <mergeCell ref="B263:G267"/>
    <mergeCell ref="H263:H267"/>
    <mergeCell ref="B258:G258"/>
    <mergeCell ref="B259:G259"/>
    <mergeCell ref="B260:G261"/>
    <mergeCell ref="H260:H261"/>
    <mergeCell ref="H238:H239"/>
    <mergeCell ref="B275:R276"/>
    <mergeCell ref="B271:G271"/>
    <mergeCell ref="J272:K273"/>
    <mergeCell ref="I272:I273"/>
    <mergeCell ref="L272:P273"/>
    <mergeCell ref="R272:S273"/>
    <mergeCell ref="Q272:Q273"/>
    <mergeCell ref="L262:P262"/>
    <mergeCell ref="R262:S262"/>
    <mergeCell ref="J263:K271"/>
    <mergeCell ref="B298:F298"/>
    <mergeCell ref="H298:J298"/>
    <mergeCell ref="R171:S171"/>
    <mergeCell ref="H166:H170"/>
    <mergeCell ref="H162:H165"/>
    <mergeCell ref="B172:G172"/>
    <mergeCell ref="B213:G213"/>
    <mergeCell ref="H208:H209"/>
    <mergeCell ref="H210:H212"/>
    <mergeCell ref="B205:G205"/>
    <mergeCell ref="B206:G207"/>
    <mergeCell ref="H206:H207"/>
    <mergeCell ref="B208:G209"/>
    <mergeCell ref="B210:G212"/>
    <mergeCell ref="B178:G180"/>
    <mergeCell ref="B173:G177"/>
    <mergeCell ref="H178:H180"/>
    <mergeCell ref="B197:F197"/>
    <mergeCell ref="B200:G204"/>
    <mergeCell ref="I198:I213"/>
    <mergeCell ref="L198:P200"/>
    <mergeCell ref="R198:S200"/>
    <mergeCell ref="J143:K147"/>
    <mergeCell ref="I148:K148"/>
    <mergeCell ref="I156:I158"/>
    <mergeCell ref="J156:K158"/>
    <mergeCell ref="I159:K159"/>
    <mergeCell ref="J160:K160"/>
    <mergeCell ref="I161:K161"/>
    <mergeCell ref="R156:S159"/>
    <mergeCell ref="Q156:Q159"/>
    <mergeCell ref="I149:I154"/>
    <mergeCell ref="J149:K154"/>
    <mergeCell ref="I155:K155"/>
    <mergeCell ref="L143:P148"/>
    <mergeCell ref="Q143:Q148"/>
    <mergeCell ref="R143:S148"/>
    <mergeCell ref="T57:T59"/>
    <mergeCell ref="T105:T128"/>
    <mergeCell ref="T133:T141"/>
    <mergeCell ref="T129:T131"/>
    <mergeCell ref="T101:T103"/>
    <mergeCell ref="T77:T100"/>
    <mergeCell ref="R87:S87"/>
    <mergeCell ref="R88:S90"/>
    <mergeCell ref="R57:S59"/>
    <mergeCell ref="R76:S76"/>
    <mergeCell ref="R120:S128"/>
    <mergeCell ref="L7:M7"/>
    <mergeCell ref="P7:Q7"/>
    <mergeCell ref="P19:Q19"/>
    <mergeCell ref="P20:Q20"/>
    <mergeCell ref="P21:Q21"/>
    <mergeCell ref="N10:O10"/>
    <mergeCell ref="P10:Q10"/>
    <mergeCell ref="L8:M8"/>
    <mergeCell ref="B14:E15"/>
    <mergeCell ref="B28:E28"/>
    <mergeCell ref="B29:E29"/>
    <mergeCell ref="B19:E19"/>
    <mergeCell ref="B20:E21"/>
    <mergeCell ref="H17:I17"/>
    <mergeCell ref="P8:Q8"/>
    <mergeCell ref="N9:O9"/>
    <mergeCell ref="P9:Q9"/>
    <mergeCell ref="B36:E36"/>
    <mergeCell ref="B10:E10"/>
    <mergeCell ref="B9:E9"/>
    <mergeCell ref="F9:G9"/>
    <mergeCell ref="F10:G10"/>
    <mergeCell ref="F32:I32"/>
    <mergeCell ref="J32:M32"/>
    <mergeCell ref="N32:Q32"/>
    <mergeCell ref="F30:I31"/>
    <mergeCell ref="N30:Q31"/>
    <mergeCell ref="J30:M31"/>
    <mergeCell ref="H21:I21"/>
    <mergeCell ref="L21:M21"/>
    <mergeCell ref="H23:I23"/>
    <mergeCell ref="L23:M23"/>
    <mergeCell ref="B22:E23"/>
    <mergeCell ref="H143:H148"/>
    <mergeCell ref="H200:H204"/>
    <mergeCell ref="F5:Q5"/>
    <mergeCell ref="H19:I19"/>
    <mergeCell ref="L19:M19"/>
    <mergeCell ref="L20:M20"/>
    <mergeCell ref="F6:I6"/>
    <mergeCell ref="J9:K9"/>
    <mergeCell ref="L9:M9"/>
    <mergeCell ref="J10:K10"/>
    <mergeCell ref="L10:M10"/>
    <mergeCell ref="G15:H15"/>
    <mergeCell ref="J6:M6"/>
    <mergeCell ref="N6:Q6"/>
    <mergeCell ref="F8:G8"/>
    <mergeCell ref="H8:I8"/>
    <mergeCell ref="N7:O7"/>
    <mergeCell ref="N8:O8"/>
    <mergeCell ref="J7:K7"/>
    <mergeCell ref="J8:K8"/>
    <mergeCell ref="F7:G7"/>
    <mergeCell ref="H7:I7"/>
    <mergeCell ref="H9:I9"/>
    <mergeCell ref="H10:I10"/>
    <mergeCell ref="I101:K103"/>
    <mergeCell ref="I105:I128"/>
    <mergeCell ref="J105:K128"/>
    <mergeCell ref="I104:K104"/>
    <mergeCell ref="B81:G83"/>
    <mergeCell ref="B79:G80"/>
    <mergeCell ref="H81:H83"/>
    <mergeCell ref="H79:H80"/>
    <mergeCell ref="B98:G100"/>
    <mergeCell ref="B95:G97"/>
    <mergeCell ref="B92:G94"/>
    <mergeCell ref="B90:G91"/>
    <mergeCell ref="H98:H100"/>
    <mergeCell ref="H95:H97"/>
    <mergeCell ref="H92:H94"/>
    <mergeCell ref="H90:H91"/>
    <mergeCell ref="H86:H89"/>
    <mergeCell ref="H84:H85"/>
    <mergeCell ref="B127:G128"/>
    <mergeCell ref="H124:H125"/>
    <mergeCell ref="B124:G125"/>
    <mergeCell ref="H127:H128"/>
    <mergeCell ref="B126:G126"/>
    <mergeCell ref="I76:K76"/>
    <mergeCell ref="L76:P76"/>
    <mergeCell ref="B64:G65"/>
    <mergeCell ref="H64:H65"/>
    <mergeCell ref="B66:G68"/>
    <mergeCell ref="H66:H68"/>
    <mergeCell ref="B8:E8"/>
    <mergeCell ref="P23:Q23"/>
    <mergeCell ref="L17:M17"/>
    <mergeCell ref="F36:Q36"/>
    <mergeCell ref="B54:G56"/>
    <mergeCell ref="H54:H56"/>
    <mergeCell ref="I54:I56"/>
    <mergeCell ref="H61:H63"/>
    <mergeCell ref="Q57:Q59"/>
    <mergeCell ref="F11:I13"/>
    <mergeCell ref="J11:M13"/>
    <mergeCell ref="N11:Q13"/>
    <mergeCell ref="F37:Q42"/>
    <mergeCell ref="B37:E42"/>
    <mergeCell ref="P17:Q17"/>
    <mergeCell ref="B17:E17"/>
    <mergeCell ref="B57:G59"/>
    <mergeCell ref="H57:H59"/>
    <mergeCell ref="F28:Q28"/>
    <mergeCell ref="F29:Q29"/>
    <mergeCell ref="B129:G131"/>
    <mergeCell ref="H129:H131"/>
    <mergeCell ref="H133:H138"/>
    <mergeCell ref="B139:G139"/>
    <mergeCell ref="B140:G141"/>
    <mergeCell ref="H140:H141"/>
    <mergeCell ref="B142:F142"/>
    <mergeCell ref="B132:F132"/>
    <mergeCell ref="B72:G75"/>
    <mergeCell ref="H72:H75"/>
    <mergeCell ref="B84:G85"/>
    <mergeCell ref="B76:E76"/>
    <mergeCell ref="B122:G122"/>
    <mergeCell ref="B123:G123"/>
    <mergeCell ref="B104:F104"/>
    <mergeCell ref="B105:G118"/>
    <mergeCell ref="H105:H118"/>
    <mergeCell ref="B119:G121"/>
    <mergeCell ref="B101:G103"/>
    <mergeCell ref="H101:H103"/>
    <mergeCell ref="A160:A161"/>
    <mergeCell ref="G272:H273"/>
    <mergeCell ref="I162:I164"/>
    <mergeCell ref="J162:K164"/>
    <mergeCell ref="I165:K165"/>
    <mergeCell ref="I166:I169"/>
    <mergeCell ref="J166:K169"/>
    <mergeCell ref="I170:K170"/>
    <mergeCell ref="A166:A170"/>
    <mergeCell ref="A162:A165"/>
    <mergeCell ref="J172:K196"/>
    <mergeCell ref="H228:H229"/>
    <mergeCell ref="H226:H227"/>
    <mergeCell ref="B268:G270"/>
    <mergeCell ref="H268:H270"/>
    <mergeCell ref="B235:G237"/>
    <mergeCell ref="H235:H237"/>
    <mergeCell ref="B233:G234"/>
    <mergeCell ref="H233:H234"/>
    <mergeCell ref="I171:K171"/>
    <mergeCell ref="B171:G171"/>
    <mergeCell ref="I197:K197"/>
    <mergeCell ref="I52:K53"/>
    <mergeCell ref="J54:K56"/>
    <mergeCell ref="I143:I147"/>
    <mergeCell ref="H69:H71"/>
    <mergeCell ref="L156:P159"/>
    <mergeCell ref="H193:H196"/>
    <mergeCell ref="H181:H182"/>
    <mergeCell ref="H160:H161"/>
    <mergeCell ref="I172:I196"/>
    <mergeCell ref="L57:P59"/>
    <mergeCell ref="R61:S61"/>
    <mergeCell ref="I61:I75"/>
    <mergeCell ref="J61:K75"/>
    <mergeCell ref="L62:P62"/>
    <mergeCell ref="H77:H78"/>
    <mergeCell ref="H119:H121"/>
    <mergeCell ref="I142:K142"/>
    <mergeCell ref="I129:K131"/>
    <mergeCell ref="I133:I141"/>
    <mergeCell ref="J133:K141"/>
    <mergeCell ref="I132:K132"/>
    <mergeCell ref="Q198:Q200"/>
    <mergeCell ref="Q201:Q203"/>
    <mergeCell ref="H156:H159"/>
    <mergeCell ref="H149:H155"/>
    <mergeCell ref="L149:P155"/>
    <mergeCell ref="R149:S155"/>
    <mergeCell ref="H183:H192"/>
    <mergeCell ref="H173:H177"/>
    <mergeCell ref="L172:P174"/>
    <mergeCell ref="L201:P203"/>
    <mergeCell ref="L186:P191"/>
    <mergeCell ref="Q186:Q191"/>
    <mergeCell ref="R186:S191"/>
  </mergeCells>
  <phoneticPr fontId="37" type="noConversion"/>
  <conditionalFormatting sqref="Z77">
    <cfRule type="containsText" dxfId="1507" priority="322" operator="containsText" text="Ja">
      <formula>NOT(ISERROR(SEARCH("Ja",Z77)))</formula>
    </cfRule>
  </conditionalFormatting>
  <conditionalFormatting sqref="T77:T100">
    <cfRule type="expression" dxfId="1506" priority="320">
      <formula>$T$77="ja"</formula>
    </cfRule>
  </conditionalFormatting>
  <conditionalFormatting sqref="T133:T141">
    <cfRule type="cellIs" dxfId="1505" priority="249" operator="equal">
      <formula>"ja"</formula>
    </cfRule>
  </conditionalFormatting>
  <conditionalFormatting sqref="T143 T198:T213 T263:T271 T215:T261">
    <cfRule type="cellIs" dxfId="1504" priority="246" operator="equal">
      <formula>$V$49</formula>
    </cfRule>
  </conditionalFormatting>
  <conditionalFormatting sqref="T172:T196">
    <cfRule type="cellIs" dxfId="1503" priority="245" operator="equal">
      <formula>$V$49</formula>
    </cfRule>
  </conditionalFormatting>
  <conditionalFormatting sqref="T61">
    <cfRule type="expression" dxfId="1502" priority="463">
      <formula>$T$61="JA"</formula>
    </cfRule>
  </conditionalFormatting>
  <conditionalFormatting sqref="B312:B319">
    <cfRule type="cellIs" dxfId="1501" priority="105" operator="greaterThan">
      <formula>0</formula>
    </cfRule>
  </conditionalFormatting>
  <conditionalFormatting sqref="C312:P312">
    <cfRule type="expression" dxfId="1500" priority="104">
      <formula>$B312&gt;=1</formula>
    </cfRule>
  </conditionalFormatting>
  <conditionalFormatting sqref="C313:P313">
    <cfRule type="expression" dxfId="1499" priority="103">
      <formula>$B313&gt;=1</formula>
    </cfRule>
  </conditionalFormatting>
  <conditionalFormatting sqref="C314:P314">
    <cfRule type="expression" dxfId="1498" priority="102">
      <formula>$B314&gt;=1</formula>
    </cfRule>
  </conditionalFormatting>
  <conditionalFormatting sqref="C315:P315">
    <cfRule type="expression" dxfId="1497" priority="101">
      <formula>$B315&gt;=1</formula>
    </cfRule>
  </conditionalFormatting>
  <conditionalFormatting sqref="C316:P316">
    <cfRule type="expression" dxfId="1496" priority="100">
      <formula>$B316&gt;=1</formula>
    </cfRule>
  </conditionalFormatting>
  <conditionalFormatting sqref="C317:P317">
    <cfRule type="expression" dxfId="1495" priority="99">
      <formula>$B317&gt;=1</formula>
    </cfRule>
  </conditionalFormatting>
  <conditionalFormatting sqref="C318:P318">
    <cfRule type="expression" dxfId="1494" priority="98">
      <formula>$B318&gt;=1</formula>
    </cfRule>
  </conditionalFormatting>
  <conditionalFormatting sqref="C319:P320">
    <cfRule type="expression" dxfId="1493" priority="97">
      <formula>$B319&gt;=1</formula>
    </cfRule>
  </conditionalFormatting>
  <conditionalFormatting sqref="C312:P320">
    <cfRule type="cellIs" dxfId="1492" priority="96" operator="greaterThan">
      <formula>0</formula>
    </cfRule>
  </conditionalFormatting>
  <conditionalFormatting sqref="R61:S61 R240:R242">
    <cfRule type="expression" dxfId="1491" priority="95">
      <formula>Q61="Ja"</formula>
    </cfRule>
  </conditionalFormatting>
  <conditionalFormatting sqref="R62:S62">
    <cfRule type="expression" dxfId="1490" priority="94">
      <formula>Q62="Ja"</formula>
    </cfRule>
  </conditionalFormatting>
  <conditionalFormatting sqref="R63">
    <cfRule type="expression" dxfId="1489" priority="93">
      <formula>Q63="Ja"</formula>
    </cfRule>
  </conditionalFormatting>
  <conditionalFormatting sqref="R67 R65">
    <cfRule type="expression" dxfId="1488" priority="92">
      <formula>Q65="Ja"</formula>
    </cfRule>
  </conditionalFormatting>
  <conditionalFormatting sqref="R87:S87">
    <cfRule type="expression" dxfId="1487" priority="90">
      <formula>Q87="Ja"</formula>
    </cfRule>
  </conditionalFormatting>
  <conditionalFormatting sqref="R111:S111">
    <cfRule type="expression" dxfId="1486" priority="87">
      <formula>Q111="Ja"</formula>
    </cfRule>
  </conditionalFormatting>
  <conditionalFormatting sqref="R112:S112">
    <cfRule type="expression" dxfId="1485" priority="86">
      <formula>Q112="Ja"</formula>
    </cfRule>
  </conditionalFormatting>
  <conditionalFormatting sqref="R113:S113">
    <cfRule type="expression" dxfId="1484" priority="85">
      <formula>Q113="Ja"</formula>
    </cfRule>
  </conditionalFormatting>
  <conditionalFormatting sqref="R79">
    <cfRule type="expression" dxfId="1482" priority="80">
      <formula>Q79="Ja"</formula>
    </cfRule>
  </conditionalFormatting>
  <conditionalFormatting sqref="R88">
    <cfRule type="expression" dxfId="1481" priority="79">
      <formula>Q88="Ja"</formula>
    </cfRule>
  </conditionalFormatting>
  <conditionalFormatting sqref="R114">
    <cfRule type="expression" dxfId="1480" priority="78">
      <formula>Q114="Ja"</formula>
    </cfRule>
  </conditionalFormatting>
  <conditionalFormatting sqref="R117">
    <cfRule type="expression" dxfId="1479" priority="77">
      <formula>Q117="Ja"</formula>
    </cfRule>
  </conditionalFormatting>
  <conditionalFormatting sqref="R120">
    <cfRule type="expression" dxfId="1478" priority="76">
      <formula>Q120="Ja"</formula>
    </cfRule>
  </conditionalFormatting>
  <conditionalFormatting sqref="R133">
    <cfRule type="expression" dxfId="1477" priority="73">
      <formula>Q133="Ja"</formula>
    </cfRule>
  </conditionalFormatting>
  <conditionalFormatting sqref="R136">
    <cfRule type="expression" dxfId="1476" priority="72">
      <formula>Q136="Ja"</formula>
    </cfRule>
  </conditionalFormatting>
  <conditionalFormatting sqref="R139">
    <cfRule type="expression" dxfId="1475" priority="71">
      <formula>Q139="Ja"</formula>
    </cfRule>
  </conditionalFormatting>
  <conditionalFormatting sqref="R156">
    <cfRule type="expression" dxfId="1474" priority="70">
      <formula>Q156="Ja"</formula>
    </cfRule>
  </conditionalFormatting>
  <conditionalFormatting sqref="R172">
    <cfRule type="expression" dxfId="1473" priority="67">
      <formula>Q172="Ja"</formula>
    </cfRule>
  </conditionalFormatting>
  <conditionalFormatting sqref="R175">
    <cfRule type="expression" dxfId="1472" priority="66">
      <formula>Q175="Ja"</formula>
    </cfRule>
  </conditionalFormatting>
  <conditionalFormatting sqref="R198">
    <cfRule type="expression" dxfId="1471" priority="63">
      <formula>Q198="Ja"</formula>
    </cfRule>
  </conditionalFormatting>
  <conditionalFormatting sqref="R201">
    <cfRule type="expression" dxfId="1470" priority="62">
      <formula>Q201="Ja"</formula>
    </cfRule>
  </conditionalFormatting>
  <conditionalFormatting sqref="R204">
    <cfRule type="expression" dxfId="1469" priority="61">
      <formula>Q204="Ja"</formula>
    </cfRule>
  </conditionalFormatting>
  <conditionalFormatting sqref="R224">
    <cfRule type="expression" dxfId="1466" priority="58">
      <formula>Q224="Ja"</formula>
    </cfRule>
  </conditionalFormatting>
  <conditionalFormatting sqref="R227">
    <cfRule type="expression" dxfId="1465" priority="57">
      <formula>Q227="Ja"</formula>
    </cfRule>
  </conditionalFormatting>
  <conditionalFormatting sqref="R237">
    <cfRule type="expression" dxfId="1464" priority="56">
      <formula>Q237="Ja"</formula>
    </cfRule>
  </conditionalFormatting>
  <conditionalFormatting sqref="R245">
    <cfRule type="expression" dxfId="1463" priority="54">
      <formula>Q245="Ja"</formula>
    </cfRule>
  </conditionalFormatting>
  <conditionalFormatting sqref="R251">
    <cfRule type="expression" dxfId="1461" priority="52">
      <formula>Q251="Ja"</formula>
    </cfRule>
  </conditionalFormatting>
  <conditionalFormatting sqref="R263">
    <cfRule type="expression" dxfId="1458" priority="49">
      <formula>Q263="Ja"</formula>
    </cfRule>
  </conditionalFormatting>
  <conditionalFormatting sqref="R77:S78">
    <cfRule type="expression" dxfId="1455" priority="46">
      <formula>Q77="ja"</formula>
    </cfRule>
  </conditionalFormatting>
  <conditionalFormatting sqref="R82">
    <cfRule type="expression" dxfId="1454" priority="45">
      <formula>Q82="ja"</formula>
    </cfRule>
  </conditionalFormatting>
  <conditionalFormatting sqref="R85:S86">
    <cfRule type="expression" dxfId="1453" priority="44">
      <formula>Q85="ja"</formula>
    </cfRule>
  </conditionalFormatting>
  <conditionalFormatting sqref="R91">
    <cfRule type="expression" dxfId="1452" priority="43">
      <formula>Q91="ja"</formula>
    </cfRule>
  </conditionalFormatting>
  <conditionalFormatting sqref="R105:S106">
    <cfRule type="expression" dxfId="1451" priority="42">
      <formula>Q105="ja"</formula>
    </cfRule>
  </conditionalFormatting>
  <conditionalFormatting sqref="R107:S108">
    <cfRule type="expression" dxfId="1450" priority="41">
      <formula>Q107="ja"</formula>
    </cfRule>
  </conditionalFormatting>
  <conditionalFormatting sqref="R109:S110">
    <cfRule type="expression" dxfId="1449" priority="40">
      <formula>Q109="ja"</formula>
    </cfRule>
  </conditionalFormatting>
  <conditionalFormatting sqref="R143">
    <cfRule type="expression" dxfId="1448" priority="38">
      <formula>Q143="Ja"</formula>
    </cfRule>
  </conditionalFormatting>
  <conditionalFormatting sqref="R149">
    <cfRule type="expression" dxfId="1447" priority="37">
      <formula>Q149="Ja"</formula>
    </cfRule>
  </conditionalFormatting>
  <conditionalFormatting sqref="R215">
    <cfRule type="expression" dxfId="1445" priority="35">
      <formula>Q215="Ja"</formula>
    </cfRule>
  </conditionalFormatting>
  <conditionalFormatting sqref="R230:R231">
    <cfRule type="expression" dxfId="1444" priority="34">
      <formula>Q230="Ja"</formula>
    </cfRule>
  </conditionalFormatting>
  <conditionalFormatting sqref="B320">
    <cfRule type="cellIs" dxfId="1443" priority="32" operator="greaterThan">
      <formula>0</formula>
    </cfRule>
  </conditionalFormatting>
  <conditionalFormatting sqref="R70">
    <cfRule type="expression" dxfId="1442" priority="28">
      <formula>Q70="Ja"</formula>
    </cfRule>
  </conditionalFormatting>
  <conditionalFormatting sqref="F37">
    <cfRule type="expression" dxfId="1441" priority="682">
      <formula>(($H$9+$H$10+$L$9+$L$10+$P$9+$P$10)&gt;0)</formula>
    </cfRule>
  </conditionalFormatting>
  <conditionalFormatting sqref="I57:K59">
    <cfRule type="expression" dxfId="1440" priority="27">
      <formula>$B$57=$T$17</formula>
    </cfRule>
  </conditionalFormatting>
  <conditionalFormatting sqref="I76:K76">
    <cfRule type="expression" dxfId="1439" priority="25">
      <formula>AND($B$57=$T$17,$G$104&gt;0)</formula>
    </cfRule>
  </conditionalFormatting>
  <conditionalFormatting sqref="I104:K104">
    <cfRule type="expression" dxfId="1438" priority="7">
      <formula>$B$101=$T$16</formula>
    </cfRule>
    <cfRule type="expression" dxfId="1437" priority="24">
      <formula>AND($B$101=$T$18,$G$132&gt;0)</formula>
    </cfRule>
  </conditionalFormatting>
  <conditionalFormatting sqref="I148:K148">
    <cfRule type="expression" dxfId="1436" priority="20">
      <formula>AND($B$129=$T$19,$H$143="ja")</formula>
    </cfRule>
  </conditionalFormatting>
  <conditionalFormatting sqref="I155:K155">
    <cfRule type="expression" dxfId="1435" priority="19">
      <formula>AND($B$129=$T$19,$H$149="ja")</formula>
    </cfRule>
  </conditionalFormatting>
  <conditionalFormatting sqref="I159:K159">
    <cfRule type="expression" dxfId="1434" priority="18">
      <formula>AND($B$129=$T$19,$H$156="ja")</formula>
    </cfRule>
  </conditionalFormatting>
  <conditionalFormatting sqref="I161:K161">
    <cfRule type="expression" dxfId="1433" priority="17">
      <formula>AND($B$129=$T$19,$H$160="ja")</formula>
    </cfRule>
  </conditionalFormatting>
  <conditionalFormatting sqref="I165:K165">
    <cfRule type="expression" dxfId="1432" priority="16">
      <formula>AND($B$129=$T$19,$H$162="ja")</formula>
    </cfRule>
  </conditionalFormatting>
  <conditionalFormatting sqref="I170:K170">
    <cfRule type="expression" dxfId="1431" priority="15">
      <formula>AND($B$129=$T$19,$H$166="ja")</formula>
    </cfRule>
  </conditionalFormatting>
  <conditionalFormatting sqref="R160">
    <cfRule type="expression" dxfId="1430" priority="14">
      <formula>Q160="ja"</formula>
    </cfRule>
  </conditionalFormatting>
  <conditionalFormatting sqref="I101:K103">
    <cfRule type="expression" dxfId="1429" priority="10">
      <formula>$I$101=0</formula>
    </cfRule>
  </conditionalFormatting>
  <conditionalFormatting sqref="I129:K131">
    <cfRule type="expression" dxfId="1428" priority="9">
      <formula>$I$101=0</formula>
    </cfRule>
  </conditionalFormatting>
  <conditionalFormatting sqref="I132:K132 I148:K148 I155:K155 I159:K159 I161:K161 I165:K165 I170:K171 I197:K197 I214:K214 I262:K262">
    <cfRule type="expression" dxfId="1427" priority="8">
      <formula>$B$129=$T$16</formula>
    </cfRule>
  </conditionalFormatting>
  <conditionalFormatting sqref="I104:K104 I60:K60 I76:K76">
    <cfRule type="expression" dxfId="1426" priority="6">
      <formula>$B$57=$T$16</formula>
    </cfRule>
  </conditionalFormatting>
  <conditionalFormatting sqref="I60:K60">
    <cfRule type="expression" dxfId="1425" priority="683">
      <formula>AND($B$57=$T$17,$G$76&gt;0)</formula>
    </cfRule>
  </conditionalFormatting>
  <conditionalFormatting sqref="I132:K132">
    <cfRule type="expression" dxfId="1424" priority="684">
      <formula>AND($B$129=$T$19,$G$142&gt;0)</formula>
    </cfRule>
  </conditionalFormatting>
  <conditionalFormatting sqref="I171:K171">
    <cfRule type="expression" dxfId="1423" priority="685">
      <formula>AND($B$129=$T$19,$G$197&gt;0)</formula>
    </cfRule>
  </conditionalFormatting>
  <conditionalFormatting sqref="I197:K197">
    <cfRule type="expression" dxfId="1422" priority="686">
      <formula>AND($B$129=$T$19,$G$214&gt;0)</formula>
    </cfRule>
  </conditionalFormatting>
  <conditionalFormatting sqref="I262:K262">
    <cfRule type="expression" dxfId="1421" priority="710">
      <formula>AND($B$129=$T$19,F272&gt;0)</formula>
    </cfRule>
  </conditionalFormatting>
  <conditionalFormatting sqref="I214:K214">
    <cfRule type="expression" dxfId="1420" priority="720">
      <formula>AND($B$129=$T$19,$G$262&gt;0)</formula>
    </cfRule>
  </conditionalFormatting>
  <conditionalFormatting sqref="F10:G10">
    <cfRule type="expression" priority="731">
      <formula>CELL("Schutz",B1)=0</formula>
    </cfRule>
  </conditionalFormatting>
  <conditionalFormatting sqref="T105:T128">
    <cfRule type="expression" dxfId="1419" priority="2">
      <formula>$T$105="ja"</formula>
    </cfRule>
  </conditionalFormatting>
  <conditionalFormatting sqref="R186">
    <cfRule type="expression" dxfId="0" priority="1">
      <formula>Q186="Ja"</formula>
    </cfRule>
  </conditionalFormatting>
  <dataValidations count="4">
    <dataValidation type="list" allowBlank="1" showInputMessage="1" showErrorMessage="1" sqref="F28:Q28" xr:uid="{330C98D1-7962-4034-A4E8-7A85B15665AE}">
      <formula1>$V$28:$V$32</formula1>
    </dataValidation>
    <dataValidation type="list" allowBlank="1" showInputMessage="1" showErrorMessage="1" sqref="H105:H128 H198:H213 H172:H196 H77:H79 H133:H141 H263:H271 H215 H223:H231 H233:H235 H258:H261 H64 H61 H66 H69 H72:H73 H98 H92 H95 H90 H86 H84 H81 H143 H149:H160 H162:H170 H238:H254" xr:uid="{4F85FA74-7FB4-41C9-BDCB-BABA8C1B86A7}">
      <formula1>$V$48:$V$51</formula1>
    </dataValidation>
    <dataValidation type="list" allowBlank="1" showInputMessage="1" showErrorMessage="1" sqref="Q160 Q65 Q230:Q231 Q215 Q117 Q109 Q263 Q107 Q105 Q251 Q91 Q245 Q240:Q242 Q237 Q227 Q224 Q82 Q77 Q204 Q201 Q198 Q79 Q70 Q175 Q172 Q186 Q67 Q111:Q114 Q85 Q156 Q149 Q143 Q139 Q136 Q133 Q87:Q88 Q61:Q63 Q120" xr:uid="{2509CE97-85F2-4C82-A054-9309D07E7DD5}">
      <formula1>$V$48:$V$49</formula1>
    </dataValidation>
    <dataValidation type="list" allowBlank="1" showInputMessage="1" showErrorMessage="1" sqref="F5:Q5" xr:uid="{A9C97EE6-E29C-4292-BDDC-0F09B7554DB0}">
      <formula1>$V$5:$V$6</formula1>
    </dataValidation>
  </dataValidations>
  <pageMargins left="0.23622047244094491" right="0.23622047244094491" top="0" bottom="0" header="0.31496062992125984" footer="0"/>
  <pageSetup paperSize="9" scale="50" fitToHeight="5" orientation="portrait" r:id="rId1"/>
  <rowBreaks count="3" manualBreakCount="3">
    <brk id="94" max="16383" man="1"/>
    <brk id="196" max="16383" man="1"/>
    <brk id="293" max="16383" man="1"/>
  </rowBreaks>
  <ignoredErrors>
    <ignoredError sqref="J9:J10 N9:N10 L19 P19:Q19 G10 P22:Q22 Q20 G9" unlockedFormula="1"/>
    <ignoredError sqref="W214:X214"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'Berechnung - Hochbau'!$H$52:$H$56</xm:f>
          </x14:formula1>
          <xm:sqref>F29</xm:sqref>
        </x14:dataValidation>
        <x14:dataValidation type="list" allowBlank="1" showInputMessage="1" showErrorMessage="1" xr:uid="{00000000-0002-0000-0100-000005000000}">
          <x14:formula1>
            <xm:f>'Berechnung - Hochbau'!$B$109:$B$112</xm:f>
          </x14:formula1>
          <xm:sqref>R5:S7 AD6:AE6 W7:X7</xm:sqref>
        </x14:dataValidation>
        <x14:dataValidation type="list" allowBlank="1" showInputMessage="1" showErrorMessage="1" xr:uid="{0EDB7030-691E-485E-82C9-4F4A496D92FF}">
          <x14:formula1>
            <xm:f>'Berechnung - Hochbau'!$B$131:$B$140</xm:f>
          </x14:formula1>
          <xm:sqref>U61:U143 U171:U271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47914-031F-43EF-81A1-950508616A18}">
  <sheetPr codeName="Tabelle14">
    <tabColor rgb="FFFFC000"/>
  </sheetPr>
  <dimension ref="A2:V606"/>
  <sheetViews>
    <sheetView workbookViewId="0"/>
  </sheetViews>
  <sheetFormatPr baseColWidth="10" defaultColWidth="11.44140625" defaultRowHeight="13.9" x14ac:dyDescent="0.25"/>
  <cols>
    <col min="1" max="1" width="3.21875" style="641" customWidth="1"/>
    <col min="2" max="2" width="30.44140625" style="641" customWidth="1"/>
    <col min="3" max="3" width="10.5546875" style="641" bestFit="1" customWidth="1"/>
    <col min="4" max="5" width="15.77734375" style="641" customWidth="1"/>
    <col min="6" max="6" width="11.77734375" style="641" bestFit="1" customWidth="1"/>
    <col min="7" max="7" width="17" style="641" customWidth="1"/>
    <col min="8" max="8" width="15.77734375" style="641" customWidth="1"/>
    <col min="9" max="9" width="11.44140625" style="641" customWidth="1"/>
    <col min="10" max="11" width="15.77734375" style="641" customWidth="1"/>
    <col min="12" max="12" width="11.77734375" style="641" bestFit="1" customWidth="1"/>
    <col min="13" max="13" width="13.5546875" style="641" customWidth="1"/>
    <col min="14" max="14" width="15.77734375" style="641" customWidth="1"/>
    <col min="15" max="15" width="11.77734375" style="641" bestFit="1" customWidth="1"/>
    <col min="16" max="17" width="15.77734375" style="641" customWidth="1"/>
    <col min="18" max="19" width="11.44140625" style="641"/>
    <col min="20" max="20" width="49" style="641" bestFit="1" customWidth="1"/>
    <col min="21" max="21" width="27.44140625" style="641" bestFit="1" customWidth="1"/>
    <col min="22" max="22" width="98.77734375" style="641" customWidth="1"/>
    <col min="23" max="16384" width="11.44140625" style="641"/>
  </cols>
  <sheetData>
    <row r="2" spans="1:17" x14ac:dyDescent="0.25">
      <c r="B2" s="630" t="s">
        <v>587</v>
      </c>
    </row>
    <row r="3" spans="1:17" ht="14.55" thickBot="1" x14ac:dyDescent="0.3"/>
    <row r="4" spans="1:17" ht="14.55" x14ac:dyDescent="0.25">
      <c r="A4" s="651"/>
      <c r="B4" s="1443" t="s">
        <v>300</v>
      </c>
      <c r="C4" s="593"/>
      <c r="D4" s="1448" t="s">
        <v>301</v>
      </c>
      <c r="E4" s="1449"/>
      <c r="F4" s="593"/>
      <c r="G4" s="1448" t="s">
        <v>302</v>
      </c>
      <c r="H4" s="1449"/>
      <c r="I4" s="593"/>
      <c r="J4" s="1448" t="s">
        <v>303</v>
      </c>
      <c r="K4" s="1449"/>
      <c r="L4" s="593"/>
      <c r="M4" s="1448" t="s">
        <v>304</v>
      </c>
      <c r="N4" s="1449"/>
      <c r="O4" s="593"/>
      <c r="P4" s="1448" t="s">
        <v>305</v>
      </c>
      <c r="Q4" s="1449"/>
    </row>
    <row r="5" spans="1:17" ht="14.55" x14ac:dyDescent="0.25">
      <c r="A5" s="651"/>
      <c r="B5" s="1444"/>
      <c r="C5" s="593"/>
      <c r="D5" s="1450" t="s">
        <v>306</v>
      </c>
      <c r="E5" s="1451"/>
      <c r="F5" s="593"/>
      <c r="G5" s="1450" t="s">
        <v>307</v>
      </c>
      <c r="H5" s="1451"/>
      <c r="I5" s="593"/>
      <c r="J5" s="1450" t="s">
        <v>308</v>
      </c>
      <c r="K5" s="1451"/>
      <c r="L5" s="593"/>
      <c r="M5" s="1450" t="s">
        <v>309</v>
      </c>
      <c r="N5" s="1451"/>
      <c r="O5" s="593"/>
      <c r="P5" s="1450" t="s">
        <v>310</v>
      </c>
      <c r="Q5" s="1451"/>
    </row>
    <row r="6" spans="1:17" ht="14.55" x14ac:dyDescent="0.25">
      <c r="A6" s="651"/>
      <c r="B6" s="1444"/>
      <c r="C6" s="593"/>
      <c r="D6" s="595" t="s">
        <v>311</v>
      </c>
      <c r="E6" s="596" t="s">
        <v>312</v>
      </c>
      <c r="F6" s="593"/>
      <c r="G6" s="595" t="s">
        <v>311</v>
      </c>
      <c r="H6" s="596" t="s">
        <v>312</v>
      </c>
      <c r="I6" s="593"/>
      <c r="J6" s="595" t="s">
        <v>311</v>
      </c>
      <c r="K6" s="596" t="s">
        <v>312</v>
      </c>
      <c r="L6" s="593"/>
      <c r="M6" s="595" t="s">
        <v>311</v>
      </c>
      <c r="N6" s="596" t="s">
        <v>312</v>
      </c>
      <c r="O6" s="593"/>
      <c r="P6" s="595" t="s">
        <v>311</v>
      </c>
      <c r="Q6" s="596" t="s">
        <v>312</v>
      </c>
    </row>
    <row r="7" spans="1:17" ht="15.2" thickBot="1" x14ac:dyDescent="0.3">
      <c r="A7" s="651"/>
      <c r="B7" s="1445"/>
      <c r="C7" s="593"/>
      <c r="D7" s="1446" t="s">
        <v>3</v>
      </c>
      <c r="E7" s="1447"/>
      <c r="F7" s="593"/>
      <c r="G7" s="1446" t="s">
        <v>3</v>
      </c>
      <c r="H7" s="1447"/>
      <c r="I7" s="593"/>
      <c r="J7" s="1446" t="s">
        <v>3</v>
      </c>
      <c r="K7" s="1447"/>
      <c r="L7" s="593"/>
      <c r="M7" s="1446" t="s">
        <v>3</v>
      </c>
      <c r="N7" s="1447"/>
      <c r="O7" s="593"/>
      <c r="P7" s="1446" t="s">
        <v>3</v>
      </c>
      <c r="Q7" s="1447"/>
    </row>
    <row r="8" spans="1:17" ht="14.55" x14ac:dyDescent="0.25">
      <c r="A8" s="651"/>
      <c r="B8" s="713">
        <v>20000</v>
      </c>
      <c r="C8" s="564"/>
      <c r="D8" s="565">
        <v>3643</v>
      </c>
      <c r="E8" s="566">
        <v>4348</v>
      </c>
      <c r="F8" s="564"/>
      <c r="G8" s="565">
        <f>E8</f>
        <v>4348</v>
      </c>
      <c r="H8" s="566">
        <v>5229</v>
      </c>
      <c r="I8" s="564"/>
      <c r="J8" s="565">
        <f>H8</f>
        <v>5229</v>
      </c>
      <c r="K8" s="566">
        <v>6251</v>
      </c>
      <c r="L8" s="564"/>
      <c r="M8" s="565">
        <f>K8</f>
        <v>6251</v>
      </c>
      <c r="N8" s="566">
        <v>7403</v>
      </c>
      <c r="O8" s="564"/>
      <c r="P8" s="565">
        <f>N8</f>
        <v>7403</v>
      </c>
      <c r="Q8" s="566">
        <v>8108</v>
      </c>
    </row>
    <row r="9" spans="1:17" ht="14.55" x14ac:dyDescent="0.25">
      <c r="A9" s="651"/>
      <c r="B9" s="713">
        <v>25000</v>
      </c>
      <c r="C9" s="564"/>
      <c r="D9" s="569">
        <v>4406</v>
      </c>
      <c r="E9" s="570">
        <v>5259</v>
      </c>
      <c r="F9" s="564"/>
      <c r="G9" s="569">
        <f t="shared" ref="G9:G46" si="0">E9</f>
        <v>5259</v>
      </c>
      <c r="H9" s="570">
        <v>6325</v>
      </c>
      <c r="I9" s="564"/>
      <c r="J9" s="569">
        <f t="shared" ref="J9:J46" si="1">H9</f>
        <v>6325</v>
      </c>
      <c r="K9" s="570">
        <v>7888</v>
      </c>
      <c r="L9" s="564"/>
      <c r="M9" s="569">
        <f t="shared" ref="M9:M46" si="2">K9</f>
        <v>7888</v>
      </c>
      <c r="N9" s="570">
        <v>8954</v>
      </c>
      <c r="O9" s="564"/>
      <c r="P9" s="569">
        <f t="shared" ref="P9:P27" si="3">N9</f>
        <v>8954</v>
      </c>
      <c r="Q9" s="570">
        <v>9807</v>
      </c>
    </row>
    <row r="10" spans="1:17" ht="14.55" x14ac:dyDescent="0.25">
      <c r="A10" s="651"/>
      <c r="B10" s="713">
        <v>30000</v>
      </c>
      <c r="C10" s="564"/>
      <c r="D10" s="569">
        <v>5147</v>
      </c>
      <c r="E10" s="570">
        <v>6143</v>
      </c>
      <c r="F10" s="564"/>
      <c r="G10" s="569">
        <f t="shared" si="0"/>
        <v>6143</v>
      </c>
      <c r="H10" s="570">
        <v>7388</v>
      </c>
      <c r="I10" s="564"/>
      <c r="J10" s="569">
        <f t="shared" si="1"/>
        <v>7388</v>
      </c>
      <c r="K10" s="570">
        <v>9215</v>
      </c>
      <c r="L10" s="564"/>
      <c r="M10" s="569">
        <f t="shared" si="2"/>
        <v>9215</v>
      </c>
      <c r="N10" s="570">
        <v>10460</v>
      </c>
      <c r="O10" s="564"/>
      <c r="P10" s="569">
        <f t="shared" si="3"/>
        <v>10460</v>
      </c>
      <c r="Q10" s="570">
        <v>11456</v>
      </c>
    </row>
    <row r="11" spans="1:17" ht="14.55" x14ac:dyDescent="0.25">
      <c r="A11" s="651"/>
      <c r="B11" s="571">
        <v>35000</v>
      </c>
      <c r="C11" s="564"/>
      <c r="D11" s="569">
        <v>5870</v>
      </c>
      <c r="E11" s="570">
        <v>7006</v>
      </c>
      <c r="F11" s="564"/>
      <c r="G11" s="569">
        <f t="shared" si="0"/>
        <v>7006</v>
      </c>
      <c r="H11" s="570">
        <v>8426</v>
      </c>
      <c r="I11" s="564"/>
      <c r="J11" s="569">
        <f t="shared" si="1"/>
        <v>8426</v>
      </c>
      <c r="K11" s="570">
        <v>10508</v>
      </c>
      <c r="L11" s="564"/>
      <c r="M11" s="569">
        <f t="shared" si="2"/>
        <v>10508</v>
      </c>
      <c r="N11" s="570">
        <v>11928</v>
      </c>
      <c r="O11" s="564"/>
      <c r="P11" s="569">
        <f t="shared" si="3"/>
        <v>11928</v>
      </c>
      <c r="Q11" s="570">
        <v>13064</v>
      </c>
    </row>
    <row r="12" spans="1:17" ht="14.55" x14ac:dyDescent="0.25">
      <c r="A12" s="651"/>
      <c r="B12" s="571">
        <v>40000</v>
      </c>
      <c r="C12" s="564"/>
      <c r="D12" s="569">
        <v>6577</v>
      </c>
      <c r="E12" s="570">
        <v>7850</v>
      </c>
      <c r="F12" s="564"/>
      <c r="G12" s="569">
        <f t="shared" si="0"/>
        <v>7850</v>
      </c>
      <c r="H12" s="570">
        <v>9441</v>
      </c>
      <c r="I12" s="564"/>
      <c r="J12" s="569">
        <f t="shared" si="1"/>
        <v>9441</v>
      </c>
      <c r="K12" s="570">
        <v>11774</v>
      </c>
      <c r="L12" s="564"/>
      <c r="M12" s="569">
        <f t="shared" si="2"/>
        <v>11774</v>
      </c>
      <c r="N12" s="570">
        <v>13365</v>
      </c>
      <c r="O12" s="564"/>
      <c r="P12" s="569">
        <f t="shared" si="3"/>
        <v>13365</v>
      </c>
      <c r="Q12" s="570">
        <v>14638</v>
      </c>
    </row>
    <row r="13" spans="1:17" ht="14.55" x14ac:dyDescent="0.25">
      <c r="A13" s="651"/>
      <c r="B13" s="571">
        <v>50000</v>
      </c>
      <c r="C13" s="564"/>
      <c r="D13" s="569">
        <v>7953</v>
      </c>
      <c r="E13" s="570">
        <v>9492</v>
      </c>
      <c r="F13" s="564"/>
      <c r="G13" s="569">
        <f t="shared" si="0"/>
        <v>9492</v>
      </c>
      <c r="H13" s="570">
        <v>11416</v>
      </c>
      <c r="I13" s="564"/>
      <c r="J13" s="569">
        <f t="shared" si="1"/>
        <v>11416</v>
      </c>
      <c r="K13" s="570">
        <v>14238</v>
      </c>
      <c r="L13" s="564"/>
      <c r="M13" s="569">
        <f t="shared" si="2"/>
        <v>14238</v>
      </c>
      <c r="N13" s="570">
        <v>16162</v>
      </c>
      <c r="O13" s="564"/>
      <c r="P13" s="569">
        <f t="shared" si="3"/>
        <v>16162</v>
      </c>
      <c r="Q13" s="570">
        <v>17701</v>
      </c>
    </row>
    <row r="14" spans="1:17" ht="14.55" x14ac:dyDescent="0.25">
      <c r="A14" s="651"/>
      <c r="B14" s="571">
        <v>60000</v>
      </c>
      <c r="C14" s="564"/>
      <c r="D14" s="569">
        <v>9287</v>
      </c>
      <c r="E14" s="570">
        <v>11085</v>
      </c>
      <c r="F14" s="564"/>
      <c r="G14" s="569">
        <f t="shared" si="0"/>
        <v>11085</v>
      </c>
      <c r="H14" s="570">
        <v>13332</v>
      </c>
      <c r="I14" s="564"/>
      <c r="J14" s="569">
        <f t="shared" si="1"/>
        <v>13332</v>
      </c>
      <c r="K14" s="570">
        <v>16627</v>
      </c>
      <c r="L14" s="564"/>
      <c r="M14" s="569">
        <f t="shared" si="2"/>
        <v>16627</v>
      </c>
      <c r="N14" s="570">
        <v>18874</v>
      </c>
      <c r="O14" s="564"/>
      <c r="P14" s="569">
        <f t="shared" si="3"/>
        <v>18874</v>
      </c>
      <c r="Q14" s="570">
        <v>20672</v>
      </c>
    </row>
    <row r="15" spans="1:17" ht="14.55" x14ac:dyDescent="0.25">
      <c r="A15" s="651"/>
      <c r="B15" s="571">
        <v>75000</v>
      </c>
      <c r="C15" s="564"/>
      <c r="D15" s="569">
        <v>11227</v>
      </c>
      <c r="E15" s="570">
        <v>13400</v>
      </c>
      <c r="F15" s="564"/>
      <c r="G15" s="569">
        <f t="shared" si="0"/>
        <v>13400</v>
      </c>
      <c r="H15" s="570">
        <v>16116</v>
      </c>
      <c r="I15" s="564"/>
      <c r="J15" s="569">
        <f t="shared" si="1"/>
        <v>16116</v>
      </c>
      <c r="K15" s="570">
        <v>20100</v>
      </c>
      <c r="L15" s="564"/>
      <c r="M15" s="569">
        <f t="shared" si="2"/>
        <v>20100</v>
      </c>
      <c r="N15" s="570">
        <v>22816</v>
      </c>
      <c r="O15" s="564"/>
      <c r="P15" s="569">
        <f t="shared" si="3"/>
        <v>22816</v>
      </c>
      <c r="Q15" s="570">
        <v>24989</v>
      </c>
    </row>
    <row r="16" spans="1:17" ht="14.55" x14ac:dyDescent="0.25">
      <c r="A16" s="651"/>
      <c r="B16" s="571">
        <v>100000</v>
      </c>
      <c r="C16" s="564"/>
      <c r="D16" s="569">
        <v>14332</v>
      </c>
      <c r="E16" s="570">
        <v>17106</v>
      </c>
      <c r="F16" s="564"/>
      <c r="G16" s="569">
        <f t="shared" si="0"/>
        <v>17106</v>
      </c>
      <c r="H16" s="570">
        <v>20574</v>
      </c>
      <c r="I16" s="564"/>
      <c r="J16" s="569">
        <f t="shared" si="1"/>
        <v>20574</v>
      </c>
      <c r="K16" s="570">
        <v>25659</v>
      </c>
      <c r="L16" s="564"/>
      <c r="M16" s="569">
        <f t="shared" si="2"/>
        <v>25659</v>
      </c>
      <c r="N16" s="570">
        <v>29127</v>
      </c>
      <c r="O16" s="564"/>
      <c r="P16" s="569">
        <f t="shared" si="3"/>
        <v>29127</v>
      </c>
      <c r="Q16" s="570">
        <v>31901</v>
      </c>
    </row>
    <row r="17" spans="1:19" ht="14.55" x14ac:dyDescent="0.25">
      <c r="A17" s="651"/>
      <c r="B17" s="571">
        <v>125000</v>
      </c>
      <c r="C17" s="564"/>
      <c r="D17" s="569">
        <v>17315</v>
      </c>
      <c r="E17" s="570">
        <v>20666</v>
      </c>
      <c r="F17" s="564"/>
      <c r="G17" s="569">
        <f t="shared" si="0"/>
        <v>20666</v>
      </c>
      <c r="H17" s="570">
        <v>24855</v>
      </c>
      <c r="I17" s="564"/>
      <c r="J17" s="569">
        <f t="shared" si="1"/>
        <v>24855</v>
      </c>
      <c r="K17" s="570">
        <v>30999</v>
      </c>
      <c r="L17" s="564"/>
      <c r="M17" s="569">
        <f t="shared" si="2"/>
        <v>30999</v>
      </c>
      <c r="N17" s="570">
        <v>35188</v>
      </c>
      <c r="O17" s="564"/>
      <c r="P17" s="569">
        <f t="shared" si="3"/>
        <v>35188</v>
      </c>
      <c r="Q17" s="570">
        <v>38539</v>
      </c>
    </row>
    <row r="18" spans="1:19" ht="14.55" x14ac:dyDescent="0.25">
      <c r="A18" s="651"/>
      <c r="B18" s="571">
        <v>150000</v>
      </c>
      <c r="C18" s="564"/>
      <c r="D18" s="569">
        <v>20201</v>
      </c>
      <c r="E18" s="570">
        <v>24111</v>
      </c>
      <c r="F18" s="564"/>
      <c r="G18" s="569">
        <f t="shared" si="0"/>
        <v>24111</v>
      </c>
      <c r="H18" s="570">
        <v>28998</v>
      </c>
      <c r="I18" s="564"/>
      <c r="J18" s="569">
        <f t="shared" si="1"/>
        <v>28998</v>
      </c>
      <c r="K18" s="570">
        <v>36166</v>
      </c>
      <c r="L18" s="564"/>
      <c r="M18" s="569">
        <f t="shared" si="2"/>
        <v>36166</v>
      </c>
      <c r="N18" s="570">
        <v>41053</v>
      </c>
      <c r="O18" s="564"/>
      <c r="P18" s="569">
        <f t="shared" si="3"/>
        <v>41053</v>
      </c>
      <c r="Q18" s="570">
        <v>44963</v>
      </c>
    </row>
    <row r="19" spans="1:19" ht="14.55" x14ac:dyDescent="0.25">
      <c r="A19" s="651"/>
      <c r="B19" s="571">
        <v>200000</v>
      </c>
      <c r="C19" s="564"/>
      <c r="D19" s="569">
        <v>25746</v>
      </c>
      <c r="E19" s="570">
        <v>30729</v>
      </c>
      <c r="F19" s="564"/>
      <c r="G19" s="569">
        <f t="shared" si="0"/>
        <v>30729</v>
      </c>
      <c r="H19" s="570">
        <v>36958</v>
      </c>
      <c r="I19" s="564"/>
      <c r="J19" s="569">
        <f t="shared" si="1"/>
        <v>36958</v>
      </c>
      <c r="K19" s="570">
        <v>46094</v>
      </c>
      <c r="L19" s="564"/>
      <c r="M19" s="569">
        <f t="shared" si="2"/>
        <v>46094</v>
      </c>
      <c r="N19" s="570">
        <v>52323</v>
      </c>
      <c r="O19" s="564"/>
      <c r="P19" s="569">
        <f t="shared" si="3"/>
        <v>52323</v>
      </c>
      <c r="Q19" s="570">
        <v>57306</v>
      </c>
    </row>
    <row r="20" spans="1:19" ht="14.55" x14ac:dyDescent="0.25">
      <c r="A20" s="651"/>
      <c r="B20" s="571">
        <v>250000</v>
      </c>
      <c r="C20" s="564"/>
      <c r="D20" s="569">
        <v>31053</v>
      </c>
      <c r="E20" s="570">
        <v>37063</v>
      </c>
      <c r="F20" s="564"/>
      <c r="G20" s="569">
        <f t="shared" si="0"/>
        <v>37063</v>
      </c>
      <c r="H20" s="570">
        <v>44576</v>
      </c>
      <c r="I20" s="564"/>
      <c r="J20" s="569">
        <f t="shared" si="1"/>
        <v>44576</v>
      </c>
      <c r="K20" s="570">
        <v>55594</v>
      </c>
      <c r="L20" s="564"/>
      <c r="M20" s="569">
        <f t="shared" si="2"/>
        <v>55594</v>
      </c>
      <c r="N20" s="570">
        <v>63107</v>
      </c>
      <c r="O20" s="564"/>
      <c r="P20" s="569">
        <f t="shared" si="3"/>
        <v>63107</v>
      </c>
      <c r="Q20" s="570">
        <v>69117</v>
      </c>
    </row>
    <row r="21" spans="1:19" ht="14.55" x14ac:dyDescent="0.25">
      <c r="A21" s="651"/>
      <c r="B21" s="571">
        <v>350000</v>
      </c>
      <c r="C21" s="564"/>
      <c r="D21" s="569">
        <v>41147</v>
      </c>
      <c r="E21" s="570">
        <v>49111</v>
      </c>
      <c r="F21" s="564"/>
      <c r="G21" s="569">
        <f t="shared" si="0"/>
        <v>49111</v>
      </c>
      <c r="H21" s="570">
        <v>59066</v>
      </c>
      <c r="I21" s="564"/>
      <c r="J21" s="569">
        <f t="shared" si="1"/>
        <v>59066</v>
      </c>
      <c r="K21" s="570">
        <v>73667</v>
      </c>
      <c r="L21" s="564"/>
      <c r="M21" s="569">
        <f t="shared" si="2"/>
        <v>73667</v>
      </c>
      <c r="N21" s="570">
        <v>83622</v>
      </c>
      <c r="O21" s="564"/>
      <c r="P21" s="569">
        <f t="shared" si="3"/>
        <v>83622</v>
      </c>
      <c r="Q21" s="570">
        <v>91586</v>
      </c>
    </row>
    <row r="22" spans="1:19" ht="14.55" x14ac:dyDescent="0.25">
      <c r="A22" s="651"/>
      <c r="B22" s="571">
        <v>500000</v>
      </c>
      <c r="C22" s="564"/>
      <c r="D22" s="569">
        <v>55300</v>
      </c>
      <c r="E22" s="570">
        <v>66004</v>
      </c>
      <c r="F22" s="564"/>
      <c r="G22" s="569">
        <f t="shared" si="0"/>
        <v>66004</v>
      </c>
      <c r="H22" s="570">
        <v>79383</v>
      </c>
      <c r="I22" s="564"/>
      <c r="J22" s="569">
        <f t="shared" si="1"/>
        <v>79383</v>
      </c>
      <c r="K22" s="570">
        <v>99006</v>
      </c>
      <c r="L22" s="564"/>
      <c r="M22" s="569">
        <f t="shared" si="2"/>
        <v>99006</v>
      </c>
      <c r="N22" s="570">
        <v>112385</v>
      </c>
      <c r="O22" s="564"/>
      <c r="P22" s="569">
        <f t="shared" si="3"/>
        <v>112385</v>
      </c>
      <c r="Q22" s="570">
        <v>123088</v>
      </c>
    </row>
    <row r="23" spans="1:19" ht="14.55" x14ac:dyDescent="0.25">
      <c r="A23" s="651"/>
      <c r="B23" s="571">
        <v>650000</v>
      </c>
      <c r="C23" s="564"/>
      <c r="D23" s="569">
        <v>69114</v>
      </c>
      <c r="E23" s="570">
        <v>82491</v>
      </c>
      <c r="F23" s="564"/>
      <c r="G23" s="569">
        <f t="shared" si="0"/>
        <v>82491</v>
      </c>
      <c r="H23" s="570">
        <v>99212</v>
      </c>
      <c r="I23" s="564"/>
      <c r="J23" s="569">
        <f t="shared" si="1"/>
        <v>99212</v>
      </c>
      <c r="K23" s="570">
        <v>123736</v>
      </c>
      <c r="L23" s="564"/>
      <c r="M23" s="569">
        <f t="shared" si="2"/>
        <v>123736</v>
      </c>
      <c r="N23" s="570">
        <v>140457</v>
      </c>
      <c r="O23" s="564"/>
      <c r="P23" s="569">
        <f t="shared" si="3"/>
        <v>140457</v>
      </c>
      <c r="Q23" s="570">
        <v>153834</v>
      </c>
    </row>
    <row r="24" spans="1:19" ht="14.55" x14ac:dyDescent="0.25">
      <c r="A24" s="651"/>
      <c r="B24" s="571">
        <v>800000</v>
      </c>
      <c r="C24" s="564"/>
      <c r="D24" s="569">
        <v>82430</v>
      </c>
      <c r="E24" s="570">
        <v>98384</v>
      </c>
      <c r="F24" s="564"/>
      <c r="G24" s="569">
        <f t="shared" si="0"/>
        <v>98384</v>
      </c>
      <c r="H24" s="570">
        <v>118326</v>
      </c>
      <c r="I24" s="564"/>
      <c r="J24" s="569">
        <f t="shared" si="1"/>
        <v>118326</v>
      </c>
      <c r="K24" s="570">
        <v>147576</v>
      </c>
      <c r="L24" s="564"/>
      <c r="M24" s="569">
        <f t="shared" si="2"/>
        <v>147576</v>
      </c>
      <c r="N24" s="570">
        <v>167518</v>
      </c>
      <c r="O24" s="564"/>
      <c r="P24" s="569">
        <f t="shared" si="3"/>
        <v>167518</v>
      </c>
      <c r="Q24" s="570">
        <v>183472</v>
      </c>
    </row>
    <row r="25" spans="1:19" ht="14.55" x14ac:dyDescent="0.25">
      <c r="A25" s="651"/>
      <c r="B25" s="571">
        <v>1000000</v>
      </c>
      <c r="C25" s="564"/>
      <c r="D25" s="569">
        <v>99578</v>
      </c>
      <c r="E25" s="570">
        <v>118851</v>
      </c>
      <c r="F25" s="564"/>
      <c r="G25" s="569">
        <f t="shared" si="0"/>
        <v>118851</v>
      </c>
      <c r="H25" s="570">
        <v>142942</v>
      </c>
      <c r="I25" s="564"/>
      <c r="J25" s="569">
        <f t="shared" si="1"/>
        <v>142942</v>
      </c>
      <c r="K25" s="570">
        <v>178276</v>
      </c>
      <c r="L25" s="564"/>
      <c r="M25" s="569">
        <f t="shared" si="2"/>
        <v>178276</v>
      </c>
      <c r="N25" s="570">
        <v>202368</v>
      </c>
      <c r="O25" s="564"/>
      <c r="P25" s="569">
        <f t="shared" si="3"/>
        <v>202368</v>
      </c>
      <c r="Q25" s="570">
        <v>221641</v>
      </c>
    </row>
    <row r="26" spans="1:19" ht="14.55" x14ac:dyDescent="0.25">
      <c r="A26" s="651"/>
      <c r="B26" s="571">
        <v>1250000</v>
      </c>
      <c r="C26" s="564"/>
      <c r="D26" s="569">
        <v>120238</v>
      </c>
      <c r="E26" s="570">
        <v>143510</v>
      </c>
      <c r="F26" s="564"/>
      <c r="G26" s="569">
        <f t="shared" si="0"/>
        <v>143510</v>
      </c>
      <c r="H26" s="570">
        <v>172600</v>
      </c>
      <c r="I26" s="564"/>
      <c r="J26" s="569">
        <f t="shared" si="1"/>
        <v>172600</v>
      </c>
      <c r="K26" s="570">
        <v>215265</v>
      </c>
      <c r="L26" s="564"/>
      <c r="M26" s="569">
        <f t="shared" si="2"/>
        <v>215265</v>
      </c>
      <c r="N26" s="570">
        <v>244355</v>
      </c>
      <c r="O26" s="564"/>
      <c r="P26" s="569">
        <f t="shared" si="3"/>
        <v>244355</v>
      </c>
      <c r="Q26" s="570">
        <v>267627</v>
      </c>
    </row>
    <row r="27" spans="1:19" ht="15.2" thickBot="1" x14ac:dyDescent="0.3">
      <c r="A27" s="651"/>
      <c r="B27" s="571">
        <v>1500000</v>
      </c>
      <c r="C27" s="564"/>
      <c r="D27" s="569">
        <v>140204</v>
      </c>
      <c r="E27" s="570">
        <v>167340</v>
      </c>
      <c r="F27" s="564"/>
      <c r="G27" s="569">
        <f t="shared" si="0"/>
        <v>167340</v>
      </c>
      <c r="H27" s="570">
        <v>201261</v>
      </c>
      <c r="I27" s="564"/>
      <c r="J27" s="569">
        <f t="shared" si="1"/>
        <v>201261</v>
      </c>
      <c r="K27" s="570">
        <v>251011</v>
      </c>
      <c r="L27" s="564"/>
      <c r="M27" s="569">
        <f t="shared" si="2"/>
        <v>251011</v>
      </c>
      <c r="N27" s="570">
        <v>284931</v>
      </c>
      <c r="O27" s="564"/>
      <c r="P27" s="569">
        <f t="shared" si="3"/>
        <v>284931</v>
      </c>
      <c r="Q27" s="570">
        <v>312067</v>
      </c>
    </row>
    <row r="28" spans="1:19" ht="14.55" x14ac:dyDescent="0.25">
      <c r="A28" s="651"/>
      <c r="B28" s="571">
        <v>2000000</v>
      </c>
      <c r="C28" s="1652" t="s">
        <v>313</v>
      </c>
      <c r="D28" s="569">
        <v>178748</v>
      </c>
      <c r="E28" s="570">
        <v>213344</v>
      </c>
      <c r="F28" s="1652" t="s">
        <v>313</v>
      </c>
      <c r="G28" s="569">
        <f t="shared" si="0"/>
        <v>213344</v>
      </c>
      <c r="H28" s="570">
        <v>256589</v>
      </c>
      <c r="I28" s="1652" t="s">
        <v>313</v>
      </c>
      <c r="J28" s="569">
        <f t="shared" si="1"/>
        <v>256589</v>
      </c>
      <c r="K28" s="570">
        <v>320016</v>
      </c>
      <c r="L28" s="1652" t="s">
        <v>313</v>
      </c>
      <c r="M28" s="569">
        <f t="shared" si="2"/>
        <v>320016</v>
      </c>
      <c r="N28" s="570">
        <v>363261</v>
      </c>
      <c r="O28" s="1652" t="s">
        <v>313</v>
      </c>
      <c r="P28" s="569">
        <f>N28</f>
        <v>363261</v>
      </c>
      <c r="Q28" s="570">
        <v>363261</v>
      </c>
      <c r="S28" s="716"/>
    </row>
    <row r="29" spans="1:19" ht="14.55" x14ac:dyDescent="0.25">
      <c r="A29" s="651"/>
      <c r="B29" s="571">
        <v>2500000</v>
      </c>
      <c r="C29" s="1653"/>
      <c r="D29" s="569">
        <v>215801</v>
      </c>
      <c r="E29" s="570">
        <v>257569</v>
      </c>
      <c r="F29" s="1653"/>
      <c r="G29" s="569">
        <f t="shared" si="0"/>
        <v>257569</v>
      </c>
      <c r="H29" s="570">
        <v>309780</v>
      </c>
      <c r="I29" s="1653"/>
      <c r="J29" s="569">
        <f t="shared" si="1"/>
        <v>309780</v>
      </c>
      <c r="K29" s="570">
        <v>386354</v>
      </c>
      <c r="L29" s="1653"/>
      <c r="M29" s="569">
        <f t="shared" si="2"/>
        <v>386354</v>
      </c>
      <c r="N29" s="570">
        <v>438564</v>
      </c>
      <c r="O29" s="1653"/>
      <c r="P29" s="569">
        <f t="shared" ref="P29:P46" si="4">N29</f>
        <v>438564</v>
      </c>
      <c r="Q29" s="570">
        <v>438564</v>
      </c>
      <c r="S29" s="716"/>
    </row>
    <row r="30" spans="1:19" ht="14.55" x14ac:dyDescent="0.25">
      <c r="A30" s="651"/>
      <c r="B30" s="571">
        <v>3000000</v>
      </c>
      <c r="C30" s="1653"/>
      <c r="D30" s="569">
        <v>251710</v>
      </c>
      <c r="E30" s="570">
        <v>300428</v>
      </c>
      <c r="F30" s="1653"/>
      <c r="G30" s="569">
        <f t="shared" si="0"/>
        <v>300428</v>
      </c>
      <c r="H30" s="570">
        <v>361326</v>
      </c>
      <c r="I30" s="1653"/>
      <c r="J30" s="569">
        <f t="shared" si="1"/>
        <v>361326</v>
      </c>
      <c r="K30" s="570">
        <v>450642</v>
      </c>
      <c r="L30" s="1653"/>
      <c r="M30" s="569">
        <f t="shared" si="2"/>
        <v>450642</v>
      </c>
      <c r="N30" s="570">
        <v>511540</v>
      </c>
      <c r="O30" s="1653"/>
      <c r="P30" s="569">
        <f t="shared" si="4"/>
        <v>511540</v>
      </c>
      <c r="Q30" s="570">
        <v>511540</v>
      </c>
      <c r="S30" s="716"/>
    </row>
    <row r="31" spans="1:19" ht="14.55" x14ac:dyDescent="0.25">
      <c r="A31" s="651"/>
      <c r="B31" s="571">
        <v>4000000</v>
      </c>
      <c r="C31" s="1653"/>
      <c r="D31" s="569">
        <v>320904</v>
      </c>
      <c r="E31" s="570">
        <v>383014</v>
      </c>
      <c r="F31" s="1653"/>
      <c r="G31" s="569">
        <f t="shared" si="0"/>
        <v>383014</v>
      </c>
      <c r="H31" s="570">
        <v>460652</v>
      </c>
      <c r="I31" s="1653"/>
      <c r="J31" s="569">
        <f t="shared" si="1"/>
        <v>460652</v>
      </c>
      <c r="K31" s="570">
        <v>574522</v>
      </c>
      <c r="L31" s="1653"/>
      <c r="M31" s="569">
        <f t="shared" si="2"/>
        <v>574522</v>
      </c>
      <c r="N31" s="570">
        <v>652160</v>
      </c>
      <c r="O31" s="1653"/>
      <c r="P31" s="569">
        <f t="shared" si="4"/>
        <v>652160</v>
      </c>
      <c r="Q31" s="570">
        <v>652160</v>
      </c>
      <c r="S31" s="716"/>
    </row>
    <row r="32" spans="1:19" ht="14.55" x14ac:dyDescent="0.25">
      <c r="A32" s="651"/>
      <c r="B32" s="571">
        <v>5000000</v>
      </c>
      <c r="C32" s="1653"/>
      <c r="D32" s="569">
        <v>387424</v>
      </c>
      <c r="E32" s="570">
        <v>462409</v>
      </c>
      <c r="F32" s="1653"/>
      <c r="G32" s="569">
        <f t="shared" si="0"/>
        <v>462409</v>
      </c>
      <c r="H32" s="570">
        <v>556140</v>
      </c>
      <c r="I32" s="1653"/>
      <c r="J32" s="569">
        <f t="shared" si="1"/>
        <v>556140</v>
      </c>
      <c r="K32" s="570">
        <v>693613</v>
      </c>
      <c r="L32" s="1653"/>
      <c r="M32" s="569">
        <f t="shared" si="2"/>
        <v>693613</v>
      </c>
      <c r="N32" s="570">
        <v>787345</v>
      </c>
      <c r="O32" s="1653"/>
      <c r="P32" s="569">
        <f t="shared" si="4"/>
        <v>787345</v>
      </c>
      <c r="Q32" s="570">
        <v>787345</v>
      </c>
      <c r="S32" s="716"/>
    </row>
    <row r="33" spans="1:19" ht="14.55" x14ac:dyDescent="0.25">
      <c r="A33" s="651"/>
      <c r="B33" s="571">
        <v>7500000</v>
      </c>
      <c r="C33" s="1653"/>
      <c r="D33" s="569">
        <v>545556</v>
      </c>
      <c r="E33" s="570">
        <v>651147</v>
      </c>
      <c r="F33" s="1653"/>
      <c r="G33" s="569">
        <f t="shared" si="0"/>
        <v>651147</v>
      </c>
      <c r="H33" s="570">
        <v>783136</v>
      </c>
      <c r="I33" s="1653"/>
      <c r="J33" s="569">
        <f t="shared" si="1"/>
        <v>783136</v>
      </c>
      <c r="K33" s="570">
        <v>976721</v>
      </c>
      <c r="L33" s="1653"/>
      <c r="M33" s="569">
        <f t="shared" si="2"/>
        <v>976721</v>
      </c>
      <c r="N33" s="570">
        <v>1108710</v>
      </c>
      <c r="O33" s="1653"/>
      <c r="P33" s="569">
        <f t="shared" si="4"/>
        <v>1108710</v>
      </c>
      <c r="Q33" s="570">
        <v>1108710</v>
      </c>
      <c r="S33" s="716"/>
    </row>
    <row r="34" spans="1:19" ht="14.55" x14ac:dyDescent="0.25">
      <c r="A34" s="651"/>
      <c r="B34" s="571">
        <v>10000000</v>
      </c>
      <c r="C34" s="1653"/>
      <c r="D34" s="569">
        <v>695517</v>
      </c>
      <c r="E34" s="570">
        <v>830133</v>
      </c>
      <c r="F34" s="1653"/>
      <c r="G34" s="569">
        <f t="shared" si="0"/>
        <v>830133</v>
      </c>
      <c r="H34" s="570">
        <v>998404</v>
      </c>
      <c r="I34" s="1653"/>
      <c r="J34" s="569">
        <f t="shared" si="1"/>
        <v>998404</v>
      </c>
      <c r="K34" s="570">
        <v>1245200</v>
      </c>
      <c r="L34" s="1653"/>
      <c r="M34" s="569">
        <f t="shared" si="2"/>
        <v>1245200</v>
      </c>
      <c r="N34" s="570">
        <v>1413471</v>
      </c>
      <c r="O34" s="1653"/>
      <c r="P34" s="569">
        <f t="shared" si="4"/>
        <v>1413471</v>
      </c>
      <c r="Q34" s="570">
        <v>1413471</v>
      </c>
      <c r="S34" s="716"/>
    </row>
    <row r="35" spans="1:19" ht="14.55" x14ac:dyDescent="0.25">
      <c r="A35" s="651"/>
      <c r="B35" s="571">
        <v>12500000</v>
      </c>
      <c r="C35" s="1653"/>
      <c r="D35" s="569">
        <v>839681</v>
      </c>
      <c r="E35" s="570">
        <v>1002200</v>
      </c>
      <c r="F35" s="1653"/>
      <c r="G35" s="569">
        <f t="shared" si="0"/>
        <v>1002200</v>
      </c>
      <c r="H35" s="570">
        <v>1205349</v>
      </c>
      <c r="I35" s="1653"/>
      <c r="J35" s="569">
        <f t="shared" si="1"/>
        <v>1205349</v>
      </c>
      <c r="K35" s="570">
        <v>1503300</v>
      </c>
      <c r="L35" s="1653"/>
      <c r="M35" s="569">
        <f t="shared" si="2"/>
        <v>1503300</v>
      </c>
      <c r="N35" s="570">
        <v>1706449</v>
      </c>
      <c r="O35" s="1653"/>
      <c r="P35" s="569">
        <f t="shared" si="4"/>
        <v>1706449</v>
      </c>
      <c r="Q35" s="570">
        <v>1706446</v>
      </c>
      <c r="S35" s="716"/>
    </row>
    <row r="36" spans="1:19" ht="14.55" x14ac:dyDescent="0.25">
      <c r="A36" s="651"/>
      <c r="B36" s="571">
        <v>15000000</v>
      </c>
      <c r="C36" s="1653"/>
      <c r="D36" s="569">
        <v>979387</v>
      </c>
      <c r="E36" s="570">
        <v>1168946</v>
      </c>
      <c r="F36" s="1653"/>
      <c r="G36" s="569">
        <f t="shared" si="0"/>
        <v>1168946</v>
      </c>
      <c r="H36" s="570">
        <v>1405895</v>
      </c>
      <c r="I36" s="1653"/>
      <c r="J36" s="569">
        <f t="shared" si="1"/>
        <v>1405895</v>
      </c>
      <c r="K36" s="570">
        <v>1753419</v>
      </c>
      <c r="L36" s="1653"/>
      <c r="M36" s="569">
        <f t="shared" si="2"/>
        <v>1753419</v>
      </c>
      <c r="N36" s="570">
        <v>1990368</v>
      </c>
      <c r="O36" s="1653"/>
      <c r="P36" s="569">
        <f t="shared" si="4"/>
        <v>1990368</v>
      </c>
      <c r="Q36" s="570">
        <v>1990368</v>
      </c>
      <c r="S36" s="716"/>
    </row>
    <row r="37" spans="1:19" ht="14.55" x14ac:dyDescent="0.25">
      <c r="A37" s="651"/>
      <c r="B37" s="571">
        <v>20000000</v>
      </c>
      <c r="C37" s="1653"/>
      <c r="D37" s="569">
        <v>1248586</v>
      </c>
      <c r="E37" s="570">
        <v>1490248</v>
      </c>
      <c r="F37" s="1653"/>
      <c r="G37" s="569">
        <f t="shared" si="0"/>
        <v>1490248</v>
      </c>
      <c r="H37" s="570">
        <v>1792325</v>
      </c>
      <c r="I37" s="1653"/>
      <c r="J37" s="569">
        <f t="shared" si="1"/>
        <v>1792325</v>
      </c>
      <c r="K37" s="570">
        <v>2235372</v>
      </c>
      <c r="L37" s="1653"/>
      <c r="M37" s="569">
        <f t="shared" si="2"/>
        <v>2235372</v>
      </c>
      <c r="N37" s="570">
        <v>2537449</v>
      </c>
      <c r="O37" s="1653"/>
      <c r="P37" s="569">
        <f t="shared" si="4"/>
        <v>2537449</v>
      </c>
      <c r="Q37" s="570">
        <v>2537449</v>
      </c>
      <c r="S37" s="716"/>
    </row>
    <row r="38" spans="1:19" ht="14.55" x14ac:dyDescent="0.25">
      <c r="A38" s="651"/>
      <c r="B38" s="571">
        <v>25000000</v>
      </c>
      <c r="C38" s="1653"/>
      <c r="D38" s="569">
        <v>1507375</v>
      </c>
      <c r="E38" s="570">
        <v>1799125</v>
      </c>
      <c r="F38" s="1653"/>
      <c r="G38" s="569">
        <f t="shared" si="0"/>
        <v>1799125</v>
      </c>
      <c r="H38" s="570">
        <v>2163812</v>
      </c>
      <c r="I38" s="1653"/>
      <c r="J38" s="569">
        <f t="shared" si="1"/>
        <v>2163812</v>
      </c>
      <c r="K38" s="570">
        <v>2698687</v>
      </c>
      <c r="L38" s="1653"/>
      <c r="M38" s="569">
        <f t="shared" si="2"/>
        <v>2698687</v>
      </c>
      <c r="N38" s="570">
        <v>3063374</v>
      </c>
      <c r="O38" s="1653"/>
      <c r="P38" s="569">
        <f t="shared" si="4"/>
        <v>3063374</v>
      </c>
      <c r="Q38" s="570">
        <v>3063374</v>
      </c>
      <c r="S38" s="716"/>
    </row>
    <row r="39" spans="1:19" ht="14.55" x14ac:dyDescent="0.25">
      <c r="A39" s="651"/>
      <c r="B39" s="571">
        <v>30000000</v>
      </c>
      <c r="C39" s="1653"/>
      <c r="D39" s="569">
        <v>1758158</v>
      </c>
      <c r="E39" s="570">
        <v>2098447</v>
      </c>
      <c r="F39" s="1653"/>
      <c r="G39" s="569">
        <f t="shared" si="0"/>
        <v>2098447</v>
      </c>
      <c r="H39" s="570">
        <v>2523807</v>
      </c>
      <c r="I39" s="1653"/>
      <c r="J39" s="569">
        <f t="shared" si="1"/>
        <v>2523807</v>
      </c>
      <c r="K39" s="570">
        <v>3147670</v>
      </c>
      <c r="L39" s="1653"/>
      <c r="M39" s="569">
        <f t="shared" si="2"/>
        <v>3147670</v>
      </c>
      <c r="N39" s="570">
        <v>3573031</v>
      </c>
      <c r="O39" s="1653"/>
      <c r="P39" s="569">
        <f t="shared" si="4"/>
        <v>3573031</v>
      </c>
      <c r="Q39" s="570">
        <v>3573031</v>
      </c>
      <c r="S39" s="716"/>
    </row>
    <row r="40" spans="1:19" ht="14.55" x14ac:dyDescent="0.25">
      <c r="A40" s="651"/>
      <c r="B40" s="571">
        <v>40000000</v>
      </c>
      <c r="C40" s="1653"/>
      <c r="D40" s="569">
        <v>2241385</v>
      </c>
      <c r="E40" s="570">
        <v>2675202</v>
      </c>
      <c r="F40" s="1653"/>
      <c r="G40" s="569">
        <f t="shared" si="0"/>
        <v>2675202</v>
      </c>
      <c r="H40" s="570">
        <v>3217473</v>
      </c>
      <c r="I40" s="1653"/>
      <c r="J40" s="569">
        <f t="shared" si="1"/>
        <v>3217473</v>
      </c>
      <c r="K40" s="570">
        <v>4012803</v>
      </c>
      <c r="L40" s="1653"/>
      <c r="M40" s="569">
        <f t="shared" si="2"/>
        <v>4012803</v>
      </c>
      <c r="N40" s="570">
        <v>4555074</v>
      </c>
      <c r="O40" s="1653"/>
      <c r="P40" s="569">
        <f t="shared" si="4"/>
        <v>4555074</v>
      </c>
      <c r="Q40" s="570">
        <v>4555074</v>
      </c>
      <c r="S40" s="716"/>
    </row>
    <row r="41" spans="1:19" ht="14.55" x14ac:dyDescent="0.25">
      <c r="A41" s="651"/>
      <c r="B41" s="571">
        <v>50000000</v>
      </c>
      <c r="C41" s="1653"/>
      <c r="D41" s="569">
        <v>2705920</v>
      </c>
      <c r="E41" s="570">
        <v>3229647</v>
      </c>
      <c r="F41" s="1653"/>
      <c r="G41" s="569">
        <f t="shared" si="0"/>
        <v>3229647</v>
      </c>
      <c r="H41" s="570">
        <v>3884305</v>
      </c>
      <c r="I41" s="1653"/>
      <c r="J41" s="569">
        <f t="shared" si="1"/>
        <v>3884305</v>
      </c>
      <c r="K41" s="570">
        <v>4844470</v>
      </c>
      <c r="L41" s="1653"/>
      <c r="M41" s="569">
        <f t="shared" si="2"/>
        <v>4844470</v>
      </c>
      <c r="N41" s="570">
        <v>5499128</v>
      </c>
      <c r="O41" s="1653"/>
      <c r="P41" s="569">
        <f t="shared" si="4"/>
        <v>5499128</v>
      </c>
      <c r="Q41" s="570">
        <v>5499128</v>
      </c>
      <c r="S41" s="716"/>
    </row>
    <row r="42" spans="1:19" ht="14.55" x14ac:dyDescent="0.25">
      <c r="A42" s="651"/>
      <c r="B42" s="571">
        <v>75000000</v>
      </c>
      <c r="C42" s="1653"/>
      <c r="D42" s="569">
        <v>3810164</v>
      </c>
      <c r="E42" s="570">
        <v>4547616</v>
      </c>
      <c r="F42" s="1653"/>
      <c r="G42" s="569">
        <f t="shared" si="0"/>
        <v>4547616</v>
      </c>
      <c r="H42" s="570">
        <v>5469430</v>
      </c>
      <c r="I42" s="1653"/>
      <c r="J42" s="569">
        <f t="shared" si="1"/>
        <v>5469430</v>
      </c>
      <c r="K42" s="570">
        <v>6821423</v>
      </c>
      <c r="L42" s="1653"/>
      <c r="M42" s="569">
        <f t="shared" si="2"/>
        <v>6821423</v>
      </c>
      <c r="N42" s="570">
        <v>7743237</v>
      </c>
      <c r="O42" s="1653"/>
      <c r="P42" s="569">
        <f t="shared" si="4"/>
        <v>7743237</v>
      </c>
      <c r="Q42" s="570">
        <v>7743237</v>
      </c>
      <c r="S42" s="716"/>
    </row>
    <row r="43" spans="1:19" ht="14.55" x14ac:dyDescent="0.25">
      <c r="A43" s="651"/>
      <c r="B43" s="571">
        <v>100000000</v>
      </c>
      <c r="C43" s="1653"/>
      <c r="D43" s="569">
        <v>4857293</v>
      </c>
      <c r="E43" s="570">
        <v>5797415</v>
      </c>
      <c r="F43" s="1653"/>
      <c r="G43" s="569">
        <f t="shared" si="0"/>
        <v>5797415</v>
      </c>
      <c r="H43" s="570">
        <v>6972566</v>
      </c>
      <c r="I43" s="1653"/>
      <c r="J43" s="569">
        <f t="shared" si="1"/>
        <v>6972566</v>
      </c>
      <c r="K43" s="570">
        <v>8696122</v>
      </c>
      <c r="L43" s="1653"/>
      <c r="M43" s="569">
        <f t="shared" si="2"/>
        <v>8696122</v>
      </c>
      <c r="N43" s="570">
        <v>9871274</v>
      </c>
      <c r="O43" s="1653"/>
      <c r="P43" s="569">
        <f t="shared" si="4"/>
        <v>9871274</v>
      </c>
      <c r="Q43" s="570">
        <v>9871274</v>
      </c>
      <c r="S43" s="716"/>
    </row>
    <row r="44" spans="1:19" ht="14.55" x14ac:dyDescent="0.25">
      <c r="A44" s="651"/>
      <c r="B44" s="571">
        <v>150000000</v>
      </c>
      <c r="C44" s="1653"/>
      <c r="D44" s="569">
        <v>6839336</v>
      </c>
      <c r="E44" s="570">
        <v>8163078</v>
      </c>
      <c r="F44" s="1653"/>
      <c r="G44" s="569">
        <f t="shared" si="0"/>
        <v>8163078</v>
      </c>
      <c r="H44" s="570">
        <v>9817756</v>
      </c>
      <c r="I44" s="1653"/>
      <c r="J44" s="569">
        <f t="shared" si="1"/>
        <v>9817756</v>
      </c>
      <c r="K44" s="570">
        <v>12244617</v>
      </c>
      <c r="L44" s="1653"/>
      <c r="M44" s="569">
        <f t="shared" si="2"/>
        <v>12244617</v>
      </c>
      <c r="N44" s="570">
        <v>13899296</v>
      </c>
      <c r="O44" s="1653"/>
      <c r="P44" s="569">
        <f t="shared" si="4"/>
        <v>13899296</v>
      </c>
      <c r="Q44" s="570">
        <v>13899296</v>
      </c>
      <c r="S44" s="716"/>
    </row>
    <row r="45" spans="1:19" ht="14.55" x14ac:dyDescent="0.25">
      <c r="A45" s="651"/>
      <c r="B45" s="571">
        <v>200000000</v>
      </c>
      <c r="C45" s="1653"/>
      <c r="D45" s="569">
        <v>8718820</v>
      </c>
      <c r="E45" s="570">
        <v>10406333</v>
      </c>
      <c r="F45" s="1653"/>
      <c r="G45" s="569">
        <f t="shared" si="0"/>
        <v>10406333</v>
      </c>
      <c r="H45" s="570">
        <v>12515725</v>
      </c>
      <c r="I45" s="1653"/>
      <c r="J45" s="569">
        <f t="shared" si="1"/>
        <v>12515725</v>
      </c>
      <c r="K45" s="570">
        <v>15609499</v>
      </c>
      <c r="L45" s="1653"/>
      <c r="M45" s="569">
        <f t="shared" si="2"/>
        <v>15609499</v>
      </c>
      <c r="N45" s="570">
        <v>17718891</v>
      </c>
      <c r="O45" s="1653"/>
      <c r="P45" s="569">
        <f t="shared" si="4"/>
        <v>17718891</v>
      </c>
      <c r="Q45" s="570">
        <v>17718891</v>
      </c>
      <c r="S45" s="716"/>
    </row>
    <row r="46" spans="1:19" ht="15.2" thickBot="1" x14ac:dyDescent="0.3">
      <c r="A46" s="651"/>
      <c r="B46" s="578">
        <v>250000000</v>
      </c>
      <c r="C46" s="1654"/>
      <c r="D46" s="582">
        <v>10525533</v>
      </c>
      <c r="E46" s="583">
        <v>12562733</v>
      </c>
      <c r="F46" s="1654"/>
      <c r="G46" s="582">
        <f t="shared" si="0"/>
        <v>12562733</v>
      </c>
      <c r="H46" s="583">
        <v>15109233</v>
      </c>
      <c r="I46" s="1654"/>
      <c r="J46" s="582">
        <f t="shared" si="1"/>
        <v>15109233</v>
      </c>
      <c r="K46" s="583">
        <v>18844100</v>
      </c>
      <c r="L46" s="1654"/>
      <c r="M46" s="582">
        <f t="shared" si="2"/>
        <v>18844100</v>
      </c>
      <c r="N46" s="583">
        <v>21390600</v>
      </c>
      <c r="O46" s="1654"/>
      <c r="P46" s="582">
        <f t="shared" si="4"/>
        <v>21390600</v>
      </c>
      <c r="Q46" s="583">
        <v>21390600</v>
      </c>
      <c r="S46" s="716"/>
    </row>
    <row r="47" spans="1:19" ht="14.55" x14ac:dyDescent="0.25">
      <c r="A47" s="603"/>
      <c r="B47" s="603"/>
      <c r="C47" s="603"/>
      <c r="D47" s="603"/>
      <c r="E47" s="603"/>
      <c r="F47" s="603"/>
      <c r="G47" s="603"/>
      <c r="H47" s="603"/>
      <c r="I47" s="603"/>
      <c r="J47" s="603"/>
      <c r="K47" s="603"/>
      <c r="L47" s="603"/>
      <c r="M47" s="603"/>
      <c r="N47" s="603"/>
      <c r="O47" s="603"/>
      <c r="P47" s="603"/>
      <c r="Q47" s="603"/>
    </row>
    <row r="48" spans="1:19" ht="14.55" x14ac:dyDescent="0.25">
      <c r="A48" s="603"/>
      <c r="B48" s="633" t="s">
        <v>538</v>
      </c>
      <c r="C48" s="603"/>
      <c r="D48" s="603"/>
      <c r="E48" s="631"/>
      <c r="F48" s="603"/>
      <c r="G48" s="603"/>
      <c r="H48" s="631"/>
      <c r="I48" s="603"/>
      <c r="J48" s="603"/>
      <c r="K48" s="603"/>
      <c r="L48" s="603"/>
      <c r="M48" s="603"/>
      <c r="N48" s="603"/>
      <c r="O48" s="603"/>
      <c r="P48" s="603"/>
      <c r="Q48" s="603"/>
    </row>
    <row r="49" spans="1:17" ht="14.55" x14ac:dyDescent="0.25">
      <c r="A49" s="603"/>
      <c r="B49" s="603"/>
      <c r="C49" s="603"/>
      <c r="D49" s="603"/>
      <c r="E49" s="631"/>
      <c r="F49" s="603"/>
      <c r="G49" s="603"/>
      <c r="H49" s="631"/>
      <c r="I49" s="603"/>
      <c r="J49" s="603"/>
      <c r="K49" s="603"/>
      <c r="L49" s="603"/>
      <c r="M49" s="603"/>
      <c r="N49" s="603"/>
      <c r="O49" s="603"/>
      <c r="P49" s="603"/>
      <c r="Q49" s="603"/>
    </row>
    <row r="50" spans="1:17" ht="14.55" x14ac:dyDescent="0.25">
      <c r="A50" s="603"/>
      <c r="B50" s="603"/>
      <c r="C50" s="603"/>
      <c r="D50" s="1452"/>
      <c r="E50" s="1452"/>
      <c r="F50" s="1452"/>
      <c r="G50" s="1452"/>
      <c r="H50" s="1452"/>
      <c r="I50" s="717"/>
      <c r="J50" s="635"/>
      <c r="K50" s="635"/>
      <c r="L50" s="635"/>
      <c r="M50" s="635"/>
      <c r="N50" s="635"/>
      <c r="O50" s="603"/>
      <c r="P50" s="603"/>
      <c r="Q50" s="603"/>
    </row>
    <row r="51" spans="1:17" ht="14.55" x14ac:dyDescent="0.25">
      <c r="A51" s="603"/>
      <c r="B51" s="603"/>
      <c r="C51" s="603"/>
      <c r="D51" s="603"/>
      <c r="E51" s="631"/>
      <c r="F51" s="603"/>
      <c r="G51" s="603"/>
      <c r="H51" s="631"/>
      <c r="I51" s="603"/>
      <c r="J51" s="603"/>
      <c r="K51" s="603"/>
      <c r="L51" s="603"/>
      <c r="M51" s="603"/>
      <c r="N51" s="603"/>
      <c r="O51" s="603"/>
      <c r="P51" s="603"/>
      <c r="Q51" s="603"/>
    </row>
    <row r="52" spans="1:17" ht="14.55" x14ac:dyDescent="0.25">
      <c r="A52" s="603"/>
      <c r="B52" s="603"/>
      <c r="C52" s="555"/>
      <c r="D52" s="1417" t="s">
        <v>316</v>
      </c>
      <c r="E52" s="597">
        <v>1</v>
      </c>
      <c r="F52" s="555"/>
      <c r="G52" s="1417" t="s">
        <v>317</v>
      </c>
      <c r="H52" s="597" t="s">
        <v>135</v>
      </c>
      <c r="I52" s="555"/>
      <c r="J52" s="603"/>
      <c r="K52" s="638"/>
      <c r="L52" s="555"/>
      <c r="M52" s="603"/>
      <c r="N52" s="638"/>
      <c r="O52" s="586"/>
      <c r="P52" s="651"/>
      <c r="Q52" s="651"/>
    </row>
    <row r="53" spans="1:17" ht="14.55" x14ac:dyDescent="0.25">
      <c r="A53" s="603"/>
      <c r="B53" s="603"/>
      <c r="C53" s="555"/>
      <c r="D53" s="1417"/>
      <c r="E53" s="597">
        <v>2</v>
      </c>
      <c r="F53" s="555"/>
      <c r="G53" s="1417"/>
      <c r="H53" s="597" t="s">
        <v>318</v>
      </c>
      <c r="I53" s="555"/>
      <c r="J53" s="603"/>
      <c r="K53" s="638"/>
      <c r="L53" s="555"/>
      <c r="M53" s="603"/>
      <c r="N53" s="638"/>
      <c r="O53" s="586"/>
      <c r="P53" s="651"/>
      <c r="Q53" s="651"/>
    </row>
    <row r="54" spans="1:17" ht="14.55" x14ac:dyDescent="0.25">
      <c r="A54" s="603"/>
      <c r="B54" s="603"/>
      <c r="C54" s="603"/>
      <c r="D54" s="1417"/>
      <c r="E54" s="597">
        <v>3</v>
      </c>
      <c r="F54" s="603"/>
      <c r="G54" s="1417"/>
      <c r="H54" s="597" t="s">
        <v>319</v>
      </c>
      <c r="I54" s="603"/>
      <c r="J54" s="603"/>
      <c r="K54" s="638"/>
      <c r="L54" s="603"/>
      <c r="M54" s="603"/>
      <c r="N54" s="638"/>
      <c r="O54" s="603"/>
      <c r="P54" s="603"/>
      <c r="Q54" s="603"/>
    </row>
    <row r="55" spans="1:17" ht="14.55" x14ac:dyDescent="0.25">
      <c r="A55" s="603"/>
      <c r="B55" s="603"/>
      <c r="C55" s="603"/>
      <c r="D55" s="1417"/>
      <c r="E55" s="597">
        <v>4</v>
      </c>
      <c r="F55" s="603"/>
      <c r="G55" s="1417"/>
      <c r="H55" s="597" t="s">
        <v>320</v>
      </c>
      <c r="I55" s="603"/>
      <c r="J55" s="603"/>
      <c r="K55" s="638"/>
      <c r="L55" s="603"/>
      <c r="M55" s="603"/>
      <c r="N55" s="638"/>
      <c r="O55" s="603"/>
      <c r="P55" s="603"/>
      <c r="Q55" s="603"/>
    </row>
    <row r="56" spans="1:17" ht="14.55" x14ac:dyDescent="0.25">
      <c r="A56" s="603"/>
      <c r="B56" s="603"/>
      <c r="C56" s="603"/>
      <c r="D56" s="1417"/>
      <c r="E56" s="597">
        <v>5</v>
      </c>
      <c r="F56" s="603"/>
      <c r="G56" s="1417"/>
      <c r="H56" s="597" t="s">
        <v>321</v>
      </c>
      <c r="I56" s="603"/>
      <c r="J56" s="603"/>
      <c r="K56" s="638"/>
      <c r="L56" s="603"/>
      <c r="M56" s="603"/>
      <c r="N56" s="638"/>
      <c r="O56" s="603"/>
      <c r="P56" s="603"/>
      <c r="Q56" s="603"/>
    </row>
    <row r="57" spans="1:17" ht="15.2" thickBot="1" x14ac:dyDescent="0.35">
      <c r="B57" s="594"/>
      <c r="C57" s="594"/>
      <c r="D57" s="594"/>
      <c r="E57" s="594"/>
      <c r="F57" s="594"/>
      <c r="G57" s="1418" t="s">
        <v>322</v>
      </c>
      <c r="H57" s="1418"/>
      <c r="I57" s="1414" t="s">
        <v>323</v>
      </c>
      <c r="J57" s="1414"/>
      <c r="K57" s="1414" t="s">
        <v>324</v>
      </c>
      <c r="L57" s="1414"/>
      <c r="M57" s="594"/>
    </row>
    <row r="58" spans="1:17" ht="15.2" thickBot="1" x14ac:dyDescent="0.3">
      <c r="B58" s="1405" t="s">
        <v>325</v>
      </c>
      <c r="C58" s="1406"/>
      <c r="D58" s="1406"/>
      <c r="E58" s="1407"/>
      <c r="F58" s="603"/>
      <c r="G58" s="1400">
        <f>Freianlagen!H8</f>
        <v>0</v>
      </c>
      <c r="H58" s="1401"/>
      <c r="I58" s="1400">
        <f>Freianlagen!L8</f>
        <v>0</v>
      </c>
      <c r="J58" s="1401"/>
      <c r="K58" s="1400">
        <f>Freianlagen!P8</f>
        <v>0</v>
      </c>
      <c r="L58" s="1401"/>
      <c r="M58" s="718"/>
      <c r="N58" s="718"/>
    </row>
    <row r="59" spans="1:17" ht="14.55" x14ac:dyDescent="0.3">
      <c r="B59" s="603"/>
      <c r="C59" s="603"/>
      <c r="D59" s="603"/>
      <c r="E59" s="603"/>
      <c r="F59" s="603"/>
      <c r="G59" s="603"/>
      <c r="H59" s="603"/>
      <c r="I59" s="594"/>
      <c r="J59" s="594"/>
      <c r="K59" s="594"/>
      <c r="L59" s="594"/>
      <c r="M59" s="603"/>
      <c r="N59" s="603"/>
    </row>
    <row r="60" spans="1:17" ht="14.55" x14ac:dyDescent="0.3">
      <c r="B60" s="633"/>
      <c r="C60" s="603"/>
      <c r="D60" s="603"/>
      <c r="E60" s="603"/>
      <c r="F60" s="603"/>
      <c r="G60" s="603"/>
      <c r="H60" s="603"/>
      <c r="I60" s="594"/>
      <c r="J60" s="594"/>
      <c r="K60" s="594"/>
      <c r="L60" s="594"/>
      <c r="M60" s="603"/>
      <c r="N60" s="603"/>
    </row>
    <row r="61" spans="1:17" ht="14.55" x14ac:dyDescent="0.3">
      <c r="B61" s="603"/>
      <c r="C61" s="603"/>
      <c r="D61" s="603"/>
      <c r="E61" s="603"/>
      <c r="F61" s="603"/>
      <c r="G61" s="603"/>
      <c r="H61" s="603"/>
      <c r="I61" s="594"/>
      <c r="J61" s="594"/>
      <c r="K61" s="594"/>
      <c r="L61" s="594"/>
      <c r="M61" s="603"/>
      <c r="N61" s="603"/>
    </row>
    <row r="62" spans="1:17" ht="14.55" x14ac:dyDescent="0.3">
      <c r="B62" s="1422" t="s">
        <v>316</v>
      </c>
      <c r="C62" s="1423"/>
      <c r="D62" s="1423"/>
      <c r="E62" s="1424"/>
      <c r="F62" s="644"/>
      <c r="G62" s="1462">
        <f>Freianlagen!F13</f>
        <v>1</v>
      </c>
      <c r="H62" s="1463"/>
      <c r="I62" s="594"/>
      <c r="J62" s="594"/>
      <c r="K62" s="719"/>
      <c r="L62" s="594"/>
      <c r="M62" s="645"/>
      <c r="N62" s="645"/>
    </row>
    <row r="63" spans="1:17" ht="14.55" x14ac:dyDescent="0.3">
      <c r="B63" s="1422" t="s">
        <v>317</v>
      </c>
      <c r="C63" s="1423"/>
      <c r="D63" s="1423"/>
      <c r="E63" s="1424"/>
      <c r="F63" s="644"/>
      <c r="G63" s="1462" t="str">
        <f>Freianlagen!F14</f>
        <v>Basishonorarsatz</v>
      </c>
      <c r="H63" s="1463"/>
      <c r="I63" s="594"/>
      <c r="J63" s="594"/>
      <c r="K63" s="594"/>
      <c r="L63" s="594"/>
      <c r="M63" s="645"/>
      <c r="N63" s="645"/>
    </row>
    <row r="64" spans="1:17" ht="14.55" x14ac:dyDescent="0.3">
      <c r="B64" s="603"/>
      <c r="C64" s="603"/>
      <c r="D64" s="603"/>
      <c r="E64" s="603"/>
      <c r="F64" s="603"/>
      <c r="G64" s="603"/>
      <c r="H64" s="603"/>
      <c r="I64" s="594"/>
      <c r="J64" s="594"/>
      <c r="K64" s="594"/>
      <c r="L64" s="594"/>
      <c r="M64" s="594"/>
    </row>
    <row r="65" spans="2:14" ht="14.55" x14ac:dyDescent="0.3">
      <c r="B65" s="603"/>
      <c r="C65" s="603"/>
      <c r="D65" s="603"/>
      <c r="E65" s="603"/>
      <c r="F65" s="603"/>
      <c r="G65" s="603"/>
      <c r="H65" s="603"/>
      <c r="I65" s="594"/>
      <c r="J65" s="594"/>
      <c r="K65" s="594"/>
      <c r="L65" s="594"/>
      <c r="M65" s="594"/>
    </row>
    <row r="66" spans="2:14" ht="14.55" x14ac:dyDescent="0.3">
      <c r="B66" s="633" t="s">
        <v>326</v>
      </c>
      <c r="C66" s="603"/>
      <c r="D66" s="603"/>
      <c r="E66" s="603"/>
      <c r="F66" s="603"/>
      <c r="G66" s="603"/>
      <c r="H66" s="603"/>
      <c r="I66" s="594"/>
      <c r="J66" s="594"/>
      <c r="K66" s="594"/>
      <c r="L66" s="594"/>
      <c r="M66" s="594"/>
    </row>
    <row r="67" spans="2:14" ht="14.55" x14ac:dyDescent="0.3">
      <c r="B67" s="603"/>
      <c r="C67" s="603"/>
      <c r="D67" s="603"/>
      <c r="E67" s="603"/>
      <c r="F67" s="603"/>
      <c r="G67" s="1418" t="s">
        <v>322</v>
      </c>
      <c r="H67" s="1418"/>
      <c r="I67" s="1414" t="s">
        <v>323</v>
      </c>
      <c r="J67" s="1414"/>
      <c r="K67" s="1466" t="s">
        <v>324</v>
      </c>
      <c r="L67" s="1466"/>
      <c r="M67" s="1466"/>
    </row>
    <row r="68" spans="2:14" ht="14.55" x14ac:dyDescent="0.25">
      <c r="C68" s="709"/>
      <c r="D68" s="1397" t="s">
        <v>327</v>
      </c>
      <c r="E68" s="1425" t="s">
        <v>316</v>
      </c>
      <c r="F68" s="646"/>
      <c r="G68" s="720" t="s">
        <v>328</v>
      </c>
      <c r="H68" s="721">
        <f>IF($G$58&lt;$B$8,0,IF($G$58&gt;$B$46,0,VLOOKUP($G$58,$B$8:$B$46,1)))</f>
        <v>0</v>
      </c>
      <c r="I68" s="720" t="s">
        <v>328</v>
      </c>
      <c r="J68" s="721">
        <f>IF($I$58&lt;$B$8,0,IF($I$58&gt;$B$46,0,VLOOKUP($I$58,$B$8:$B$46,1)))</f>
        <v>0</v>
      </c>
      <c r="K68" s="720" t="s">
        <v>328</v>
      </c>
      <c r="L68" s="1458">
        <f>IF($K$58&lt;$B$8,0,IF($K$58&gt;$B$46,0,VLOOKUP(K58,B8:B46,1)))</f>
        <v>0</v>
      </c>
      <c r="M68" s="1459"/>
      <c r="N68" s="646"/>
    </row>
    <row r="69" spans="2:14" ht="14.55" x14ac:dyDescent="0.25">
      <c r="B69" s="709"/>
      <c r="C69" s="709"/>
      <c r="D69" s="1398"/>
      <c r="E69" s="1426"/>
      <c r="F69" s="603"/>
      <c r="G69" s="801" t="s">
        <v>135</v>
      </c>
      <c r="H69" s="802" t="s">
        <v>321</v>
      </c>
      <c r="I69" s="801" t="s">
        <v>135</v>
      </c>
      <c r="J69" s="802" t="s">
        <v>321</v>
      </c>
      <c r="K69" s="801" t="s">
        <v>135</v>
      </c>
      <c r="L69" s="1909" t="s">
        <v>321</v>
      </c>
      <c r="M69" s="1910"/>
      <c r="N69" s="651"/>
    </row>
    <row r="70" spans="2:14" ht="14.55" x14ac:dyDescent="0.25">
      <c r="B70" s="709"/>
      <c r="C70" s="709"/>
      <c r="D70" s="1398"/>
      <c r="E70" s="759">
        <v>1</v>
      </c>
      <c r="F70" s="603"/>
      <c r="G70" s="648">
        <f>IF($G$58&lt;$B$8,0,IF($G$58&gt;$B$46,0,VLOOKUP($H$68,$B$8:$Q$46,3)))</f>
        <v>0</v>
      </c>
      <c r="H70" s="648">
        <f>IF($G$58&lt;$B$8,0,IF($G$58&gt;$B$46,0,VLOOKUP(G70,$D$8:$E$46,2)))</f>
        <v>0</v>
      </c>
      <c r="I70" s="648">
        <f>IF($I$58&lt;$B$8,0,IF($I$58&gt;$B$46,0,VLOOKUP($J$68,$B$8:$Q$46,3)))</f>
        <v>0</v>
      </c>
      <c r="J70" s="648">
        <f>IF($I$58&lt;$B$8,0,IF($I$58&gt;$B$46,0,VLOOKUP(I70,$D$8:$E$46,2)))</f>
        <v>0</v>
      </c>
      <c r="K70" s="648">
        <f>IF($K$58&lt;$B$8,0,IF($K$58&gt;$B$46,0,VLOOKUP($L$68,$B$8:$Q$46,3)))</f>
        <v>0</v>
      </c>
      <c r="L70" s="1472">
        <f>IF($K$58&lt;$B$8,0,IF($K$58&gt;$B$46,0,VLOOKUP(K70,$D$8:$E$46,2)))</f>
        <v>0</v>
      </c>
      <c r="M70" s="1473"/>
      <c r="N70" s="646"/>
    </row>
    <row r="71" spans="2:14" ht="14.55" x14ac:dyDescent="0.25">
      <c r="B71" s="709"/>
      <c r="C71" s="709"/>
      <c r="D71" s="1398"/>
      <c r="E71" s="759">
        <v>2</v>
      </c>
      <c r="F71" s="603"/>
      <c r="G71" s="648">
        <f>IF($G$58&lt;$B$8,0,IF($G$58&gt;$B$46,0,VLOOKUP($H$68,$B$8:$Q$46,6)))</f>
        <v>0</v>
      </c>
      <c r="H71" s="648">
        <f>IF($G$58&lt;$B$8,0,IF($G$58&gt;$B$46,0,VLOOKUP(G71,$G$8:$H$46,2)))</f>
        <v>0</v>
      </c>
      <c r="I71" s="648">
        <f>IF($I$58&lt;$B$8,0,IF($I$58&gt;$B$46,0,VLOOKUP($J$68,$B$8:$Q$46,6)))</f>
        <v>0</v>
      </c>
      <c r="J71" s="648">
        <f>IF($I$58&lt;$B$8,0,IF($I$58&gt;$B$46,0,VLOOKUP(I71,$G$8:$H$46,2)))</f>
        <v>0</v>
      </c>
      <c r="K71" s="648">
        <f>IF($K$58&lt;$B$8,0,IF($K$58&gt;$B$46,0,VLOOKUP($L$68,$B$8:$Q$46,6)))</f>
        <v>0</v>
      </c>
      <c r="L71" s="1472">
        <f>IF($K$58&lt;$B$8,0,IF($K$58&gt;$B$46,0,VLOOKUP(K71,$G$8:$H$46,2)))</f>
        <v>0</v>
      </c>
      <c r="M71" s="1473"/>
      <c r="N71" s="646"/>
    </row>
    <row r="72" spans="2:14" ht="14.55" x14ac:dyDescent="0.25">
      <c r="B72" s="709"/>
      <c r="C72" s="709"/>
      <c r="D72" s="1398"/>
      <c r="E72" s="759">
        <v>3</v>
      </c>
      <c r="F72" s="603"/>
      <c r="G72" s="648">
        <f>IF($G$58&lt;$B$8,0,IF($G$58&gt;$B$46,0,VLOOKUP($H$68,$B$8:$Q$46,9)))</f>
        <v>0</v>
      </c>
      <c r="H72" s="648">
        <f>IF($G$58&lt;$B$8,0,IF($G$58&gt;$B$46,0,VLOOKUP(G72,$J$8:$K$46,2)))</f>
        <v>0</v>
      </c>
      <c r="I72" s="648">
        <f>IF($I$58&lt;$B$8,0,IF($I$58&gt;$B$46,0,VLOOKUP($J$68,$B$8:$Q$46,9)))</f>
        <v>0</v>
      </c>
      <c r="J72" s="648">
        <f>IF($I$58&lt;$B$8,0,IF($I$58&gt;$B$46,0,VLOOKUP(I72,$J$8:$K$46,2)))</f>
        <v>0</v>
      </c>
      <c r="K72" s="648">
        <f>IF($K$58&lt;$B$8,0,IF($K$58&gt;$B$46,0,VLOOKUP($L$68,$B$8:$Q$46,9)))</f>
        <v>0</v>
      </c>
      <c r="L72" s="1472">
        <f>IF($K$58&lt;$B$8,0,IF($K$58&gt;$B$46,0,VLOOKUP(K72,$J$8:$K$46,2)))</f>
        <v>0</v>
      </c>
      <c r="M72" s="1473"/>
      <c r="N72" s="646"/>
    </row>
    <row r="73" spans="2:14" ht="14.55" x14ac:dyDescent="0.25">
      <c r="B73" s="709"/>
      <c r="C73" s="709"/>
      <c r="D73" s="1398"/>
      <c r="E73" s="759">
        <v>4</v>
      </c>
      <c r="F73" s="603"/>
      <c r="G73" s="648">
        <f>IF($G$58&lt;$B$8,0,IF($G$58&gt;$B$46,0,VLOOKUP($H$68,$B$8:$Q$46,12)))</f>
        <v>0</v>
      </c>
      <c r="H73" s="648">
        <f>IF($G$58&lt;$B$8,0,IF($G$58&gt;$B$46,0,VLOOKUP(G73,$M$8:$N$46,2)))</f>
        <v>0</v>
      </c>
      <c r="I73" s="648">
        <f>IF($I$58&lt;$B$8,0,IF($I$58&gt;$B$46,0,VLOOKUP($J$68,$B$8:$Q$46,12)))</f>
        <v>0</v>
      </c>
      <c r="J73" s="648">
        <f>IF($I$58&lt;$B$8,0,IF($I$58&gt;$B$46,0,VLOOKUP(I73,$M$8:$N$46,2)))</f>
        <v>0</v>
      </c>
      <c r="K73" s="648">
        <f>IF($K$58&lt;$B$8,0,IF($K$58&gt;$B$46,0,VLOOKUP($L$68,$B$8:$Q$46,12)))</f>
        <v>0</v>
      </c>
      <c r="L73" s="1472">
        <f>IF($K$58&lt;$B$8,0,IF($K$58&gt;$B$46,0,VLOOKUP(K73,$M$8:$N$46,2)))</f>
        <v>0</v>
      </c>
      <c r="M73" s="1473"/>
      <c r="N73" s="646"/>
    </row>
    <row r="74" spans="2:14" ht="14.55" x14ac:dyDescent="0.25">
      <c r="B74" s="709"/>
      <c r="C74" s="709"/>
      <c r="D74" s="1399"/>
      <c r="E74" s="759">
        <v>5</v>
      </c>
      <c r="F74" s="603"/>
      <c r="G74" s="648">
        <f>IF($G$58&lt;$B$8,0,IF($G$58&gt;$B$46,0,VLOOKUP($H$68,$B$8:$Q$46,15)))</f>
        <v>0</v>
      </c>
      <c r="H74" s="648">
        <f>IF($G$58&lt;$B$8,0,IF($G$58&gt;$B$46,0,VLOOKUP(G74,$P$8:$Q$46,2)))</f>
        <v>0</v>
      </c>
      <c r="I74" s="648">
        <f>IF($I$58&lt;$B$8,0,IF($I$58&gt;$B$46,0,VLOOKUP($J$68,$B$8:$Q$46,15)))</f>
        <v>0</v>
      </c>
      <c r="J74" s="648">
        <f>IF($I$58&lt;$B$8,0,IF($I$58&gt;$B$46,0,VLOOKUP(I74,$P$8:$Q$46,2)))</f>
        <v>0</v>
      </c>
      <c r="K74" s="648">
        <f>IF($K$58&lt;$B$8,0,IF($K$58&gt;$B$46,0,VLOOKUP($L$68,$B$8:$Q$46,15)))</f>
        <v>0</v>
      </c>
      <c r="L74" s="1472">
        <f>IF($K$58&lt;$B$8,0,IF($K$58&gt;$B$46,0,VLOOKUP(K74,$P$8:$Q$46,2)))</f>
        <v>0</v>
      </c>
      <c r="M74" s="1473"/>
      <c r="N74" s="646"/>
    </row>
    <row r="75" spans="2:14" ht="14.55" x14ac:dyDescent="0.25">
      <c r="B75" s="652"/>
      <c r="C75" s="652"/>
      <c r="D75" s="652"/>
      <c r="E75" s="603"/>
      <c r="F75" s="603"/>
      <c r="G75" s="722"/>
      <c r="H75" s="651"/>
    </row>
    <row r="76" spans="2:14" ht="14.55" x14ac:dyDescent="0.25">
      <c r="C76" s="709"/>
      <c r="D76" s="1397" t="s">
        <v>329</v>
      </c>
      <c r="E76" s="1425" t="s">
        <v>316</v>
      </c>
      <c r="F76" s="603"/>
      <c r="G76" s="647" t="s">
        <v>328</v>
      </c>
      <c r="H76" s="648" cm="1">
        <f t="array" ref="H76">IF($G$58&lt;$B$8,0,IF(G58&gt;B46,0,INDEX(B8:B46,MATCH(G58,B8:B46,1)+1,1)))</f>
        <v>0</v>
      </c>
      <c r="I76" s="647" t="s">
        <v>328</v>
      </c>
      <c r="J76" s="648">
        <f>IF(I58&lt;$B$8,0,IF(I58&gt;$B$46,0,INDEX(B8:B46,MATCH(I58,B8:B46,1)+1,1)))</f>
        <v>0</v>
      </c>
      <c r="K76" s="647" t="s">
        <v>328</v>
      </c>
      <c r="L76" s="1458" cm="1">
        <f t="array" ref="L76">IF($K$58&lt;$B$8,0,IF($K$58&gt;$B$46,0,INDEX(B8:B46,MATCH(K58,B8:B46,1)+1,1)))</f>
        <v>0</v>
      </c>
      <c r="M76" s="1459"/>
      <c r="N76" s="646"/>
    </row>
    <row r="77" spans="2:14" ht="14.55" x14ac:dyDescent="0.25">
      <c r="B77" s="709"/>
      <c r="C77" s="709"/>
      <c r="D77" s="1398"/>
      <c r="E77" s="1426"/>
      <c r="F77" s="603"/>
      <c r="G77" s="801" t="s">
        <v>135</v>
      </c>
      <c r="H77" s="802" t="s">
        <v>321</v>
      </c>
      <c r="I77" s="801" t="s">
        <v>135</v>
      </c>
      <c r="J77" s="802" t="s">
        <v>321</v>
      </c>
      <c r="K77" s="801" t="s">
        <v>135</v>
      </c>
      <c r="L77" s="1909" t="s">
        <v>321</v>
      </c>
      <c r="M77" s="1910"/>
      <c r="N77" s="651"/>
    </row>
    <row r="78" spans="2:14" ht="14.55" x14ac:dyDescent="0.25">
      <c r="B78" s="709"/>
      <c r="C78" s="709"/>
      <c r="D78" s="1398"/>
      <c r="E78" s="759">
        <v>1</v>
      </c>
      <c r="F78" s="603"/>
      <c r="G78" s="648">
        <f>IF($G$58&lt;$B$8,0,IF($G$58&gt;$B$46,0,VLOOKUP($H$76,$B$8:$Q$46,3)))</f>
        <v>0</v>
      </c>
      <c r="H78" s="648">
        <f>IF($G$58&lt;$B$8,0,IF($G$58&gt;$B$46,0,VLOOKUP(G78,$D$8:$E$46,2)))</f>
        <v>0</v>
      </c>
      <c r="I78" s="648">
        <f>IF($I$58&lt;$B$8,0,IF($I$58&gt;$B$46,0,VLOOKUP($J$76,$B$8:$Q$46,3)))</f>
        <v>0</v>
      </c>
      <c r="J78" s="648">
        <f>IF($I$58&lt;$B$8,0,IF($I$58&gt;$B$46,0,VLOOKUP(I78,$D$8:$E$46,2)))</f>
        <v>0</v>
      </c>
      <c r="K78" s="648">
        <f>IF($K$58&lt;$B$8,0,IF($K$58&gt;$B$46,0,VLOOKUP($L$76,$B$8:$Q$46,3)))</f>
        <v>0</v>
      </c>
      <c r="L78" s="1472">
        <f>IF($K$58&lt;$B$8,0,IF($K$58&gt;$B$46,0,VLOOKUP(K78,$D$8:$E$46,2)))</f>
        <v>0</v>
      </c>
      <c r="M78" s="1473"/>
      <c r="N78" s="646"/>
    </row>
    <row r="79" spans="2:14" ht="14.55" x14ac:dyDescent="0.25">
      <c r="B79" s="709"/>
      <c r="C79" s="709"/>
      <c r="D79" s="1398"/>
      <c r="E79" s="759">
        <v>2</v>
      </c>
      <c r="F79" s="603"/>
      <c r="G79" s="648">
        <f>IF($G$58&lt;$B$8,0,IF($G$58&gt;$B$46,0,VLOOKUP($H$76,$B$8:$Q$47,6)))</f>
        <v>0</v>
      </c>
      <c r="H79" s="648">
        <f>IF($G$58&lt;$B$8,0,IF($G$58&gt;$B$46,0,VLOOKUP(G79,$G$8:$H$46,2)))</f>
        <v>0</v>
      </c>
      <c r="I79" s="648">
        <f>IF($I$58&lt;$B$8,0,IF($I$58&gt;$B$46,0,VLOOKUP($J$76,$B$8:$Q$46,6)))</f>
        <v>0</v>
      </c>
      <c r="J79" s="648">
        <f>IF($I$58&lt;$B$8,0,IF($I$58&gt;$B$46,0,VLOOKUP(I79,$G$8:$H$46,2)))</f>
        <v>0</v>
      </c>
      <c r="K79" s="648">
        <f>IF($K$58&lt;$B$8,0,IF($K$58&gt;$B$46,0,VLOOKUP($L$76,$B$8:$Q$46,6)))</f>
        <v>0</v>
      </c>
      <c r="L79" s="1472">
        <f>IF($K$58&lt;$B$8,0,IF($K$58&gt;$B$46,0,VLOOKUP(K79,$G$8:$H$46,2)))</f>
        <v>0</v>
      </c>
      <c r="M79" s="1473"/>
      <c r="N79" s="646"/>
    </row>
    <row r="80" spans="2:14" ht="14.55" x14ac:dyDescent="0.25">
      <c r="B80" s="709"/>
      <c r="C80" s="709"/>
      <c r="D80" s="1398"/>
      <c r="E80" s="759">
        <v>3</v>
      </c>
      <c r="F80" s="603"/>
      <c r="G80" s="648">
        <f>IF($G$58&lt;$B$8,0,IF($G$58&gt;$B$46,0,VLOOKUP($H$76,$B$8:$Q$46,9)))</f>
        <v>0</v>
      </c>
      <c r="H80" s="648">
        <f>IF($G$58&lt;$B$8,0,IF($G$58&gt;$B$46,0,VLOOKUP(G80,$J$8:$K$46,2)))</f>
        <v>0</v>
      </c>
      <c r="I80" s="648">
        <f>IF($I$58&lt;$B$8,0,IF($I$58&gt;$B$46,0,VLOOKUP($J$76,$B$8:$Q$46,9)))</f>
        <v>0</v>
      </c>
      <c r="J80" s="648">
        <f>IF($I$58&lt;$B$8,0,IF($I$58&gt;$B$46,0,VLOOKUP(I80,$J$8:$K$46,2)))</f>
        <v>0</v>
      </c>
      <c r="K80" s="648">
        <f>IF($K$58&lt;$B$8,0,IF($K$58&gt;$B$46,0,VLOOKUP($L$76,$B$8:$Q$46,9)))</f>
        <v>0</v>
      </c>
      <c r="L80" s="1472">
        <f>IF($K$58&lt;$B$8,0,IF($K$58&gt;$B$46,0,VLOOKUP(K80,$J$8:$K$46,2)))</f>
        <v>0</v>
      </c>
      <c r="M80" s="1473"/>
      <c r="N80" s="646"/>
    </row>
    <row r="81" spans="2:14" ht="14.55" x14ac:dyDescent="0.25">
      <c r="B81" s="709"/>
      <c r="C81" s="709"/>
      <c r="D81" s="1398"/>
      <c r="E81" s="759">
        <v>4</v>
      </c>
      <c r="F81" s="603"/>
      <c r="G81" s="648">
        <f>IF($G$58&lt;$B$8,0,IF($G$58&gt;$B$46,0,VLOOKUP($H$76,$B$8:$Q$46,12)))</f>
        <v>0</v>
      </c>
      <c r="H81" s="648">
        <f>IF($G$58&lt;$B$8,0,IF($G$58&gt;$B$46,0,VLOOKUP(G81,$M$8:$N$46,2)))</f>
        <v>0</v>
      </c>
      <c r="I81" s="648">
        <f>IF($I$58&lt;$B$8,0,IF($I$58&gt;$B$46,0,VLOOKUP($J$76,$B$8:$Q$46,12)))</f>
        <v>0</v>
      </c>
      <c r="J81" s="648">
        <f>IF($I$58&lt;$B$8,0,IF($I$58&gt;$B$46,0,VLOOKUP(I81,$M$8:$N$46,2)))</f>
        <v>0</v>
      </c>
      <c r="K81" s="648">
        <f>IF($K$58&lt;$B$8,0,IF($K$58&gt;$B$46,0,VLOOKUP($L$76,$B$8:$Q$46,12)))</f>
        <v>0</v>
      </c>
      <c r="L81" s="1472">
        <f>IF($K$58&lt;$B$8,0,IF($K$58&gt;$B$46,0,VLOOKUP(K81,$M$8:$N$46,2)))</f>
        <v>0</v>
      </c>
      <c r="M81" s="1473"/>
      <c r="N81" s="646"/>
    </row>
    <row r="82" spans="2:14" ht="14.55" x14ac:dyDescent="0.25">
      <c r="B82" s="709"/>
      <c r="C82" s="709"/>
      <c r="D82" s="1399"/>
      <c r="E82" s="759">
        <v>5</v>
      </c>
      <c r="F82" s="603"/>
      <c r="G82" s="648">
        <f>IF($G$58&lt;$B$8,0,IF($G$58&gt;$B$46,0,VLOOKUP($H$76,$B$8:$Q$46,15)))</f>
        <v>0</v>
      </c>
      <c r="H82" s="648">
        <f>IF($G$58&lt;$B$8,0,IF($G$58&gt;$B$46,0,VLOOKUP(G82,$P$8:$Q$46,2)))</f>
        <v>0</v>
      </c>
      <c r="I82" s="648">
        <f>IF($I$58&lt;$B$8,0,IF($I$58&gt;$B$46,0,VLOOKUP($J$76,$B$8:$Q$46,15)))</f>
        <v>0</v>
      </c>
      <c r="J82" s="648">
        <f>IF($I$58&lt;$B$8,0,IF($I$58&gt;$B$46,0,VLOOKUP(I82,$P$8:$Q$46,2)))</f>
        <v>0</v>
      </c>
      <c r="K82" s="648">
        <f>IF($K$58&lt;$B$8,0,IF($K$58&gt;$B$46,0,VLOOKUP($L$76,$B$8:$Q$46,15)))</f>
        <v>0</v>
      </c>
      <c r="L82" s="1472">
        <f>IF($K$58&lt;$B$8,0,IF($K$58&gt;$B$46,0,VLOOKUP(K82,$P$8:$Q$46,2)))</f>
        <v>0</v>
      </c>
      <c r="M82" s="1473"/>
      <c r="N82" s="646"/>
    </row>
    <row r="84" spans="2:14" x14ac:dyDescent="0.25">
      <c r="B84" s="630" t="s">
        <v>330</v>
      </c>
    </row>
    <row r="86" spans="2:14" ht="14.55" x14ac:dyDescent="0.25">
      <c r="B86" s="652"/>
      <c r="C86" s="652"/>
      <c r="D86" s="652"/>
      <c r="E86" s="603"/>
      <c r="F86" s="603"/>
      <c r="G86" s="801" t="s">
        <v>135</v>
      </c>
      <c r="H86" s="802" t="s">
        <v>321</v>
      </c>
      <c r="I86" s="801" t="s">
        <v>135</v>
      </c>
      <c r="J86" s="802" t="s">
        <v>321</v>
      </c>
      <c r="K86" s="801" t="s">
        <v>135</v>
      </c>
      <c r="L86" s="1908" t="s">
        <v>321</v>
      </c>
      <c r="M86" s="1908"/>
      <c r="N86" s="651"/>
    </row>
    <row r="87" spans="2:14" ht="14.55" x14ac:dyDescent="0.25">
      <c r="B87" s="1416" t="s">
        <v>327</v>
      </c>
      <c r="C87" s="1416"/>
      <c r="D87" s="1416"/>
      <c r="E87" s="1416"/>
      <c r="F87" s="603"/>
      <c r="G87" s="655">
        <f>VLOOKUP($G$62,$E$70:$H$74,3)</f>
        <v>0</v>
      </c>
      <c r="H87" s="655">
        <f>VLOOKUP(G62,$E$70:$H$74,4)</f>
        <v>0</v>
      </c>
      <c r="I87" s="655">
        <f>VLOOKUP($G$62,$E$70:$J$74,5)</f>
        <v>0</v>
      </c>
      <c r="J87" s="655">
        <f>VLOOKUP(G62,$E$70:$J$74,6)</f>
        <v>0</v>
      </c>
      <c r="K87" s="655">
        <f>VLOOKUP($G$62,$E$70:$K$74,7)</f>
        <v>0</v>
      </c>
      <c r="L87" s="1469">
        <f>VLOOKUP(G62,$E$70:$M$74,8)</f>
        <v>0</v>
      </c>
      <c r="M87" s="1469"/>
      <c r="N87" s="656"/>
    </row>
    <row r="88" spans="2:14" ht="14.55" x14ac:dyDescent="0.25">
      <c r="B88" s="1416" t="s">
        <v>329</v>
      </c>
      <c r="C88" s="1416"/>
      <c r="D88" s="1416"/>
      <c r="E88" s="1416"/>
      <c r="F88" s="603"/>
      <c r="G88" s="655">
        <f>VLOOKUP($G$62,$E$78:$H$82,3)</f>
        <v>0</v>
      </c>
      <c r="H88" s="655">
        <f>VLOOKUP(G62,$E$78:$H$82,4)</f>
        <v>0</v>
      </c>
      <c r="I88" s="655">
        <f>VLOOKUP($G$62,$E$78:$J$82,5)</f>
        <v>0</v>
      </c>
      <c r="J88" s="655">
        <f>VLOOKUP(G62,$E$78:$K$82,6)</f>
        <v>0</v>
      </c>
      <c r="K88" s="655">
        <f>VLOOKUP($G$62,$E$78:$K$82,7)</f>
        <v>0</v>
      </c>
      <c r="L88" s="1469">
        <f>VLOOKUP(G62,$E$78:$M$82,8)</f>
        <v>0</v>
      </c>
      <c r="M88" s="1469"/>
      <c r="N88" s="656"/>
    </row>
    <row r="89" spans="2:14" ht="14.55" x14ac:dyDescent="0.25">
      <c r="B89" s="1659" t="s">
        <v>331</v>
      </c>
      <c r="C89" s="1660"/>
      <c r="D89" s="1660"/>
      <c r="E89" s="1661"/>
      <c r="F89" s="603"/>
      <c r="G89" s="723">
        <f t="shared" ref="G89:L89" si="5">G88-G87</f>
        <v>0</v>
      </c>
      <c r="H89" s="723">
        <f t="shared" si="5"/>
        <v>0</v>
      </c>
      <c r="I89" s="723">
        <f t="shared" si="5"/>
        <v>0</v>
      </c>
      <c r="J89" s="723">
        <f t="shared" si="5"/>
        <v>0</v>
      </c>
      <c r="K89" s="723">
        <f t="shared" si="5"/>
        <v>0</v>
      </c>
      <c r="L89" s="1470">
        <f t="shared" si="5"/>
        <v>0</v>
      </c>
      <c r="M89" s="1470"/>
      <c r="N89" s="724"/>
    </row>
    <row r="90" spans="2:14" ht="14.55" x14ac:dyDescent="0.25">
      <c r="B90" s="1416" t="s">
        <v>332</v>
      </c>
      <c r="C90" s="1416"/>
      <c r="D90" s="1416"/>
      <c r="E90" s="1416"/>
      <c r="F90" s="603"/>
      <c r="G90" s="723">
        <f>G58-H68</f>
        <v>0</v>
      </c>
      <c r="H90" s="659">
        <f>G62</f>
        <v>1</v>
      </c>
      <c r="I90" s="723">
        <f>I58-J68</f>
        <v>0</v>
      </c>
      <c r="J90" s="659">
        <f>G62</f>
        <v>1</v>
      </c>
      <c r="K90" s="723">
        <f>K58-L68</f>
        <v>0</v>
      </c>
      <c r="L90" s="1471">
        <f>G62</f>
        <v>1</v>
      </c>
      <c r="M90" s="1471"/>
      <c r="N90" s="725"/>
    </row>
    <row r="93" spans="2:14" x14ac:dyDescent="0.25">
      <c r="B93" s="630" t="s">
        <v>333</v>
      </c>
    </row>
    <row r="95" spans="2:14" ht="14.55" x14ac:dyDescent="0.25">
      <c r="B95" s="603"/>
      <c r="C95" s="603"/>
      <c r="D95" s="651"/>
      <c r="E95" s="603"/>
      <c r="F95" s="651"/>
      <c r="G95" s="801" t="s">
        <v>135</v>
      </c>
      <c r="H95" s="802" t="s">
        <v>321</v>
      </c>
      <c r="I95" s="801" t="s">
        <v>135</v>
      </c>
      <c r="J95" s="802" t="s">
        <v>321</v>
      </c>
      <c r="K95" s="801" t="s">
        <v>135</v>
      </c>
      <c r="L95" s="1908" t="s">
        <v>321</v>
      </c>
      <c r="M95" s="1908"/>
      <c r="N95" s="651"/>
    </row>
    <row r="96" spans="2:14" ht="14.55" x14ac:dyDescent="0.25">
      <c r="B96" s="1416" t="s">
        <v>334</v>
      </c>
      <c r="C96" s="1416"/>
      <c r="D96" s="1416"/>
      <c r="E96" s="1416"/>
      <c r="F96" s="660"/>
      <c r="G96" s="655">
        <f t="shared" ref="G96:L96" si="6">G87</f>
        <v>0</v>
      </c>
      <c r="H96" s="655">
        <f t="shared" si="6"/>
        <v>0</v>
      </c>
      <c r="I96" s="655">
        <f t="shared" si="6"/>
        <v>0</v>
      </c>
      <c r="J96" s="655">
        <f t="shared" si="6"/>
        <v>0</v>
      </c>
      <c r="K96" s="655">
        <f t="shared" si="6"/>
        <v>0</v>
      </c>
      <c r="L96" s="1469">
        <f t="shared" si="6"/>
        <v>0</v>
      </c>
      <c r="M96" s="1469"/>
      <c r="N96" s="656"/>
    </row>
    <row r="97" spans="2:22" ht="14.55" x14ac:dyDescent="0.25">
      <c r="B97" s="1416" t="s">
        <v>335</v>
      </c>
      <c r="C97" s="1416"/>
      <c r="D97" s="1416"/>
      <c r="E97" s="1416"/>
      <c r="F97" s="660"/>
      <c r="G97" s="655">
        <f>G90</f>
        <v>0</v>
      </c>
      <c r="H97" s="655">
        <f>G90</f>
        <v>0</v>
      </c>
      <c r="I97" s="655">
        <f>I90</f>
        <v>0</v>
      </c>
      <c r="J97" s="655">
        <f>I90</f>
        <v>0</v>
      </c>
      <c r="K97" s="655">
        <f>K90</f>
        <v>0</v>
      </c>
      <c r="L97" s="1469">
        <f>K90</f>
        <v>0</v>
      </c>
      <c r="M97" s="1469"/>
      <c r="N97" s="656"/>
    </row>
    <row r="98" spans="2:22" ht="14.55" x14ac:dyDescent="0.25">
      <c r="B98" s="1416" t="s">
        <v>336</v>
      </c>
      <c r="C98" s="1416"/>
      <c r="D98" s="1416"/>
      <c r="E98" s="1416"/>
      <c r="F98" s="660"/>
      <c r="G98" s="655">
        <f t="shared" ref="G98:L98" si="7">G89</f>
        <v>0</v>
      </c>
      <c r="H98" s="655">
        <f t="shared" si="7"/>
        <v>0</v>
      </c>
      <c r="I98" s="655">
        <f t="shared" si="7"/>
        <v>0</v>
      </c>
      <c r="J98" s="655">
        <f t="shared" si="7"/>
        <v>0</v>
      </c>
      <c r="K98" s="655">
        <f t="shared" si="7"/>
        <v>0</v>
      </c>
      <c r="L98" s="1469">
        <f t="shared" si="7"/>
        <v>0</v>
      </c>
      <c r="M98" s="1469"/>
      <c r="N98" s="656"/>
    </row>
    <row r="99" spans="2:22" ht="14.55" x14ac:dyDescent="0.25">
      <c r="B99" s="1416" t="s">
        <v>337</v>
      </c>
      <c r="C99" s="1416"/>
      <c r="D99" s="1416"/>
      <c r="E99" s="1416"/>
      <c r="F99" s="660"/>
      <c r="G99" s="655">
        <f>H76-H68</f>
        <v>0</v>
      </c>
      <c r="H99" s="655">
        <f>H76-H68</f>
        <v>0</v>
      </c>
      <c r="I99" s="655">
        <f>J76-J68</f>
        <v>0</v>
      </c>
      <c r="J99" s="655">
        <f>J76-J68</f>
        <v>0</v>
      </c>
      <c r="K99" s="655">
        <f>L76-L68</f>
        <v>0</v>
      </c>
      <c r="L99" s="1469">
        <f>L76-L68</f>
        <v>0</v>
      </c>
      <c r="M99" s="1469"/>
      <c r="N99" s="656"/>
    </row>
    <row r="100" spans="2:22" ht="15.2" thickBot="1" x14ac:dyDescent="0.3">
      <c r="B100" s="603"/>
      <c r="C100" s="603"/>
      <c r="D100" s="603"/>
      <c r="E100" s="646"/>
      <c r="F100" s="646"/>
      <c r="G100" s="661"/>
      <c r="H100" s="603"/>
    </row>
    <row r="101" spans="2:22" ht="14.55" x14ac:dyDescent="0.25">
      <c r="B101" s="662"/>
      <c r="C101" s="1417"/>
      <c r="D101" s="663" t="s">
        <v>135</v>
      </c>
      <c r="E101" s="664"/>
      <c r="F101" s="656"/>
      <c r="G101" s="603"/>
      <c r="H101" s="665">
        <f>IF(G99=0,0,G96+((G97*G98)/G99))</f>
        <v>0</v>
      </c>
      <c r="J101" s="665">
        <f>IF(I99=0,0,I96+((I97*I98)/I99))</f>
        <v>0</v>
      </c>
      <c r="L101" s="1476">
        <f>IF(K99=0,0,K96+((K97*K98)/K99))</f>
        <v>0</v>
      </c>
      <c r="M101" s="1477"/>
      <c r="N101" s="656"/>
    </row>
    <row r="102" spans="2:22" ht="14.55" x14ac:dyDescent="0.25">
      <c r="B102" s="666" t="s">
        <v>338</v>
      </c>
      <c r="C102" s="1417"/>
      <c r="D102" s="663" t="s">
        <v>318</v>
      </c>
      <c r="E102" s="664"/>
      <c r="F102" s="656"/>
      <c r="G102" s="603"/>
      <c r="H102" s="667">
        <f>((H105-H101)*0.25)+H101</f>
        <v>0</v>
      </c>
      <c r="J102" s="667">
        <f>((J105-J101)*0.25)+J101</f>
        <v>0</v>
      </c>
      <c r="L102" s="1478">
        <f>((L105-L101)*0.25)+L101</f>
        <v>0</v>
      </c>
      <c r="M102" s="1479"/>
      <c r="N102" s="656"/>
    </row>
    <row r="103" spans="2:22" ht="14.55" x14ac:dyDescent="0.25">
      <c r="B103" s="666"/>
      <c r="C103" s="1417"/>
      <c r="D103" s="663" t="s">
        <v>319</v>
      </c>
      <c r="E103" s="664"/>
      <c r="F103" s="656"/>
      <c r="G103" s="603"/>
      <c r="H103" s="667">
        <f>(H105+H101)/2</f>
        <v>0</v>
      </c>
      <c r="J103" s="667">
        <f>(J105+J101)/2</f>
        <v>0</v>
      </c>
      <c r="L103" s="1478">
        <f>(L105+L101)/2</f>
        <v>0</v>
      </c>
      <c r="M103" s="1479"/>
      <c r="N103" s="656"/>
    </row>
    <row r="104" spans="2:22" ht="14.55" x14ac:dyDescent="0.25">
      <c r="B104" s="666" t="s">
        <v>339</v>
      </c>
      <c r="C104" s="1417"/>
      <c r="D104" s="663" t="s">
        <v>320</v>
      </c>
      <c r="E104" s="664"/>
      <c r="F104" s="656"/>
      <c r="G104" s="603"/>
      <c r="H104" s="667">
        <f>((H105-H101)*0.75)+H101</f>
        <v>0</v>
      </c>
      <c r="J104" s="667">
        <f>((J105-J101)*0.75)+J101</f>
        <v>0</v>
      </c>
      <c r="L104" s="1478">
        <f>((L105-L101)*0.75)+L101</f>
        <v>0</v>
      </c>
      <c r="M104" s="1479"/>
      <c r="N104" s="656"/>
    </row>
    <row r="105" spans="2:22" ht="15.2" thickBot="1" x14ac:dyDescent="0.3">
      <c r="B105" s="668"/>
      <c r="C105" s="1417"/>
      <c r="D105" s="663" t="s">
        <v>321</v>
      </c>
      <c r="E105" s="664"/>
      <c r="F105" s="656"/>
      <c r="G105" s="603"/>
      <c r="H105" s="669">
        <f>IF(H99=0,0,H96+((H97*H98)/H99))</f>
        <v>0</v>
      </c>
      <c r="J105" s="669">
        <f>IF(J99=0,0,J96+((J97*J98)/J99))</f>
        <v>0</v>
      </c>
      <c r="L105" s="1480">
        <f>IF(L99=0,0,L96+((L97*L98)/L99))</f>
        <v>0</v>
      </c>
      <c r="M105" s="1481"/>
      <c r="N105" s="656"/>
    </row>
    <row r="107" spans="2:22" ht="15.2" thickBot="1" x14ac:dyDescent="0.35">
      <c r="B107" s="603"/>
      <c r="C107" s="603"/>
      <c r="D107" s="603"/>
      <c r="E107" s="603"/>
      <c r="F107" s="603"/>
      <c r="G107" s="1418" t="s">
        <v>322</v>
      </c>
      <c r="H107" s="1418"/>
      <c r="I107" s="1414" t="s">
        <v>323</v>
      </c>
      <c r="J107" s="1414"/>
      <c r="K107" s="1466" t="s">
        <v>324</v>
      </c>
      <c r="L107" s="1466"/>
      <c r="M107" s="1466"/>
      <c r="N107" s="633"/>
    </row>
    <row r="108" spans="2:22" ht="15.2" thickBot="1" x14ac:dyDescent="0.3">
      <c r="B108" s="1402" t="s">
        <v>340</v>
      </c>
      <c r="C108" s="1403"/>
      <c r="D108" s="1403"/>
      <c r="E108" s="1404"/>
      <c r="F108" s="603"/>
      <c r="G108" s="670">
        <f>G62</f>
        <v>1</v>
      </c>
      <c r="H108" s="671">
        <f>IF($G$63="Basishonorarsatz",H101,IF($G$63="Viertelsatz",H102,IF($G$63="Mittelsatz",H103,IF($G$63="Dreiviertelsatz",H104,H105))))</f>
        <v>0</v>
      </c>
      <c r="I108" s="726"/>
      <c r="J108" s="727">
        <f>IF($G$63="Basishonorarsatz",J101,IF($G$63="Viertelsatz",J102,IF($G$63="Mittelsatz",J103,IF($G$63="Dreiviertelsatz",J104,J105))))</f>
        <v>0</v>
      </c>
      <c r="K108" s="726"/>
      <c r="L108" s="1412">
        <f>IF($G$63="Basishonorarsatz",L101,IF($G$63="Viertelsatz",L102,IF($G$63="Mittelsatz",L103,IF($G$63="Dreiviertelsatz",L104,L105))))</f>
        <v>0</v>
      </c>
      <c r="M108" s="1413"/>
      <c r="N108" s="728"/>
    </row>
    <row r="109" spans="2:22" ht="14.55" thickBot="1" x14ac:dyDescent="0.3">
      <c r="B109" s="641" t="s">
        <v>341</v>
      </c>
    </row>
    <row r="110" spans="2:22" ht="15" customHeight="1" thickBot="1" x14ac:dyDescent="0.3">
      <c r="B110" s="641" t="s">
        <v>342</v>
      </c>
      <c r="G110" s="678"/>
      <c r="H110" s="1633" t="s">
        <v>343</v>
      </c>
      <c r="I110" s="1634"/>
      <c r="J110" s="1634"/>
      <c r="K110" s="1635"/>
      <c r="L110" s="790"/>
      <c r="M110" s="791"/>
    </row>
    <row r="111" spans="2:22" ht="14.55" thickBot="1" x14ac:dyDescent="0.3">
      <c r="B111" s="641" t="s">
        <v>344</v>
      </c>
      <c r="G111" s="679"/>
      <c r="H111" s="1636" t="s">
        <v>539</v>
      </c>
      <c r="I111" s="1637"/>
      <c r="J111" s="1467" t="s">
        <v>346</v>
      </c>
      <c r="K111" s="1468"/>
      <c r="L111" s="741"/>
      <c r="M111" s="741"/>
      <c r="T111" s="630"/>
      <c r="U111" s="630"/>
      <c r="V111" s="630"/>
    </row>
    <row r="112" spans="2:22" ht="14.55" x14ac:dyDescent="0.3">
      <c r="B112" s="641" t="s">
        <v>349</v>
      </c>
      <c r="G112" s="680">
        <v>1</v>
      </c>
      <c r="H112" s="1638">
        <f>IF(Freianlagen!T37="ja",Freianlagen!J37,0)</f>
        <v>0</v>
      </c>
      <c r="I112" s="1639"/>
      <c r="J112" s="1801">
        <f>IF(Freianlagen!T37="ja",Freianlagen!L47,0)</f>
        <v>0</v>
      </c>
      <c r="K112" s="1802"/>
      <c r="L112" s="741"/>
      <c r="M112" s="741"/>
      <c r="T112" s="594"/>
      <c r="U112" s="594"/>
      <c r="V112" s="594"/>
    </row>
    <row r="113" spans="2:22" ht="14.55" x14ac:dyDescent="0.3">
      <c r="G113" s="682">
        <v>2</v>
      </c>
      <c r="H113" s="1408">
        <f>IF(Freianlagen!T48="ja",Freianlagen!J48,0)</f>
        <v>0</v>
      </c>
      <c r="I113" s="1409"/>
      <c r="J113" s="1437">
        <f>IF(Freianlagen!T48="ja",Freianlagen!L72,0)</f>
        <v>0</v>
      </c>
      <c r="K113" s="1438"/>
      <c r="L113" s="741"/>
      <c r="M113" s="741"/>
      <c r="T113" s="733"/>
      <c r="U113" s="734"/>
      <c r="V113" s="733"/>
    </row>
    <row r="114" spans="2:22" ht="14.55" x14ac:dyDescent="0.3">
      <c r="B114" s="641" t="s">
        <v>341</v>
      </c>
      <c r="G114" s="682">
        <v>3</v>
      </c>
      <c r="H114" s="1408">
        <f>IF(Freianlagen!T76="ja",Freianlagen!J76,0)</f>
        <v>0</v>
      </c>
      <c r="I114" s="1409"/>
      <c r="J114" s="1437">
        <f>IF(Freianlagen!T76="ja",Freianlagen!L99,0)</f>
        <v>0</v>
      </c>
      <c r="K114" s="1438"/>
      <c r="L114" s="741"/>
      <c r="M114" s="741"/>
      <c r="T114" s="735"/>
      <c r="U114" s="734"/>
      <c r="V114" s="736"/>
    </row>
    <row r="115" spans="2:22" ht="14.55" x14ac:dyDescent="0.3">
      <c r="B115" s="641" t="s">
        <v>350</v>
      </c>
      <c r="G115" s="682">
        <v>4</v>
      </c>
      <c r="H115" s="1408">
        <f>IF(Freianlagen!T103="ja",Freianlagen!J103,0)</f>
        <v>0</v>
      </c>
      <c r="I115" s="1409"/>
      <c r="J115" s="1437">
        <f>IF(Freianlagen!T103="ja",Freianlagen!R103,0)</f>
        <v>0</v>
      </c>
      <c r="K115" s="1438"/>
      <c r="L115" s="741"/>
      <c r="M115" s="741"/>
      <c r="T115" s="735"/>
      <c r="U115" s="734"/>
      <c r="V115" s="736"/>
    </row>
    <row r="116" spans="2:22" ht="14.55" x14ac:dyDescent="0.3">
      <c r="G116" s="682" t="s">
        <v>351</v>
      </c>
      <c r="H116" s="1408">
        <f>IF(Freianlagen!T121="ja",Freianlagen!J121,0)</f>
        <v>0</v>
      </c>
      <c r="I116" s="1409"/>
      <c r="J116" s="1437">
        <f>IF(Freianlagen!T121="ja",Freianlagen!R121,0)</f>
        <v>0</v>
      </c>
      <c r="K116" s="1438"/>
      <c r="L116" s="741"/>
      <c r="M116" s="741"/>
      <c r="T116" s="735"/>
      <c r="U116" s="734"/>
      <c r="V116" s="736"/>
    </row>
    <row r="117" spans="2:22" ht="14.55" x14ac:dyDescent="0.3">
      <c r="G117" s="682" t="s">
        <v>352</v>
      </c>
      <c r="H117" s="1408">
        <f>IF(Freianlagen!T125="ja",Freianlagen!J125,0)</f>
        <v>0</v>
      </c>
      <c r="I117" s="1409"/>
      <c r="J117" s="1437">
        <f>IF(Freianlagen!T125="ja",Freianlagen!R125,0)</f>
        <v>0</v>
      </c>
      <c r="K117" s="1438"/>
      <c r="L117" s="741"/>
      <c r="M117" s="741"/>
      <c r="T117" s="735"/>
      <c r="U117" s="734"/>
      <c r="V117" s="736"/>
    </row>
    <row r="118" spans="2:22" ht="14.55" x14ac:dyDescent="0.3">
      <c r="G118" s="682" t="s">
        <v>353</v>
      </c>
      <c r="H118" s="1408">
        <f>IF(Freianlagen!T127="ja",Freianlagen!J127,0)</f>
        <v>0</v>
      </c>
      <c r="I118" s="1409"/>
      <c r="J118" s="1437">
        <f>IF(Freianlagen!T127="ja",Freianlagen!R127,0)</f>
        <v>0</v>
      </c>
      <c r="K118" s="1438"/>
      <c r="L118" s="741"/>
      <c r="M118" s="741"/>
      <c r="T118" s="735"/>
      <c r="U118" s="734"/>
      <c r="V118" s="736"/>
    </row>
    <row r="119" spans="2:22" ht="14.55" x14ac:dyDescent="0.3">
      <c r="G119" s="682" t="s">
        <v>354</v>
      </c>
      <c r="H119" s="1408">
        <f>IF(Freianlagen!T129="ja",Freianlagen!J129,0)</f>
        <v>0</v>
      </c>
      <c r="I119" s="1409"/>
      <c r="J119" s="1437">
        <f>IF(Freianlagen!T129="ja",Freianlagen!R129+Freianlagen!R132+Freianlagen!R135,0)</f>
        <v>0</v>
      </c>
      <c r="K119" s="1438"/>
      <c r="L119" s="741"/>
      <c r="M119" s="741"/>
      <c r="T119" s="735"/>
      <c r="U119" s="734"/>
      <c r="V119" s="736"/>
    </row>
    <row r="120" spans="2:22" ht="14.55" x14ac:dyDescent="0.3">
      <c r="G120" s="682" t="s">
        <v>355</v>
      </c>
      <c r="H120" s="1408">
        <f>IF(Freianlagen!T138="ja",Freianlagen!J138,0)</f>
        <v>0</v>
      </c>
      <c r="I120" s="1409"/>
      <c r="J120" s="1437">
        <f>IF(Freianlagen!T138="ja",Freianlagen!R138,0)</f>
        <v>0</v>
      </c>
      <c r="K120" s="1438"/>
      <c r="L120" s="741"/>
      <c r="M120" s="741"/>
      <c r="T120" s="735"/>
      <c r="U120" s="734"/>
      <c r="V120" s="736"/>
    </row>
    <row r="121" spans="2:22" ht="14.55" x14ac:dyDescent="0.3">
      <c r="G121" s="682" t="s">
        <v>356</v>
      </c>
      <c r="H121" s="1408">
        <f>IF(Freianlagen!T139="ja",Freianlagen!J139,0)</f>
        <v>0</v>
      </c>
      <c r="I121" s="1409"/>
      <c r="J121" s="1437">
        <f>IF(Freianlagen!T139="ja",Freianlagen!R139,0)</f>
        <v>0</v>
      </c>
      <c r="K121" s="1438"/>
      <c r="L121" s="741"/>
      <c r="M121" s="741"/>
      <c r="T121" s="735"/>
      <c r="U121" s="734"/>
      <c r="V121" s="736"/>
    </row>
    <row r="122" spans="2:22" ht="14.55" x14ac:dyDescent="0.3">
      <c r="G122" s="683">
        <v>6</v>
      </c>
      <c r="H122" s="1408">
        <f>IF(Freianlagen!T142="ja",Freianlagen!J142,0)</f>
        <v>0</v>
      </c>
      <c r="I122" s="1409"/>
      <c r="J122" s="1437">
        <f>IF(Freianlagen!T142="ja",Freianlagen!L157,0)</f>
        <v>0</v>
      </c>
      <c r="K122" s="1438"/>
      <c r="L122" s="741"/>
      <c r="M122" s="741"/>
      <c r="T122" s="735"/>
      <c r="U122" s="734"/>
      <c r="V122" s="736"/>
    </row>
    <row r="123" spans="2:22" ht="14.55" x14ac:dyDescent="0.3">
      <c r="G123" s="683">
        <v>7</v>
      </c>
      <c r="H123" s="1408">
        <f>IF(Freianlagen!T158="ja",Freianlagen!J158,0)</f>
        <v>0</v>
      </c>
      <c r="I123" s="1409"/>
      <c r="J123" s="1437">
        <f>IF(Freianlagen!T158="ja",Freianlagen!L173,0)</f>
        <v>0</v>
      </c>
      <c r="K123" s="1438"/>
      <c r="L123" s="741"/>
      <c r="M123" s="741"/>
      <c r="T123" s="735"/>
      <c r="U123" s="734"/>
      <c r="V123" s="736"/>
    </row>
    <row r="124" spans="2:22" ht="14.55" x14ac:dyDescent="0.3">
      <c r="G124" s="683">
        <v>8</v>
      </c>
      <c r="H124" s="1408">
        <f>IF(Freianlagen!T174="ja",Freianlagen!J174,0)</f>
        <v>0</v>
      </c>
      <c r="I124" s="1409"/>
      <c r="J124" s="1437">
        <f>IF(Freianlagen!T174="ja",Freianlagen!L204,0)</f>
        <v>0</v>
      </c>
      <c r="K124" s="1438"/>
      <c r="L124" s="741"/>
      <c r="M124" s="741"/>
      <c r="T124" s="735"/>
      <c r="U124" s="734"/>
      <c r="V124" s="736"/>
    </row>
    <row r="125" spans="2:22" ht="15.2" thickBot="1" x14ac:dyDescent="0.35">
      <c r="G125" s="684">
        <v>9</v>
      </c>
      <c r="H125" s="1408">
        <f>IF(Freianlagen!T205="ja",Freianlagen!J205,0)</f>
        <v>0</v>
      </c>
      <c r="I125" s="1409"/>
      <c r="J125" s="1482">
        <f>IF(Freianlagen!T205="ja",Freianlagen!L214,0)</f>
        <v>0</v>
      </c>
      <c r="K125" s="1483"/>
      <c r="L125" s="741"/>
      <c r="M125" s="741"/>
      <c r="T125" s="735"/>
      <c r="U125" s="734"/>
      <c r="V125" s="736"/>
    </row>
    <row r="126" spans="2:22" ht="15.2" thickBot="1" x14ac:dyDescent="0.35">
      <c r="G126" s="685" t="s">
        <v>357</v>
      </c>
      <c r="H126" s="1433">
        <f>SUM(H112:I125)</f>
        <v>0</v>
      </c>
      <c r="I126" s="1434"/>
      <c r="J126" s="1439">
        <f>SUM(J112:K125)</f>
        <v>0</v>
      </c>
      <c r="K126" s="1440"/>
      <c r="L126" s="762"/>
      <c r="M126" s="762"/>
      <c r="T126" s="735"/>
      <c r="U126" s="734"/>
      <c r="V126" s="736"/>
    </row>
    <row r="127" spans="2:22" ht="14.25" customHeight="1" thickBot="1" x14ac:dyDescent="0.35">
      <c r="G127" s="685" t="s">
        <v>540</v>
      </c>
      <c r="H127" s="1431">
        <f>H126*Freianlagen!F21+H126</f>
        <v>0</v>
      </c>
      <c r="I127" s="1432"/>
      <c r="J127" s="740"/>
      <c r="T127" s="735"/>
      <c r="U127" s="734"/>
      <c r="V127" s="736"/>
    </row>
    <row r="128" spans="2:22" ht="14.55" x14ac:dyDescent="0.3">
      <c r="K128" s="741"/>
      <c r="T128" s="735"/>
      <c r="U128" s="734"/>
      <c r="V128" s="736"/>
    </row>
    <row r="129" spans="2:22" ht="15.2" thickBot="1" x14ac:dyDescent="0.35">
      <c r="T129" s="735"/>
      <c r="U129" s="734"/>
      <c r="V129" s="736"/>
    </row>
    <row r="130" spans="2:22" ht="15.2" thickBot="1" x14ac:dyDescent="0.35">
      <c r="B130" s="742" t="s">
        <v>105</v>
      </c>
      <c r="C130" s="689" t="s">
        <v>285</v>
      </c>
      <c r="D130" s="690" t="s">
        <v>286</v>
      </c>
      <c r="E130" s="690" t="s">
        <v>287</v>
      </c>
      <c r="F130" s="690" t="s">
        <v>288</v>
      </c>
      <c r="G130" s="690" t="s">
        <v>289</v>
      </c>
      <c r="H130" s="690" t="s">
        <v>290</v>
      </c>
      <c r="I130" s="690" t="s">
        <v>291</v>
      </c>
      <c r="J130" s="690" t="s">
        <v>292</v>
      </c>
      <c r="K130" s="690" t="s">
        <v>293</v>
      </c>
      <c r="L130" s="690" t="s">
        <v>294</v>
      </c>
      <c r="M130" s="690" t="s">
        <v>295</v>
      </c>
      <c r="N130" s="690" t="s">
        <v>296</v>
      </c>
      <c r="O130" s="690" t="s">
        <v>297</v>
      </c>
      <c r="P130" s="690" t="s">
        <v>359</v>
      </c>
      <c r="Q130" s="743" t="s">
        <v>360</v>
      </c>
      <c r="T130" s="735"/>
      <c r="U130" s="734"/>
      <c r="V130" s="736"/>
    </row>
    <row r="131" spans="2:22" ht="14.55" x14ac:dyDescent="0.3">
      <c r="B131" s="692">
        <f>IF(Überblick!$H$53&gt;=1,1,"")</f>
        <v>1</v>
      </c>
      <c r="C131" s="794">
        <f>IF($B131=Freianlagen!$U$37,Freianlagen!$J$37*Freianlagen!$F$21+Freianlagen!$J$37+Freianlagen!$L$47,0)</f>
        <v>0</v>
      </c>
      <c r="D131" s="745">
        <f>IF($B131=Freianlagen!$U$48,Freianlagen!$J$48*Freianlagen!$F$21+Freianlagen!$J$48+Freianlagen!$L$72,0)</f>
        <v>0</v>
      </c>
      <c r="E131" s="745">
        <f>IF($B131=Freianlagen!$U$76,Freianlagen!$J$76*Freianlagen!$F$21+Freianlagen!$J$76+Freianlagen!$L$99,0)</f>
        <v>0</v>
      </c>
      <c r="F131" s="745">
        <f>IF($B131=Freianlagen!$U$103,Freianlagen!$J$103*Freianlagen!$F$21+Freianlagen!$J$103+Freianlagen!$L$120,0)</f>
        <v>0</v>
      </c>
      <c r="G131" s="745">
        <f>IF($B131=Freianlagen!$U$121,Freianlagen!$J$121*Freianlagen!$F$21+Freianlagen!$J$121+Freianlagen!$R$121,0)</f>
        <v>0</v>
      </c>
      <c r="H131" s="745">
        <f>IF($B131=Freianlagen!$U$125,Freianlagen!$J$125*Freianlagen!$F$21+Freianlagen!$J$125+Freianlagen!$R$125,0)</f>
        <v>0</v>
      </c>
      <c r="I131" s="745">
        <f>IF($B131=Freianlagen!$U$127,Freianlagen!$J$127*Freianlagen!$F$21+Freianlagen!$J$127+Freianlagen!$R$127,0)</f>
        <v>0</v>
      </c>
      <c r="J131" s="745">
        <f>IF($B131=Freianlagen!$U$129,Freianlagen!$J$129*Freianlagen!$F$21+Freianlagen!$J$129+Freianlagen!$R$129+Freianlagen!$R$132+Freianlagen!$R$135,0)</f>
        <v>0</v>
      </c>
      <c r="K131" s="745">
        <f>IF($B131=Freianlagen!$U$138,Freianlagen!$J$138*Freianlagen!$F$21+Freianlagen!$J$138+Freianlagen!$R$138,0)</f>
        <v>0</v>
      </c>
      <c r="L131" s="745">
        <f>IF($B131=Freianlagen!$U$139,Freianlagen!$J$139*Freianlagen!$F$21+Freianlagen!$J$139+Freianlagen!$R$139,0)</f>
        <v>0</v>
      </c>
      <c r="M131" s="745">
        <f>IF($B131=Freianlagen!$U$142,Freianlagen!$J$142*Freianlagen!$F$21+Freianlagen!$J$142+Freianlagen!$L$157,0)</f>
        <v>0</v>
      </c>
      <c r="N131" s="745">
        <f>IF($B131=Freianlagen!$U$158,Freianlagen!$J$158*Freianlagen!$F$21+Freianlagen!$J$158+Freianlagen!$L$173,0)</f>
        <v>0</v>
      </c>
      <c r="O131" s="745">
        <f>IF($B131=Freianlagen!$U$174,Freianlagen!$J$174*Freianlagen!$F$21+Freianlagen!$J$174+Freianlagen!$L$204,0)</f>
        <v>0</v>
      </c>
      <c r="P131" s="745">
        <f>IF($B131=Freianlagen!$U$205,Freianlagen!$J$205*Freianlagen!$F$21+Freianlagen!$J$205+Freianlagen!$L$214,0)</f>
        <v>0</v>
      </c>
      <c r="Q131" s="795">
        <f t="shared" ref="Q131:Q138" si="8">SUM(C131:P131)</f>
        <v>0</v>
      </c>
      <c r="T131" s="735"/>
      <c r="U131" s="734"/>
      <c r="V131" s="736"/>
    </row>
    <row r="132" spans="2:22" ht="14.55" x14ac:dyDescent="0.3">
      <c r="B132" s="696">
        <f>IF(Überblick!$H$53&gt;=2,2,"")</f>
        <v>2</v>
      </c>
      <c r="C132" s="796">
        <f>IF($B132=Freianlagen!$U$37,Freianlagen!$J$37*Freianlagen!$F$21+Freianlagen!$J$37+Freianlagen!$L$47,0)</f>
        <v>0</v>
      </c>
      <c r="D132" s="749">
        <f>IF($B132=Freianlagen!$U$48,Freianlagen!$J$48*Freianlagen!$F$21+Freianlagen!$J$48+Freianlagen!$L$72,0)</f>
        <v>0</v>
      </c>
      <c r="E132" s="749">
        <f>IF($B132=Freianlagen!$U$76,Freianlagen!$J$76*Freianlagen!$F$21+Freianlagen!$J$76+Freianlagen!$L$99,0)</f>
        <v>0</v>
      </c>
      <c r="F132" s="749">
        <f>IF($B132=Freianlagen!$U$103,Freianlagen!$J$103*Freianlagen!$F$21+Freianlagen!$J$103+Freianlagen!$L$120,0)</f>
        <v>0</v>
      </c>
      <c r="G132" s="749">
        <f>IF($B132=Freianlagen!$U$121,Freianlagen!$J$121*Freianlagen!$F$21+Freianlagen!$J$121+Freianlagen!$R$121,0)</f>
        <v>0</v>
      </c>
      <c r="H132" s="749">
        <f>IF($B132=Freianlagen!$U$125,Freianlagen!$J$125*Freianlagen!$F$21+Freianlagen!$J$125+Freianlagen!$R$125,0)</f>
        <v>0</v>
      </c>
      <c r="I132" s="749">
        <f>IF($B132=Freianlagen!$U$127,Freianlagen!$J$127*Freianlagen!$F$21+Freianlagen!$J$127+Freianlagen!$R$127,0)</f>
        <v>0</v>
      </c>
      <c r="J132" s="749">
        <f>IF($B132=Freianlagen!$U$129,Freianlagen!$J$129*Freianlagen!$F$21+Freianlagen!$J$129+Freianlagen!$R$129+Freianlagen!$R$132+Freianlagen!$R$135,0)</f>
        <v>0</v>
      </c>
      <c r="K132" s="749">
        <f>IF($B132=Freianlagen!$U$138,Freianlagen!$J$138*Freianlagen!$F$21+Freianlagen!$J$138+Freianlagen!$R$138,0)</f>
        <v>0</v>
      </c>
      <c r="L132" s="749">
        <f>IF($B132=Freianlagen!$U$139,Freianlagen!$J$139*Freianlagen!$F$21+Freianlagen!$J$139+Freianlagen!$R$139,0)</f>
        <v>0</v>
      </c>
      <c r="M132" s="749">
        <f>IF($B132=Freianlagen!$U$142,Freianlagen!$J$142*Freianlagen!$F$21+Freianlagen!$J$142+Freianlagen!$L$157,0)</f>
        <v>0</v>
      </c>
      <c r="N132" s="749">
        <f>IF($B132=Freianlagen!$U$158,Freianlagen!$J$158*Freianlagen!$F$21+Freianlagen!$J$158+Freianlagen!$L$173,0)</f>
        <v>0</v>
      </c>
      <c r="O132" s="749">
        <f>IF($B132=Freianlagen!$U$174,Freianlagen!$J$174*Freianlagen!$F$21+Freianlagen!$J$174+Freianlagen!$L$204,0)</f>
        <v>0</v>
      </c>
      <c r="P132" s="749">
        <f>IF($B132=Freianlagen!$U$205,Freianlagen!$J$205*Freianlagen!$F$21+Freianlagen!$J$205+Freianlagen!$L$214,0)</f>
        <v>0</v>
      </c>
      <c r="Q132" s="797">
        <f t="shared" si="8"/>
        <v>0</v>
      </c>
      <c r="T132" s="735"/>
      <c r="U132" s="734"/>
      <c r="V132" s="736"/>
    </row>
    <row r="133" spans="2:22" ht="14.55" x14ac:dyDescent="0.3">
      <c r="B133" s="696">
        <f>IF(Überblick!$H$53&gt;=3,3,"")</f>
        <v>3</v>
      </c>
      <c r="C133" s="796">
        <f>IF($B133=Freianlagen!$U$37,Freianlagen!$J$37*Freianlagen!$F$21+Freianlagen!$J$37+Freianlagen!$L$47,0)</f>
        <v>0</v>
      </c>
      <c r="D133" s="749">
        <f>IF($B133=Freianlagen!$U$48,Freianlagen!$J$48*Freianlagen!$F$21+Freianlagen!$J$48+Freianlagen!$L$72,0)</f>
        <v>0</v>
      </c>
      <c r="E133" s="749">
        <f>IF($B133=Freianlagen!$U$76,Freianlagen!$J$76*Freianlagen!$F$21+Freianlagen!$J$76+Freianlagen!$L$99,0)</f>
        <v>0</v>
      </c>
      <c r="F133" s="749">
        <f>IF($B133=Freianlagen!$U$103,Freianlagen!$J$103*Freianlagen!$F$21+Freianlagen!$J$103+Freianlagen!$L$120,0)</f>
        <v>0</v>
      </c>
      <c r="G133" s="749">
        <f>IF($B133=Freianlagen!$U$121,Freianlagen!$J$121*Freianlagen!$F$21+Freianlagen!$J$121+Freianlagen!$R$121,0)</f>
        <v>0</v>
      </c>
      <c r="H133" s="749">
        <f>IF($B133=Freianlagen!$U$125,Freianlagen!$J$125*Freianlagen!$F$21+Freianlagen!$J$125+Freianlagen!$R$125,0)</f>
        <v>0</v>
      </c>
      <c r="I133" s="749">
        <f>IF($B133=Freianlagen!$U$127,Freianlagen!$J$127*Freianlagen!$F$21+Freianlagen!$J$127+Freianlagen!$R$127,0)</f>
        <v>0</v>
      </c>
      <c r="J133" s="749">
        <f>IF($B133=Freianlagen!$U$129,Freianlagen!$J$129*Freianlagen!$F$21+Freianlagen!$J$129+Freianlagen!$R$129+Freianlagen!$R$132+Freianlagen!$R$135,0)</f>
        <v>0</v>
      </c>
      <c r="K133" s="749">
        <f>IF($B133=Freianlagen!$U$138,Freianlagen!$J$138*Freianlagen!$F$21+Freianlagen!$J$138+Freianlagen!$R$138,0)</f>
        <v>0</v>
      </c>
      <c r="L133" s="749">
        <f>IF($B133=Freianlagen!$U$139,Freianlagen!$J$139*Freianlagen!$F$21+Freianlagen!$J$139+Freianlagen!$R$139,0)</f>
        <v>0</v>
      </c>
      <c r="M133" s="749">
        <f>IF($B133=Freianlagen!$U$142,Freianlagen!$J$142*Freianlagen!$F$21+Freianlagen!$J$142+Freianlagen!$L$157,0)</f>
        <v>0</v>
      </c>
      <c r="N133" s="749">
        <f>IF($B133=Freianlagen!$U$158,Freianlagen!$J$158*Freianlagen!$F$21+Freianlagen!$J$158+Freianlagen!$L$173,0)</f>
        <v>0</v>
      </c>
      <c r="O133" s="749">
        <f>IF($B133=Freianlagen!$U$174,Freianlagen!$J$174*Freianlagen!$F$21+Freianlagen!$J$174+Freianlagen!$L$204,0)</f>
        <v>0</v>
      </c>
      <c r="P133" s="749">
        <f>IF($B133=Freianlagen!$U$205,Freianlagen!$J$205*Freianlagen!$F$21+Freianlagen!$J$205+Freianlagen!$L$214,0)</f>
        <v>0</v>
      </c>
      <c r="Q133" s="797">
        <f t="shared" si="8"/>
        <v>0</v>
      </c>
      <c r="T133" s="735"/>
      <c r="U133" s="734"/>
      <c r="V133" s="736"/>
    </row>
    <row r="134" spans="2:22" ht="14.55" x14ac:dyDescent="0.3">
      <c r="B134" s="696">
        <f>IF(Überblick!$H$53&gt;=4,4,"")</f>
        <v>4</v>
      </c>
      <c r="C134" s="796">
        <f>IF($B134=Freianlagen!$U$37,Freianlagen!$J$37*Freianlagen!$F$21+Freianlagen!$J$37+Freianlagen!$L$47,0)</f>
        <v>0</v>
      </c>
      <c r="D134" s="749">
        <f>IF($B134=Freianlagen!$U$48,Freianlagen!$J$48*Freianlagen!$F$21+Freianlagen!$J$48+Freianlagen!$L$72,0)</f>
        <v>0</v>
      </c>
      <c r="E134" s="749">
        <f>IF($B134=Freianlagen!$U$76,Freianlagen!$J$76*Freianlagen!$F$21+Freianlagen!$J$76+Freianlagen!$L$99,0)</f>
        <v>0</v>
      </c>
      <c r="F134" s="749">
        <f>IF($B134=Freianlagen!$U$103,Freianlagen!$J$103*Freianlagen!$F$21+Freianlagen!$J$103+Freianlagen!$L$120,0)</f>
        <v>0</v>
      </c>
      <c r="G134" s="749">
        <f>IF($B134=Freianlagen!$U$121,Freianlagen!$J$121*Freianlagen!$F$21+Freianlagen!$J$121+Freianlagen!$R$121,0)</f>
        <v>0</v>
      </c>
      <c r="H134" s="749">
        <f>IF($B134=Freianlagen!$U$125,Freianlagen!$J$125*Freianlagen!$F$21+Freianlagen!$J$125+Freianlagen!$R$125,0)</f>
        <v>0</v>
      </c>
      <c r="I134" s="749">
        <f>IF($B134=Freianlagen!$U$127,Freianlagen!$J$127*Freianlagen!$F$21+Freianlagen!$J$127+Freianlagen!$R$127,0)</f>
        <v>0</v>
      </c>
      <c r="J134" s="749">
        <f>IF($B134=Freianlagen!$U$129,Freianlagen!$J$129*Freianlagen!$F$21+Freianlagen!$J$129+Freianlagen!$R$129+Freianlagen!$R$132+Freianlagen!$R$135,0)</f>
        <v>0</v>
      </c>
      <c r="K134" s="749">
        <f>IF($B134=Freianlagen!$U$138,Freianlagen!$J$138*Freianlagen!$F$21+Freianlagen!$J$138+Freianlagen!$R$138,0)</f>
        <v>0</v>
      </c>
      <c r="L134" s="749">
        <f>IF($B134=Freianlagen!$U$139,Freianlagen!$J$139*Freianlagen!$F$21+Freianlagen!$J$139+Freianlagen!$R$139,0)</f>
        <v>0</v>
      </c>
      <c r="M134" s="749">
        <f>IF($B134=Freianlagen!$U$142,Freianlagen!$J$142*Freianlagen!$F$21+Freianlagen!$J$142+Freianlagen!$L$157,0)</f>
        <v>0</v>
      </c>
      <c r="N134" s="749">
        <f>IF($B134=Freianlagen!$U$158,Freianlagen!$J$158*Freianlagen!$F$21+Freianlagen!$J$158+Freianlagen!$L$173,0)</f>
        <v>0</v>
      </c>
      <c r="O134" s="749">
        <f>IF($B134=Freianlagen!$U$174,Freianlagen!$J$174*Freianlagen!$F$21+Freianlagen!$J$174+Freianlagen!$L$204,0)</f>
        <v>0</v>
      </c>
      <c r="P134" s="749">
        <f>IF($B134=Freianlagen!$U$205,Freianlagen!$J$205*Freianlagen!$F$21+Freianlagen!$J$205+Freianlagen!$L$214,0)</f>
        <v>0</v>
      </c>
      <c r="Q134" s="797">
        <f>SUM(C134:P134)</f>
        <v>0</v>
      </c>
      <c r="T134" s="735"/>
      <c r="U134" s="734"/>
      <c r="V134" s="736"/>
    </row>
    <row r="135" spans="2:22" ht="14.55" x14ac:dyDescent="0.3">
      <c r="B135" s="696">
        <f>IF(Überblick!$H$53&gt;=5,5,"")</f>
        <v>5</v>
      </c>
      <c r="C135" s="796">
        <f>IF($B135=Freianlagen!$U$37,Freianlagen!$J$37*Freianlagen!$F$21+Freianlagen!$J$37+Freianlagen!$L$47,0)</f>
        <v>0</v>
      </c>
      <c r="D135" s="749">
        <f>IF($B135=Freianlagen!$U$48,Freianlagen!$J$48*Freianlagen!$F$21+Freianlagen!$J$48+Freianlagen!$L$72,0)</f>
        <v>0</v>
      </c>
      <c r="E135" s="749">
        <f>IF($B135=Freianlagen!$U$76,Freianlagen!$J$76*Freianlagen!$F$21+Freianlagen!$J$76+Freianlagen!$L$99,0)</f>
        <v>0</v>
      </c>
      <c r="F135" s="749">
        <f>IF($B135=Freianlagen!$U$103,Freianlagen!$J$103*Freianlagen!$F$21+Freianlagen!$J$103+Freianlagen!$L$120,0)</f>
        <v>0</v>
      </c>
      <c r="G135" s="749">
        <f>IF($B135=Freianlagen!$U$121,Freianlagen!$J$121*Freianlagen!$F$21+Freianlagen!$J$121+Freianlagen!$R$121,0)</f>
        <v>0</v>
      </c>
      <c r="H135" s="749">
        <f>IF($B135=Freianlagen!$U$125,Freianlagen!$J$125*Freianlagen!$F$21+Freianlagen!$J$125+Freianlagen!$R$125,0)</f>
        <v>0</v>
      </c>
      <c r="I135" s="749">
        <f>IF($B135=Freianlagen!$U$127,Freianlagen!$J$127*Freianlagen!$F$21+Freianlagen!$J$127+Freianlagen!$R$127,0)</f>
        <v>0</v>
      </c>
      <c r="J135" s="749">
        <f>IF($B135=Freianlagen!$U$129,Freianlagen!$J$129*Freianlagen!$F$21+Freianlagen!$J$129+Freianlagen!$R$129+Freianlagen!$R$132+Freianlagen!$R$135,0)</f>
        <v>0</v>
      </c>
      <c r="K135" s="749">
        <f>IF($B135=Freianlagen!$U$138,Freianlagen!$J$138*Freianlagen!$F$21+Freianlagen!$J$138+Freianlagen!$R$138,0)</f>
        <v>0</v>
      </c>
      <c r="L135" s="749">
        <f>IF($B135=Freianlagen!$U$139,Freianlagen!$J$139*Freianlagen!$F$21+Freianlagen!$J$139+Freianlagen!$R$139,0)</f>
        <v>0</v>
      </c>
      <c r="M135" s="749">
        <f>IF($B135=Freianlagen!$U$142,Freianlagen!$J$142*Freianlagen!$F$21+Freianlagen!$J$142+Freianlagen!$L$157,0)</f>
        <v>0</v>
      </c>
      <c r="N135" s="749">
        <f>IF($B135=Freianlagen!$U$158,Freianlagen!$J$158*Freianlagen!$F$21+Freianlagen!$J$158+Freianlagen!$L$173,0)</f>
        <v>0</v>
      </c>
      <c r="O135" s="749">
        <f>IF($B135=Freianlagen!$U$174,Freianlagen!$J$174*Freianlagen!$F$21+Freianlagen!$J$174+Freianlagen!$L$204,0)</f>
        <v>0</v>
      </c>
      <c r="P135" s="749">
        <f>IF($B135=Freianlagen!$U$205,Freianlagen!$J$205*Freianlagen!$F$21+Freianlagen!$J$205+Freianlagen!$L$214,0)</f>
        <v>0</v>
      </c>
      <c r="Q135" s="797">
        <f t="shared" si="8"/>
        <v>0</v>
      </c>
      <c r="T135" s="735"/>
      <c r="U135" s="734"/>
      <c r="V135" s="736"/>
    </row>
    <row r="136" spans="2:22" ht="14.55" x14ac:dyDescent="0.3">
      <c r="B136" s="696">
        <f>IF(Überblick!$H$53&gt;=6,6,"")</f>
        <v>6</v>
      </c>
      <c r="C136" s="796">
        <f>IF($B136=Freianlagen!$U$37,Freianlagen!$J$37*Freianlagen!$F$21+Freianlagen!$J$37+Freianlagen!$L$47,0)</f>
        <v>0</v>
      </c>
      <c r="D136" s="749">
        <f>IF($B136=Freianlagen!$U$48,Freianlagen!$J$48*Freianlagen!$F$21+Freianlagen!$J$48+Freianlagen!$L$72,0)</f>
        <v>0</v>
      </c>
      <c r="E136" s="749">
        <f>IF($B136=Freianlagen!$U$76,Freianlagen!$J$76*Freianlagen!$F$21+Freianlagen!$J$76+Freianlagen!$L$99,0)</f>
        <v>0</v>
      </c>
      <c r="F136" s="749">
        <f>IF($B136=Freianlagen!$U$103,Freianlagen!$J$103*Freianlagen!$F$21+Freianlagen!$J$103+Freianlagen!$L$120,0)</f>
        <v>0</v>
      </c>
      <c r="G136" s="749">
        <f>IF($B136=Freianlagen!$U$121,Freianlagen!$J$121*Freianlagen!$F$21+Freianlagen!$J$121+Freianlagen!$R$121,0)</f>
        <v>0</v>
      </c>
      <c r="H136" s="749">
        <f>IF($B136=Freianlagen!$U$125,Freianlagen!$J$125*Freianlagen!$F$21+Freianlagen!$J$125+Freianlagen!$R$125,0)</f>
        <v>0</v>
      </c>
      <c r="I136" s="749">
        <f>IF($B136=Freianlagen!$U$127,Freianlagen!$J$127*Freianlagen!$F$21+Freianlagen!$J$127+Freianlagen!$R$127,0)</f>
        <v>0</v>
      </c>
      <c r="J136" s="749">
        <f>IF($B136=Freianlagen!$U$129,Freianlagen!$J$129*Freianlagen!$F$21+Freianlagen!$J$129+Freianlagen!$R$129+Freianlagen!$R$132+Freianlagen!$R$135,0)</f>
        <v>0</v>
      </c>
      <c r="K136" s="749">
        <f>IF($B136=Freianlagen!$U$138,Freianlagen!$J$138*Freianlagen!$F$21+Freianlagen!$J$138+Freianlagen!$R$138,0)</f>
        <v>0</v>
      </c>
      <c r="L136" s="749">
        <f>IF($B136=Freianlagen!$U$139,Freianlagen!$J$139*Freianlagen!$F$21+Freianlagen!$J$139+Freianlagen!$R$139,0)</f>
        <v>0</v>
      </c>
      <c r="M136" s="749">
        <f>IF($B136=Freianlagen!$U$142,Freianlagen!$J$142*Freianlagen!$F$21+Freianlagen!$J$142+Freianlagen!$L$157,0)</f>
        <v>0</v>
      </c>
      <c r="N136" s="749">
        <f>IF($B136=Freianlagen!$U$158,Freianlagen!$J$158*Freianlagen!$F$21+Freianlagen!$J$158+Freianlagen!$L$173,0)</f>
        <v>0</v>
      </c>
      <c r="O136" s="749">
        <f>IF($B136=Freianlagen!$U$174,Freianlagen!$J$174*Freianlagen!$F$21+Freianlagen!$J$174+Freianlagen!$L$204,0)</f>
        <v>0</v>
      </c>
      <c r="P136" s="749">
        <f>IF($B136=Freianlagen!$U$205,Freianlagen!$J$205*Freianlagen!$F$21+Freianlagen!$J$205+Freianlagen!$L$214,0)</f>
        <v>0</v>
      </c>
      <c r="Q136" s="797">
        <f t="shared" si="8"/>
        <v>0</v>
      </c>
      <c r="T136" s="735"/>
      <c r="U136" s="734"/>
      <c r="V136" s="736"/>
    </row>
    <row r="137" spans="2:22" ht="14.55" x14ac:dyDescent="0.3">
      <c r="B137" s="696" t="str">
        <f>IF(Überblick!$H$53&gt;=7,7,"")</f>
        <v/>
      </c>
      <c r="C137" s="796">
        <f>IF($B137=Freianlagen!$U$37,Freianlagen!$J$37*Freianlagen!$F$21+Freianlagen!$J$37+Freianlagen!$L$47,0)</f>
        <v>0</v>
      </c>
      <c r="D137" s="749">
        <f>IF($B137=Freianlagen!$U$48,Freianlagen!$J$48*Freianlagen!$F$21+Freianlagen!$J$48+Freianlagen!$L$72,0)</f>
        <v>0</v>
      </c>
      <c r="E137" s="749">
        <f>IF($B137=Freianlagen!$U$76,Freianlagen!$J$76*Freianlagen!$F$21+Freianlagen!$J$76+Freianlagen!$L$99,0)</f>
        <v>0</v>
      </c>
      <c r="F137" s="749">
        <f>IF($B137=Freianlagen!$U$103,Freianlagen!$J$103*Freianlagen!$F$21+Freianlagen!$J$103+Freianlagen!$L$120,0)</f>
        <v>0</v>
      </c>
      <c r="G137" s="749">
        <f>IF($B137=Freianlagen!$U$121,Freianlagen!$J$121*Freianlagen!$F$21+Freianlagen!$J$121+Freianlagen!$R$121,0)</f>
        <v>0</v>
      </c>
      <c r="H137" s="749">
        <f>IF($B137=Freianlagen!$U$125,Freianlagen!$J$125*Freianlagen!$F$21+Freianlagen!$J$125+Freianlagen!$R$125,0)</f>
        <v>0</v>
      </c>
      <c r="I137" s="749">
        <f>IF($B137=Freianlagen!$U$127,Freianlagen!$J$127*Freianlagen!$F$21+Freianlagen!$J$127+Freianlagen!$R$127,0)</f>
        <v>0</v>
      </c>
      <c r="J137" s="749">
        <f>IF($B137=Freianlagen!$U$129,Freianlagen!$J$129*Freianlagen!$F$21+Freianlagen!$J$129+Freianlagen!$R$129+Freianlagen!$R$132+Freianlagen!$R$135,0)</f>
        <v>0</v>
      </c>
      <c r="K137" s="749">
        <f>IF($B137=Freianlagen!$U$138,Freianlagen!$J$138*Freianlagen!$F$21+Freianlagen!$J$138+Freianlagen!$R$138,0)</f>
        <v>0</v>
      </c>
      <c r="L137" s="749">
        <f>IF($B137=Freianlagen!$U$139,Freianlagen!$J$139*Freianlagen!$F$21+Freianlagen!$J$139+Freianlagen!$R$139,0)</f>
        <v>0</v>
      </c>
      <c r="M137" s="749">
        <f>IF($B137=Freianlagen!$U$142,Freianlagen!$J$142*Freianlagen!$F$21+Freianlagen!$J$142+Freianlagen!$L$157,0)</f>
        <v>0</v>
      </c>
      <c r="N137" s="749">
        <f>IF($B137=Freianlagen!$U$158,Freianlagen!$J$158*Freianlagen!$F$21+Freianlagen!$J$158+Freianlagen!$L$173,0)</f>
        <v>0</v>
      </c>
      <c r="O137" s="749">
        <f>IF($B137=Freianlagen!$U$174,Freianlagen!$J$174*Freianlagen!$F$21+Freianlagen!$J$174+Freianlagen!$L$204,0)</f>
        <v>0</v>
      </c>
      <c r="P137" s="749">
        <f>IF($B137=Freianlagen!$U$205,Freianlagen!$J$205*Freianlagen!$F$21+Freianlagen!$J$205+Freianlagen!$L$214,0)</f>
        <v>0</v>
      </c>
      <c r="Q137" s="797">
        <f t="shared" si="8"/>
        <v>0</v>
      </c>
      <c r="T137" s="735"/>
      <c r="U137" s="734"/>
      <c r="V137" s="736"/>
    </row>
    <row r="138" spans="2:22" ht="14.55" x14ac:dyDescent="0.3">
      <c r="B138" s="696" t="str">
        <f>IF(Überblick!$H$53&gt;=8,8,"")</f>
        <v/>
      </c>
      <c r="C138" s="796">
        <f>IF($B138=Freianlagen!$U$37,Freianlagen!$J$37*Freianlagen!$F$21+Freianlagen!$J$37+Freianlagen!$L$47,0)</f>
        <v>0</v>
      </c>
      <c r="D138" s="749">
        <f>IF($B138=Freianlagen!$U$48,Freianlagen!$J$48*Freianlagen!$F$21+Freianlagen!$J$48+Freianlagen!$L$72,0)</f>
        <v>0</v>
      </c>
      <c r="E138" s="749">
        <f>IF($B138=Freianlagen!$U$76,Freianlagen!$J$76*Freianlagen!$F$21+Freianlagen!$J$76+Freianlagen!$L$99,0)</f>
        <v>0</v>
      </c>
      <c r="F138" s="749">
        <f>IF($B138=Freianlagen!$U$103,Freianlagen!$J$103*Freianlagen!$F$21+Freianlagen!$J$103+Freianlagen!$L$120,0)</f>
        <v>0</v>
      </c>
      <c r="G138" s="749">
        <f>IF($B138=Freianlagen!$U$121,Freianlagen!$J$121*Freianlagen!$F$21+Freianlagen!$J$121+Freianlagen!$R$121,0)</f>
        <v>0</v>
      </c>
      <c r="H138" s="749">
        <f>IF($B138=Freianlagen!$U$125,Freianlagen!$J$125*Freianlagen!$F$21+Freianlagen!$J$125+Freianlagen!$R$125,0)</f>
        <v>0</v>
      </c>
      <c r="I138" s="749">
        <f>IF($B138=Freianlagen!$U$127,Freianlagen!$J$127*Freianlagen!$F$21+Freianlagen!$J$127+Freianlagen!$R$127,0)</f>
        <v>0</v>
      </c>
      <c r="J138" s="749">
        <f>IF($B138=Freianlagen!$U$129,Freianlagen!$J$129*Freianlagen!$F$21+Freianlagen!$J$129+Freianlagen!$R$129+Freianlagen!$R$132+Freianlagen!$R$135,0)</f>
        <v>0</v>
      </c>
      <c r="K138" s="749">
        <f>IF($B138=Freianlagen!$U$138,Freianlagen!$J$138*Freianlagen!$F$21+Freianlagen!$J$138+Freianlagen!$R$138,0)</f>
        <v>0</v>
      </c>
      <c r="L138" s="749">
        <f>IF($B138=Freianlagen!$U$139,Freianlagen!$J$139*Freianlagen!$F$21+Freianlagen!$J$139+Freianlagen!$R$139,0)</f>
        <v>0</v>
      </c>
      <c r="M138" s="749">
        <f>IF($B138=Freianlagen!$U$142,Freianlagen!$J$142*Freianlagen!$F$21+Freianlagen!$J$142+Freianlagen!$L$157,0)</f>
        <v>0</v>
      </c>
      <c r="N138" s="749">
        <f>IF($B138=Freianlagen!$U$158,Freianlagen!$J$158*Freianlagen!$F$21+Freianlagen!$J$158+Freianlagen!$L$173,0)</f>
        <v>0</v>
      </c>
      <c r="O138" s="749">
        <f>IF($B138=Freianlagen!$U$174,Freianlagen!$J$174*Freianlagen!$F$21+Freianlagen!$J$174+Freianlagen!$L$204,0)</f>
        <v>0</v>
      </c>
      <c r="P138" s="749">
        <f>IF($B138=Freianlagen!$U$205,Freianlagen!$J$205*Freianlagen!$F$21+Freianlagen!$J$205+Freianlagen!$L$214,0)</f>
        <v>0</v>
      </c>
      <c r="Q138" s="797">
        <f t="shared" si="8"/>
        <v>0</v>
      </c>
      <c r="T138" s="735"/>
      <c r="U138" s="734"/>
      <c r="V138" s="736"/>
    </row>
    <row r="139" spans="2:22" ht="15.2" thickBot="1" x14ac:dyDescent="0.35">
      <c r="B139" s="700" t="str">
        <f>IF(Überblick!$H$53&gt;=9,9,"")</f>
        <v/>
      </c>
      <c r="C139" s="798">
        <f>IF($B139=Freianlagen!$U$37,Freianlagen!$J$37*Freianlagen!$F$21+Freianlagen!$J$37+Freianlagen!$L$47,0)</f>
        <v>0</v>
      </c>
      <c r="D139" s="754">
        <f>IF($B139=Freianlagen!$U$48,Freianlagen!$J$48*Freianlagen!$F$21+Freianlagen!$J$48+Freianlagen!$L$72,0)</f>
        <v>0</v>
      </c>
      <c r="E139" s="754">
        <f>IF($B139=Freianlagen!$U$76,Freianlagen!$J$76*Freianlagen!$F$21+Freianlagen!$J$76+Freianlagen!$L$99,0)</f>
        <v>0</v>
      </c>
      <c r="F139" s="754">
        <f>IF($B139=Freianlagen!$U$103,Freianlagen!$J$103*Freianlagen!$F$21+Freianlagen!$J$103+Freianlagen!$L$120,0)</f>
        <v>0</v>
      </c>
      <c r="G139" s="754">
        <f>IF($B139=Freianlagen!$U$121,Freianlagen!$J$121*Freianlagen!$F$21+Freianlagen!$J$121+Freianlagen!$R$121,0)</f>
        <v>0</v>
      </c>
      <c r="H139" s="754">
        <f>IF($B139=Freianlagen!$U$125,Freianlagen!$J$125*Freianlagen!$F$21+Freianlagen!$J$125+Freianlagen!$R$125,0)</f>
        <v>0</v>
      </c>
      <c r="I139" s="754">
        <f>IF($B139=Freianlagen!$U$127,Freianlagen!$J$127*Freianlagen!$F$21+Freianlagen!$J$127+Freianlagen!$R$127,0)</f>
        <v>0</v>
      </c>
      <c r="J139" s="754">
        <f>IF($B139=Freianlagen!$U$129,Freianlagen!$J$129*Freianlagen!$F$21+Freianlagen!$J$129+Freianlagen!$R$129+Freianlagen!$R$132+Freianlagen!$R$135,0)</f>
        <v>0</v>
      </c>
      <c r="K139" s="754">
        <f>IF($B139=Freianlagen!$U$138,Freianlagen!$J$138*Freianlagen!$F$21+Freianlagen!$J$138+Freianlagen!$R$138,0)</f>
        <v>0</v>
      </c>
      <c r="L139" s="754">
        <f>IF($B139=Freianlagen!$U$139,Freianlagen!$J$139*Freianlagen!$F$21+Freianlagen!$J$139+Freianlagen!$R$139,0)</f>
        <v>0</v>
      </c>
      <c r="M139" s="754">
        <f>IF($B139=Freianlagen!$U$142,Freianlagen!$J$142*Freianlagen!$F$21+Freianlagen!$J$142+Freianlagen!$L$157,0)</f>
        <v>0</v>
      </c>
      <c r="N139" s="754">
        <f>IF($B139=Freianlagen!$U$158,Freianlagen!$J$158*Freianlagen!$F$21+Freianlagen!$J$158+Freianlagen!$L$173,0)</f>
        <v>0</v>
      </c>
      <c r="O139" s="754">
        <f>IF($B139=Freianlagen!$U$174,Freianlagen!$J$174*Freianlagen!$F$21+Freianlagen!$J$174+Freianlagen!$L$204,0)</f>
        <v>0</v>
      </c>
      <c r="P139" s="754">
        <f>IF($B139=Freianlagen!$U$205,Freianlagen!$J$205*Freianlagen!$F$21+Freianlagen!$J$205+Freianlagen!$L$214,0)</f>
        <v>0</v>
      </c>
      <c r="Q139" s="799">
        <f t="shared" ref="Q139" si="9">SUM(C139:P139)</f>
        <v>0</v>
      </c>
      <c r="T139" s="735"/>
      <c r="U139" s="734"/>
      <c r="V139" s="736"/>
    </row>
    <row r="140" spans="2:22" ht="15.2" thickBot="1" x14ac:dyDescent="0.35">
      <c r="Q140" s="800">
        <f>SUM(Q131:Q139)</f>
        <v>0</v>
      </c>
      <c r="T140" s="735"/>
      <c r="U140" s="734"/>
      <c r="V140" s="736"/>
    </row>
    <row r="141" spans="2:22" ht="14.55" x14ac:dyDescent="0.3">
      <c r="T141" s="735"/>
      <c r="U141" s="734"/>
      <c r="V141" s="736"/>
    </row>
    <row r="142" spans="2:22" ht="14.55" x14ac:dyDescent="0.3">
      <c r="T142" s="735"/>
      <c r="U142" s="734"/>
      <c r="V142" s="736"/>
    </row>
    <row r="143" spans="2:22" ht="14.55" x14ac:dyDescent="0.3">
      <c r="T143" s="735"/>
      <c r="U143" s="734"/>
      <c r="V143" s="736"/>
    </row>
    <row r="144" spans="2:22" ht="14.55" x14ac:dyDescent="0.3">
      <c r="T144" s="735"/>
      <c r="U144" s="734"/>
      <c r="V144" s="736"/>
    </row>
    <row r="145" spans="20:22" ht="14.55" x14ac:dyDescent="0.3">
      <c r="T145" s="735"/>
      <c r="U145" s="734"/>
      <c r="V145" s="736"/>
    </row>
    <row r="146" spans="20:22" ht="14.55" x14ac:dyDescent="0.3">
      <c r="T146" s="735"/>
      <c r="U146" s="734"/>
      <c r="V146" s="736"/>
    </row>
    <row r="147" spans="20:22" ht="14.55" x14ac:dyDescent="0.3">
      <c r="T147" s="735"/>
      <c r="U147" s="734"/>
      <c r="V147" s="736"/>
    </row>
    <row r="148" spans="20:22" ht="14.55" x14ac:dyDescent="0.3">
      <c r="T148" s="735"/>
      <c r="U148" s="734"/>
      <c r="V148" s="736"/>
    </row>
    <row r="149" spans="20:22" ht="14.55" x14ac:dyDescent="0.3">
      <c r="T149" s="735"/>
      <c r="U149" s="734"/>
      <c r="V149" s="736"/>
    </row>
    <row r="150" spans="20:22" ht="14.55" x14ac:dyDescent="0.3">
      <c r="T150" s="735"/>
      <c r="U150" s="734"/>
      <c r="V150" s="736"/>
    </row>
    <row r="151" spans="20:22" ht="14.55" x14ac:dyDescent="0.3">
      <c r="T151" s="735"/>
      <c r="U151" s="734"/>
      <c r="V151" s="736"/>
    </row>
    <row r="152" spans="20:22" ht="14.55" x14ac:dyDescent="0.3">
      <c r="T152" s="735"/>
      <c r="U152" s="734"/>
      <c r="V152" s="736"/>
    </row>
    <row r="153" spans="20:22" ht="14.55" x14ac:dyDescent="0.3">
      <c r="T153" s="735"/>
      <c r="U153" s="734"/>
      <c r="V153" s="736"/>
    </row>
    <row r="154" spans="20:22" ht="14.55" x14ac:dyDescent="0.3">
      <c r="T154" s="735"/>
      <c r="U154" s="734"/>
      <c r="V154" s="736"/>
    </row>
    <row r="155" spans="20:22" ht="14.55" x14ac:dyDescent="0.3">
      <c r="T155" s="735"/>
      <c r="U155" s="734"/>
      <c r="V155" s="736"/>
    </row>
    <row r="156" spans="20:22" ht="14.55" x14ac:dyDescent="0.3">
      <c r="T156" s="735"/>
      <c r="U156" s="734"/>
      <c r="V156" s="736"/>
    </row>
    <row r="157" spans="20:22" ht="14.55" x14ac:dyDescent="0.3">
      <c r="T157" s="735"/>
      <c r="U157" s="734"/>
      <c r="V157" s="736"/>
    </row>
    <row r="158" spans="20:22" ht="14.55" x14ac:dyDescent="0.3">
      <c r="T158" s="735"/>
      <c r="U158" s="734"/>
      <c r="V158" s="736"/>
    </row>
    <row r="159" spans="20:22" ht="14.55" x14ac:dyDescent="0.3">
      <c r="T159" s="735"/>
      <c r="U159" s="734"/>
      <c r="V159" s="736"/>
    </row>
    <row r="160" spans="20:22" ht="14.55" x14ac:dyDescent="0.3">
      <c r="T160" s="735"/>
      <c r="U160" s="734"/>
      <c r="V160" s="736"/>
    </row>
    <row r="161" spans="20:22" ht="14.55" x14ac:dyDescent="0.3">
      <c r="T161" s="735"/>
      <c r="U161" s="734"/>
      <c r="V161" s="736"/>
    </row>
    <row r="162" spans="20:22" ht="14.55" x14ac:dyDescent="0.3">
      <c r="T162" s="735"/>
      <c r="U162" s="734"/>
      <c r="V162" s="736"/>
    </row>
    <row r="163" spans="20:22" ht="14.55" x14ac:dyDescent="0.3">
      <c r="T163" s="735"/>
      <c r="U163" s="734"/>
      <c r="V163" s="736"/>
    </row>
    <row r="164" spans="20:22" ht="14.55" x14ac:dyDescent="0.3">
      <c r="T164" s="735"/>
      <c r="U164" s="734"/>
      <c r="V164" s="736"/>
    </row>
    <row r="165" spans="20:22" ht="14.55" x14ac:dyDescent="0.3">
      <c r="T165" s="735"/>
      <c r="U165" s="734"/>
      <c r="V165" s="736"/>
    </row>
    <row r="166" spans="20:22" ht="14.55" x14ac:dyDescent="0.3">
      <c r="T166" s="735"/>
      <c r="U166" s="734"/>
      <c r="V166" s="736"/>
    </row>
    <row r="167" spans="20:22" ht="14.55" x14ac:dyDescent="0.3">
      <c r="T167" s="735"/>
      <c r="U167" s="734"/>
      <c r="V167" s="736"/>
    </row>
    <row r="168" spans="20:22" ht="14.55" x14ac:dyDescent="0.3">
      <c r="T168" s="735"/>
      <c r="U168" s="734"/>
      <c r="V168" s="736"/>
    </row>
    <row r="169" spans="20:22" ht="14.55" x14ac:dyDescent="0.3">
      <c r="T169" s="735"/>
      <c r="U169" s="734"/>
      <c r="V169" s="736"/>
    </row>
    <row r="170" spans="20:22" ht="14.55" x14ac:dyDescent="0.3">
      <c r="T170" s="735"/>
      <c r="U170" s="734"/>
      <c r="V170" s="736"/>
    </row>
    <row r="171" spans="20:22" ht="14.55" x14ac:dyDescent="0.3">
      <c r="T171" s="735"/>
      <c r="U171" s="734"/>
      <c r="V171" s="736"/>
    </row>
    <row r="172" spans="20:22" ht="14.55" x14ac:dyDescent="0.3">
      <c r="T172" s="735"/>
      <c r="U172" s="734"/>
      <c r="V172" s="736"/>
    </row>
    <row r="173" spans="20:22" ht="14.55" x14ac:dyDescent="0.3">
      <c r="T173" s="735"/>
      <c r="U173" s="734"/>
      <c r="V173" s="736"/>
    </row>
    <row r="174" spans="20:22" ht="14.55" x14ac:dyDescent="0.3">
      <c r="T174" s="735"/>
      <c r="U174" s="734"/>
      <c r="V174" s="736"/>
    </row>
    <row r="175" spans="20:22" ht="14.55" x14ac:dyDescent="0.3">
      <c r="T175" s="735"/>
      <c r="U175" s="734"/>
      <c r="V175" s="736"/>
    </row>
    <row r="176" spans="20:22" ht="14.55" x14ac:dyDescent="0.3">
      <c r="T176" s="735"/>
      <c r="U176" s="734"/>
      <c r="V176" s="736"/>
    </row>
    <row r="177" spans="20:22" ht="14.55" x14ac:dyDescent="0.3">
      <c r="T177" s="735"/>
      <c r="U177" s="734"/>
      <c r="V177" s="736"/>
    </row>
    <row r="178" spans="20:22" ht="14.55" x14ac:dyDescent="0.3">
      <c r="T178" s="735"/>
      <c r="U178" s="734"/>
      <c r="V178" s="736"/>
    </row>
    <row r="179" spans="20:22" ht="14.55" x14ac:dyDescent="0.3">
      <c r="T179" s="735"/>
      <c r="U179" s="734"/>
      <c r="V179" s="736"/>
    </row>
    <row r="180" spans="20:22" ht="14.55" x14ac:dyDescent="0.3">
      <c r="T180" s="735"/>
      <c r="U180" s="734"/>
      <c r="V180" s="736"/>
    </row>
    <row r="181" spans="20:22" ht="14.55" x14ac:dyDescent="0.3">
      <c r="T181" s="735"/>
      <c r="U181" s="734"/>
      <c r="V181" s="736"/>
    </row>
    <row r="182" spans="20:22" ht="14.55" x14ac:dyDescent="0.3">
      <c r="T182" s="735"/>
      <c r="U182" s="734"/>
      <c r="V182" s="736"/>
    </row>
    <row r="183" spans="20:22" ht="14.55" x14ac:dyDescent="0.3">
      <c r="T183" s="735"/>
      <c r="U183" s="734"/>
      <c r="V183" s="736"/>
    </row>
    <row r="184" spans="20:22" ht="14.55" x14ac:dyDescent="0.3">
      <c r="T184" s="735"/>
      <c r="U184" s="734"/>
      <c r="V184" s="736"/>
    </row>
    <row r="185" spans="20:22" ht="14.55" x14ac:dyDescent="0.3">
      <c r="T185" s="735"/>
      <c r="U185" s="734"/>
      <c r="V185" s="736"/>
    </row>
    <row r="186" spans="20:22" ht="14.55" x14ac:dyDescent="0.3">
      <c r="T186" s="735"/>
      <c r="U186" s="734"/>
      <c r="V186" s="736"/>
    </row>
    <row r="187" spans="20:22" ht="14.55" x14ac:dyDescent="0.3">
      <c r="T187" s="735"/>
      <c r="U187" s="734"/>
      <c r="V187" s="736"/>
    </row>
    <row r="188" spans="20:22" ht="14.55" x14ac:dyDescent="0.3">
      <c r="T188" s="735"/>
      <c r="U188" s="734"/>
      <c r="V188" s="736"/>
    </row>
    <row r="189" spans="20:22" ht="14.55" x14ac:dyDescent="0.3">
      <c r="T189" s="735"/>
      <c r="U189" s="734"/>
      <c r="V189" s="736"/>
    </row>
    <row r="190" spans="20:22" ht="14.55" x14ac:dyDescent="0.3">
      <c r="T190" s="735"/>
      <c r="U190" s="734"/>
      <c r="V190" s="736"/>
    </row>
    <row r="191" spans="20:22" ht="14.55" x14ac:dyDescent="0.3">
      <c r="T191" s="735"/>
      <c r="U191" s="734"/>
      <c r="V191" s="736"/>
    </row>
    <row r="192" spans="20:22" ht="14.55" x14ac:dyDescent="0.3">
      <c r="T192" s="735"/>
      <c r="U192" s="734"/>
      <c r="V192" s="736"/>
    </row>
    <row r="193" spans="20:22" ht="14.55" x14ac:dyDescent="0.3">
      <c r="T193" s="735"/>
      <c r="U193" s="734"/>
      <c r="V193" s="736"/>
    </row>
    <row r="194" spans="20:22" ht="14.55" x14ac:dyDescent="0.3">
      <c r="T194" s="735"/>
      <c r="U194" s="734"/>
      <c r="V194" s="758"/>
    </row>
    <row r="195" spans="20:22" ht="14.55" x14ac:dyDescent="0.3">
      <c r="T195" s="735"/>
      <c r="U195" s="734"/>
      <c r="V195" s="736"/>
    </row>
    <row r="196" spans="20:22" ht="14.55" x14ac:dyDescent="0.3">
      <c r="T196" s="735"/>
      <c r="U196" s="734"/>
      <c r="V196" s="736"/>
    </row>
    <row r="197" spans="20:22" ht="14.55" x14ac:dyDescent="0.3">
      <c r="T197" s="735"/>
      <c r="U197" s="734"/>
      <c r="V197" s="736"/>
    </row>
    <row r="198" spans="20:22" ht="14.55" x14ac:dyDescent="0.3">
      <c r="T198" s="735"/>
      <c r="U198" s="734"/>
      <c r="V198" s="736"/>
    </row>
    <row r="199" spans="20:22" ht="14.55" x14ac:dyDescent="0.3">
      <c r="T199" s="735"/>
      <c r="U199" s="734"/>
      <c r="V199" s="736"/>
    </row>
    <row r="200" spans="20:22" ht="14.55" x14ac:dyDescent="0.3">
      <c r="T200" s="735"/>
      <c r="U200" s="734"/>
      <c r="V200" s="736"/>
    </row>
    <row r="201" spans="20:22" ht="14.55" x14ac:dyDescent="0.3">
      <c r="T201" s="735"/>
      <c r="U201" s="734"/>
      <c r="V201" s="736"/>
    </row>
    <row r="202" spans="20:22" ht="14.55" x14ac:dyDescent="0.3">
      <c r="T202" s="735"/>
      <c r="U202" s="734"/>
      <c r="V202" s="736"/>
    </row>
    <row r="203" spans="20:22" ht="14.55" x14ac:dyDescent="0.3">
      <c r="T203" s="735"/>
      <c r="U203" s="734"/>
      <c r="V203" s="736"/>
    </row>
    <row r="204" spans="20:22" ht="14.55" x14ac:dyDescent="0.3">
      <c r="T204" s="735"/>
      <c r="U204" s="734"/>
      <c r="V204" s="736"/>
    </row>
    <row r="205" spans="20:22" ht="14.55" x14ac:dyDescent="0.3">
      <c r="T205" s="735"/>
      <c r="U205" s="734"/>
      <c r="V205" s="736"/>
    </row>
    <row r="206" spans="20:22" ht="14.55" x14ac:dyDescent="0.3">
      <c r="T206" s="735"/>
      <c r="U206" s="734"/>
      <c r="V206" s="736"/>
    </row>
    <row r="207" spans="20:22" ht="14.55" x14ac:dyDescent="0.3">
      <c r="T207" s="735"/>
      <c r="U207" s="734"/>
      <c r="V207" s="736"/>
    </row>
    <row r="208" spans="20:22" ht="14.55" x14ac:dyDescent="0.3">
      <c r="T208" s="735"/>
      <c r="U208" s="734"/>
      <c r="V208" s="736"/>
    </row>
    <row r="209" spans="20:22" ht="14.55" x14ac:dyDescent="0.3">
      <c r="T209" s="735"/>
      <c r="U209" s="734"/>
      <c r="V209" s="736"/>
    </row>
    <row r="210" spans="20:22" ht="14.55" x14ac:dyDescent="0.3">
      <c r="T210" s="735"/>
      <c r="U210" s="734"/>
      <c r="V210" s="736"/>
    </row>
    <row r="211" spans="20:22" ht="14.55" x14ac:dyDescent="0.3">
      <c r="T211" s="735"/>
      <c r="U211" s="734"/>
      <c r="V211" s="736"/>
    </row>
    <row r="212" spans="20:22" ht="14.55" x14ac:dyDescent="0.3">
      <c r="T212" s="735"/>
      <c r="U212" s="734"/>
      <c r="V212" s="736"/>
    </row>
    <row r="213" spans="20:22" ht="14.55" x14ac:dyDescent="0.3">
      <c r="T213" s="735"/>
      <c r="U213" s="734"/>
      <c r="V213" s="736"/>
    </row>
    <row r="214" spans="20:22" ht="14.55" x14ac:dyDescent="0.3">
      <c r="T214" s="735"/>
      <c r="U214" s="734"/>
      <c r="V214" s="736"/>
    </row>
    <row r="215" spans="20:22" ht="14.55" x14ac:dyDescent="0.3">
      <c r="T215" s="735"/>
      <c r="U215" s="734"/>
      <c r="V215" s="736"/>
    </row>
    <row r="216" spans="20:22" ht="14.55" x14ac:dyDescent="0.3">
      <c r="T216" s="735"/>
      <c r="U216" s="734"/>
      <c r="V216" s="736"/>
    </row>
    <row r="217" spans="20:22" ht="14.55" x14ac:dyDescent="0.3">
      <c r="T217" s="735"/>
      <c r="U217" s="734"/>
      <c r="V217" s="736"/>
    </row>
    <row r="218" spans="20:22" ht="14.55" x14ac:dyDescent="0.3">
      <c r="T218" s="735"/>
      <c r="U218" s="734"/>
      <c r="V218" s="736"/>
    </row>
    <row r="219" spans="20:22" ht="14.55" x14ac:dyDescent="0.3">
      <c r="T219" s="735"/>
      <c r="U219" s="734"/>
      <c r="V219" s="736"/>
    </row>
    <row r="220" spans="20:22" ht="14.55" x14ac:dyDescent="0.3">
      <c r="T220" s="735"/>
      <c r="U220" s="734"/>
      <c r="V220" s="736"/>
    </row>
    <row r="221" spans="20:22" ht="14.55" x14ac:dyDescent="0.3">
      <c r="T221" s="735"/>
      <c r="U221" s="734"/>
      <c r="V221" s="736"/>
    </row>
    <row r="222" spans="20:22" ht="14.55" x14ac:dyDescent="0.3">
      <c r="T222" s="735"/>
      <c r="U222" s="734"/>
      <c r="V222" s="736"/>
    </row>
    <row r="223" spans="20:22" ht="14.55" x14ac:dyDescent="0.3">
      <c r="T223" s="735"/>
      <c r="U223" s="734"/>
      <c r="V223" s="736"/>
    </row>
    <row r="224" spans="20:22" ht="14.55" x14ac:dyDescent="0.3">
      <c r="T224" s="735"/>
      <c r="U224" s="734"/>
      <c r="V224" s="736"/>
    </row>
    <row r="225" spans="20:22" ht="14.55" x14ac:dyDescent="0.3">
      <c r="T225" s="735"/>
      <c r="U225" s="734"/>
      <c r="V225" s="736"/>
    </row>
    <row r="226" spans="20:22" ht="14.55" x14ac:dyDescent="0.3">
      <c r="T226" s="735"/>
      <c r="U226" s="734"/>
      <c r="V226" s="736"/>
    </row>
    <row r="227" spans="20:22" ht="14.55" x14ac:dyDescent="0.3">
      <c r="T227" s="735"/>
      <c r="U227" s="734"/>
      <c r="V227" s="736"/>
    </row>
    <row r="228" spans="20:22" ht="14.55" x14ac:dyDescent="0.3">
      <c r="T228" s="735"/>
      <c r="U228" s="734"/>
      <c r="V228" s="736"/>
    </row>
    <row r="229" spans="20:22" ht="14.55" x14ac:dyDescent="0.3">
      <c r="T229" s="735"/>
      <c r="U229" s="734"/>
      <c r="V229" s="736"/>
    </row>
    <row r="230" spans="20:22" ht="14.55" x14ac:dyDescent="0.3">
      <c r="T230" s="735"/>
      <c r="U230" s="734"/>
      <c r="V230" s="736"/>
    </row>
    <row r="231" spans="20:22" ht="14.55" x14ac:dyDescent="0.3">
      <c r="T231" s="735"/>
      <c r="U231" s="734"/>
      <c r="V231" s="736"/>
    </row>
    <row r="232" spans="20:22" ht="14.55" x14ac:dyDescent="0.3">
      <c r="T232" s="735"/>
      <c r="U232" s="734"/>
      <c r="V232" s="736"/>
    </row>
    <row r="233" spans="20:22" ht="14.55" x14ac:dyDescent="0.3">
      <c r="T233" s="735"/>
      <c r="U233" s="734"/>
      <c r="V233" s="736"/>
    </row>
    <row r="234" spans="20:22" ht="14.55" x14ac:dyDescent="0.3">
      <c r="T234" s="735"/>
      <c r="U234" s="734"/>
      <c r="V234" s="736"/>
    </row>
    <row r="235" spans="20:22" ht="14.55" x14ac:dyDescent="0.3">
      <c r="T235" s="735"/>
      <c r="U235" s="734"/>
      <c r="V235" s="736"/>
    </row>
    <row r="236" spans="20:22" ht="14.55" x14ac:dyDescent="0.3">
      <c r="T236" s="735"/>
      <c r="U236" s="734"/>
      <c r="V236" s="736"/>
    </row>
    <row r="237" spans="20:22" ht="14.55" x14ac:dyDescent="0.3">
      <c r="T237" s="735"/>
      <c r="U237" s="734"/>
      <c r="V237" s="736"/>
    </row>
    <row r="238" spans="20:22" ht="14.55" x14ac:dyDescent="0.3">
      <c r="T238" s="735"/>
      <c r="U238" s="734"/>
      <c r="V238" s="736"/>
    </row>
    <row r="239" spans="20:22" ht="14.55" x14ac:dyDescent="0.3">
      <c r="T239" s="735"/>
      <c r="U239" s="734"/>
      <c r="V239" s="736"/>
    </row>
    <row r="240" spans="20:22" ht="14.55" x14ac:dyDescent="0.3">
      <c r="T240" s="735"/>
      <c r="U240" s="734"/>
      <c r="V240" s="736"/>
    </row>
    <row r="241" spans="20:22" ht="14.55" x14ac:dyDescent="0.3">
      <c r="T241" s="735"/>
      <c r="U241" s="734"/>
      <c r="V241" s="736"/>
    </row>
    <row r="242" spans="20:22" ht="14.55" x14ac:dyDescent="0.3">
      <c r="T242" s="735"/>
      <c r="U242" s="734"/>
      <c r="V242" s="736"/>
    </row>
    <row r="243" spans="20:22" ht="14.55" x14ac:dyDescent="0.3">
      <c r="T243" s="735"/>
      <c r="U243" s="734"/>
      <c r="V243" s="736"/>
    </row>
    <row r="244" spans="20:22" ht="14.55" x14ac:dyDescent="0.3">
      <c r="T244" s="735"/>
      <c r="U244" s="734"/>
      <c r="V244" s="736"/>
    </row>
    <row r="245" spans="20:22" ht="14.55" x14ac:dyDescent="0.3">
      <c r="T245" s="735"/>
      <c r="U245" s="734"/>
      <c r="V245" s="736"/>
    </row>
    <row r="246" spans="20:22" ht="14.55" x14ac:dyDescent="0.3">
      <c r="T246" s="735"/>
      <c r="U246" s="734"/>
      <c r="V246" s="736"/>
    </row>
    <row r="247" spans="20:22" ht="14.55" x14ac:dyDescent="0.3">
      <c r="T247" s="735"/>
      <c r="U247" s="734"/>
      <c r="V247" s="736"/>
    </row>
    <row r="248" spans="20:22" ht="14.55" x14ac:dyDescent="0.3">
      <c r="T248" s="735"/>
      <c r="U248" s="734"/>
      <c r="V248" s="736"/>
    </row>
    <row r="249" spans="20:22" ht="14.55" x14ac:dyDescent="0.3">
      <c r="T249" s="735"/>
      <c r="U249" s="734"/>
      <c r="V249" s="736"/>
    </row>
    <row r="250" spans="20:22" ht="14.55" x14ac:dyDescent="0.3">
      <c r="T250" s="735"/>
      <c r="U250" s="734"/>
      <c r="V250" s="736"/>
    </row>
    <row r="251" spans="20:22" ht="14.55" x14ac:dyDescent="0.3">
      <c r="T251" s="735"/>
      <c r="U251" s="734"/>
      <c r="V251" s="736"/>
    </row>
    <row r="252" spans="20:22" ht="14.55" x14ac:dyDescent="0.3">
      <c r="T252" s="735"/>
      <c r="U252" s="734"/>
      <c r="V252" s="736"/>
    </row>
    <row r="253" spans="20:22" ht="14.55" x14ac:dyDescent="0.3">
      <c r="T253" s="735"/>
      <c r="U253" s="734"/>
      <c r="V253" s="736"/>
    </row>
    <row r="254" spans="20:22" ht="14.55" x14ac:dyDescent="0.3">
      <c r="T254" s="735"/>
      <c r="U254" s="734"/>
      <c r="V254" s="736"/>
    </row>
    <row r="255" spans="20:22" ht="14.55" x14ac:dyDescent="0.3">
      <c r="T255" s="735"/>
      <c r="U255" s="734"/>
      <c r="V255" s="736"/>
    </row>
    <row r="256" spans="20:22" ht="14.55" x14ac:dyDescent="0.3">
      <c r="T256" s="735"/>
      <c r="U256" s="734"/>
      <c r="V256" s="736"/>
    </row>
    <row r="257" spans="20:22" ht="14.55" x14ac:dyDescent="0.3">
      <c r="T257" s="735"/>
      <c r="U257" s="734"/>
      <c r="V257" s="736"/>
    </row>
    <row r="258" spans="20:22" ht="14.55" x14ac:dyDescent="0.3">
      <c r="T258" s="735"/>
      <c r="U258" s="734"/>
      <c r="V258" s="736"/>
    </row>
    <row r="259" spans="20:22" ht="14.55" x14ac:dyDescent="0.3">
      <c r="T259" s="735"/>
      <c r="U259" s="734"/>
      <c r="V259" s="736"/>
    </row>
    <row r="260" spans="20:22" ht="14.55" x14ac:dyDescent="0.3">
      <c r="T260" s="735"/>
      <c r="U260" s="734"/>
      <c r="V260" s="736"/>
    </row>
    <row r="261" spans="20:22" ht="14.55" x14ac:dyDescent="0.3">
      <c r="T261" s="735"/>
      <c r="U261" s="734"/>
      <c r="V261" s="736"/>
    </row>
    <row r="262" spans="20:22" ht="14.55" x14ac:dyDescent="0.3">
      <c r="T262" s="735"/>
      <c r="U262" s="734"/>
      <c r="V262" s="736"/>
    </row>
    <row r="263" spans="20:22" ht="14.55" x14ac:dyDescent="0.3">
      <c r="T263" s="735"/>
      <c r="U263" s="734"/>
      <c r="V263" s="736"/>
    </row>
    <row r="264" spans="20:22" ht="14.55" x14ac:dyDescent="0.3">
      <c r="T264" s="735"/>
      <c r="U264" s="734"/>
      <c r="V264" s="736"/>
    </row>
    <row r="265" spans="20:22" ht="14.55" x14ac:dyDescent="0.3">
      <c r="T265" s="735"/>
      <c r="U265" s="734"/>
      <c r="V265" s="736"/>
    </row>
    <row r="266" spans="20:22" ht="14.55" x14ac:dyDescent="0.3">
      <c r="T266" s="735"/>
      <c r="U266" s="734"/>
      <c r="V266" s="736"/>
    </row>
    <row r="267" spans="20:22" ht="14.55" x14ac:dyDescent="0.3">
      <c r="T267" s="735"/>
      <c r="U267" s="734"/>
      <c r="V267" s="736"/>
    </row>
    <row r="268" spans="20:22" ht="14.55" x14ac:dyDescent="0.3">
      <c r="T268" s="735"/>
      <c r="U268" s="734"/>
      <c r="V268" s="736"/>
    </row>
    <row r="269" spans="20:22" ht="14.55" x14ac:dyDescent="0.3">
      <c r="T269" s="735"/>
      <c r="U269" s="734"/>
      <c r="V269" s="736"/>
    </row>
    <row r="270" spans="20:22" ht="14.55" x14ac:dyDescent="0.3">
      <c r="T270" s="735"/>
      <c r="U270" s="734"/>
      <c r="V270" s="736"/>
    </row>
    <row r="271" spans="20:22" ht="14.55" x14ac:dyDescent="0.3">
      <c r="T271" s="735"/>
      <c r="U271" s="734"/>
      <c r="V271" s="736"/>
    </row>
    <row r="272" spans="20:22" ht="14.55" x14ac:dyDescent="0.3">
      <c r="T272" s="735"/>
      <c r="U272" s="734"/>
      <c r="V272" s="736"/>
    </row>
    <row r="273" spans="20:22" ht="14.55" x14ac:dyDescent="0.3">
      <c r="T273" s="735"/>
      <c r="U273" s="734"/>
      <c r="V273" s="736"/>
    </row>
    <row r="274" spans="20:22" ht="14.55" x14ac:dyDescent="0.3">
      <c r="T274" s="735"/>
      <c r="U274" s="734"/>
      <c r="V274" s="736"/>
    </row>
    <row r="275" spans="20:22" ht="14.55" x14ac:dyDescent="0.3">
      <c r="T275" s="735"/>
      <c r="U275" s="734"/>
      <c r="V275" s="736"/>
    </row>
    <row r="276" spans="20:22" ht="14.55" x14ac:dyDescent="0.3">
      <c r="T276" s="735"/>
      <c r="U276" s="734"/>
      <c r="V276" s="736"/>
    </row>
    <row r="277" spans="20:22" ht="14.55" x14ac:dyDescent="0.3">
      <c r="T277" s="735"/>
      <c r="U277" s="734"/>
      <c r="V277" s="736"/>
    </row>
    <row r="278" spans="20:22" ht="14.55" x14ac:dyDescent="0.3">
      <c r="T278" s="735"/>
      <c r="U278" s="734"/>
      <c r="V278" s="736"/>
    </row>
    <row r="279" spans="20:22" ht="14.55" x14ac:dyDescent="0.3">
      <c r="T279" s="735"/>
      <c r="U279" s="734"/>
      <c r="V279" s="736"/>
    </row>
    <row r="280" spans="20:22" ht="14.55" x14ac:dyDescent="0.3">
      <c r="T280" s="735"/>
      <c r="U280" s="734"/>
      <c r="V280" s="736"/>
    </row>
    <row r="281" spans="20:22" ht="14.55" x14ac:dyDescent="0.3">
      <c r="T281" s="735"/>
      <c r="U281" s="734"/>
      <c r="V281" s="736"/>
    </row>
    <row r="282" spans="20:22" ht="14.55" x14ac:dyDescent="0.3">
      <c r="T282" s="735"/>
      <c r="U282" s="734"/>
      <c r="V282" s="736"/>
    </row>
    <row r="283" spans="20:22" ht="14.55" x14ac:dyDescent="0.3">
      <c r="T283" s="735"/>
      <c r="U283" s="734"/>
      <c r="V283" s="736"/>
    </row>
    <row r="284" spans="20:22" ht="14.55" x14ac:dyDescent="0.3">
      <c r="T284" s="735"/>
      <c r="U284" s="734"/>
      <c r="V284" s="736"/>
    </row>
    <row r="285" spans="20:22" ht="14.55" x14ac:dyDescent="0.3">
      <c r="T285" s="735"/>
      <c r="U285" s="734"/>
      <c r="V285" s="736"/>
    </row>
    <row r="286" spans="20:22" ht="14.55" x14ac:dyDescent="0.3">
      <c r="T286" s="735"/>
      <c r="U286" s="734"/>
      <c r="V286" s="736"/>
    </row>
    <row r="287" spans="20:22" ht="14.55" x14ac:dyDescent="0.3">
      <c r="T287" s="735"/>
      <c r="U287" s="734"/>
      <c r="V287" s="736"/>
    </row>
    <row r="288" spans="20:22" ht="14.55" x14ac:dyDescent="0.3">
      <c r="T288" s="735"/>
      <c r="U288" s="734"/>
      <c r="V288" s="736"/>
    </row>
    <row r="289" spans="3:22" ht="14.55" x14ac:dyDescent="0.3">
      <c r="T289" s="735"/>
      <c r="U289" s="734"/>
      <c r="V289" s="736"/>
    </row>
    <row r="290" spans="3:22" ht="14.55" x14ac:dyDescent="0.3">
      <c r="T290" s="735"/>
      <c r="U290" s="734"/>
      <c r="V290" s="736"/>
    </row>
    <row r="291" spans="3:22" ht="14.55" x14ac:dyDescent="0.3">
      <c r="C291" s="741">
        <f>'Berechnung - Freianlagen'!C131</f>
        <v>0</v>
      </c>
      <c r="D291" s="741">
        <f>'Berechnung - Freianlagen'!D131</f>
        <v>0</v>
      </c>
      <c r="E291" s="741">
        <f>'Berechnung - Freianlagen'!E131</f>
        <v>0</v>
      </c>
      <c r="F291" s="741">
        <f>'Berechnung - Freianlagen'!F131</f>
        <v>0</v>
      </c>
      <c r="G291" s="741">
        <f>'Berechnung - Freianlagen'!G131</f>
        <v>0</v>
      </c>
      <c r="H291" s="741">
        <f>'Berechnung - Freianlagen'!H131</f>
        <v>0</v>
      </c>
      <c r="I291" s="741">
        <f>'Berechnung - Freianlagen'!I131</f>
        <v>0</v>
      </c>
      <c r="J291" s="741">
        <f>'Berechnung - Freianlagen'!J131</f>
        <v>0</v>
      </c>
      <c r="K291" s="741">
        <f>'Berechnung - Freianlagen'!K131</f>
        <v>0</v>
      </c>
      <c r="L291" s="741">
        <f>'Berechnung - Freianlagen'!L131</f>
        <v>0</v>
      </c>
      <c r="M291" s="741">
        <f>'Berechnung - Freianlagen'!M131</f>
        <v>0</v>
      </c>
      <c r="N291" s="741">
        <f>'Berechnung - Freianlagen'!N131</f>
        <v>0</v>
      </c>
      <c r="O291" s="741">
        <f>'Berechnung - Freianlagen'!O131</f>
        <v>0</v>
      </c>
      <c r="P291" s="741">
        <f>'Berechnung - Freianlagen'!P131</f>
        <v>0</v>
      </c>
      <c r="T291" s="735"/>
      <c r="U291" s="734"/>
      <c r="V291" s="736"/>
    </row>
    <row r="292" spans="3:22" ht="14.55" x14ac:dyDescent="0.3">
      <c r="C292" s="741">
        <f>'Berechnung - Freianlagen'!C132</f>
        <v>0</v>
      </c>
      <c r="D292" s="741">
        <f>'Berechnung - Freianlagen'!D132</f>
        <v>0</v>
      </c>
      <c r="E292" s="741">
        <f>'Berechnung - Freianlagen'!E132</f>
        <v>0</v>
      </c>
      <c r="F292" s="741">
        <f>'Berechnung - Freianlagen'!F132</f>
        <v>0</v>
      </c>
      <c r="G292" s="741">
        <f>'Berechnung - Freianlagen'!G132</f>
        <v>0</v>
      </c>
      <c r="H292" s="741">
        <f>'Berechnung - Freianlagen'!H132</f>
        <v>0</v>
      </c>
      <c r="I292" s="741">
        <f>'Berechnung - Freianlagen'!I132</f>
        <v>0</v>
      </c>
      <c r="J292" s="741">
        <f>'Berechnung - Freianlagen'!J132</f>
        <v>0</v>
      </c>
      <c r="K292" s="741">
        <f>'Berechnung - Freianlagen'!K132</f>
        <v>0</v>
      </c>
      <c r="L292" s="741">
        <f>'Berechnung - Freianlagen'!L132</f>
        <v>0</v>
      </c>
      <c r="M292" s="741">
        <f>'Berechnung - Freianlagen'!M132</f>
        <v>0</v>
      </c>
      <c r="N292" s="741">
        <f>'Berechnung - Freianlagen'!N132</f>
        <v>0</v>
      </c>
      <c r="O292" s="741">
        <f>'Berechnung - Freianlagen'!O132</f>
        <v>0</v>
      </c>
      <c r="P292" s="741">
        <f>'Berechnung - Freianlagen'!P132</f>
        <v>0</v>
      </c>
      <c r="T292" s="735"/>
      <c r="U292" s="734"/>
      <c r="V292" s="736"/>
    </row>
    <row r="293" spans="3:22" ht="14.55" x14ac:dyDescent="0.3">
      <c r="C293" s="741">
        <f>'Berechnung - Freianlagen'!C133</f>
        <v>0</v>
      </c>
      <c r="D293" s="741">
        <f>'Berechnung - Freianlagen'!D133</f>
        <v>0</v>
      </c>
      <c r="E293" s="741">
        <f>'Berechnung - Freianlagen'!E133</f>
        <v>0</v>
      </c>
      <c r="F293" s="741">
        <f>'Berechnung - Freianlagen'!F133</f>
        <v>0</v>
      </c>
      <c r="G293" s="741">
        <f>'Berechnung - Freianlagen'!G133</f>
        <v>0</v>
      </c>
      <c r="H293" s="741">
        <f>'Berechnung - Freianlagen'!H133</f>
        <v>0</v>
      </c>
      <c r="I293" s="741">
        <f>'Berechnung - Freianlagen'!I133</f>
        <v>0</v>
      </c>
      <c r="J293" s="741">
        <f>'Berechnung - Freianlagen'!J133</f>
        <v>0</v>
      </c>
      <c r="K293" s="741">
        <f>'Berechnung - Freianlagen'!K133</f>
        <v>0</v>
      </c>
      <c r="L293" s="741">
        <f>'Berechnung - Freianlagen'!L133</f>
        <v>0</v>
      </c>
      <c r="M293" s="741">
        <f>'Berechnung - Freianlagen'!M133</f>
        <v>0</v>
      </c>
      <c r="N293" s="741">
        <f>'Berechnung - Freianlagen'!N133</f>
        <v>0</v>
      </c>
      <c r="O293" s="741">
        <f>'Berechnung - Freianlagen'!O133</f>
        <v>0</v>
      </c>
      <c r="P293" s="741">
        <f>'Berechnung - Freianlagen'!P133</f>
        <v>0</v>
      </c>
      <c r="T293" s="735"/>
      <c r="U293" s="734"/>
      <c r="V293" s="736"/>
    </row>
    <row r="294" spans="3:22" ht="14.55" x14ac:dyDescent="0.3">
      <c r="C294" s="741">
        <f>'Berechnung - Freianlagen'!C134</f>
        <v>0</v>
      </c>
      <c r="D294" s="741">
        <f>'Berechnung - Freianlagen'!D134</f>
        <v>0</v>
      </c>
      <c r="E294" s="741">
        <f>'Berechnung - Freianlagen'!E134</f>
        <v>0</v>
      </c>
      <c r="F294" s="741">
        <f>'Berechnung - Freianlagen'!F134</f>
        <v>0</v>
      </c>
      <c r="G294" s="741">
        <f>'Berechnung - Freianlagen'!G134</f>
        <v>0</v>
      </c>
      <c r="H294" s="741">
        <f>'Berechnung - Freianlagen'!H134</f>
        <v>0</v>
      </c>
      <c r="I294" s="741">
        <f>'Berechnung - Freianlagen'!I134</f>
        <v>0</v>
      </c>
      <c r="J294" s="741">
        <f>'Berechnung - Freianlagen'!J134</f>
        <v>0</v>
      </c>
      <c r="K294" s="741">
        <f>'Berechnung - Freianlagen'!K134</f>
        <v>0</v>
      </c>
      <c r="L294" s="741">
        <f>'Berechnung - Freianlagen'!L134</f>
        <v>0</v>
      </c>
      <c r="M294" s="741">
        <f>'Berechnung - Freianlagen'!M134</f>
        <v>0</v>
      </c>
      <c r="N294" s="741">
        <f>'Berechnung - Freianlagen'!N134</f>
        <v>0</v>
      </c>
      <c r="O294" s="741">
        <f>'Berechnung - Freianlagen'!O134</f>
        <v>0</v>
      </c>
      <c r="P294" s="741">
        <f>'Berechnung - Freianlagen'!P134</f>
        <v>0</v>
      </c>
      <c r="T294" s="735"/>
      <c r="U294" s="734"/>
      <c r="V294" s="736"/>
    </row>
    <row r="295" spans="3:22" ht="14.55" x14ac:dyDescent="0.3">
      <c r="C295" s="741">
        <f>'Berechnung - Freianlagen'!C135</f>
        <v>0</v>
      </c>
      <c r="D295" s="741">
        <f>'Berechnung - Freianlagen'!D135</f>
        <v>0</v>
      </c>
      <c r="E295" s="741">
        <f>'Berechnung - Freianlagen'!E135</f>
        <v>0</v>
      </c>
      <c r="F295" s="741">
        <f>'Berechnung - Freianlagen'!F135</f>
        <v>0</v>
      </c>
      <c r="G295" s="741">
        <f>'Berechnung - Freianlagen'!G135</f>
        <v>0</v>
      </c>
      <c r="H295" s="741">
        <f>'Berechnung - Freianlagen'!H135</f>
        <v>0</v>
      </c>
      <c r="I295" s="741">
        <f>'Berechnung - Freianlagen'!I135</f>
        <v>0</v>
      </c>
      <c r="J295" s="741">
        <f>'Berechnung - Freianlagen'!J135</f>
        <v>0</v>
      </c>
      <c r="K295" s="741">
        <f>'Berechnung - Freianlagen'!K135</f>
        <v>0</v>
      </c>
      <c r="L295" s="741">
        <f>'Berechnung - Freianlagen'!L135</f>
        <v>0</v>
      </c>
      <c r="M295" s="741">
        <f>'Berechnung - Freianlagen'!M135</f>
        <v>0</v>
      </c>
      <c r="N295" s="741">
        <f>'Berechnung - Freianlagen'!N135</f>
        <v>0</v>
      </c>
      <c r="O295" s="741">
        <f>'Berechnung - Freianlagen'!O135</f>
        <v>0</v>
      </c>
      <c r="P295" s="741">
        <f>'Berechnung - Freianlagen'!P135</f>
        <v>0</v>
      </c>
      <c r="T295" s="735"/>
      <c r="U295" s="734"/>
      <c r="V295" s="736"/>
    </row>
    <row r="296" spans="3:22" ht="14.55" x14ac:dyDescent="0.3">
      <c r="C296" s="741">
        <f>'Berechnung - Freianlagen'!C136</f>
        <v>0</v>
      </c>
      <c r="D296" s="741">
        <f>'Berechnung - Freianlagen'!D136</f>
        <v>0</v>
      </c>
      <c r="E296" s="741">
        <f>'Berechnung - Freianlagen'!E136</f>
        <v>0</v>
      </c>
      <c r="F296" s="741">
        <f>'Berechnung - Freianlagen'!F136</f>
        <v>0</v>
      </c>
      <c r="G296" s="741">
        <f>'Berechnung - Freianlagen'!G136</f>
        <v>0</v>
      </c>
      <c r="H296" s="741">
        <f>'Berechnung - Freianlagen'!H136</f>
        <v>0</v>
      </c>
      <c r="I296" s="741">
        <f>'Berechnung - Freianlagen'!I136</f>
        <v>0</v>
      </c>
      <c r="J296" s="741">
        <f>'Berechnung - Freianlagen'!J136</f>
        <v>0</v>
      </c>
      <c r="K296" s="741">
        <f>'Berechnung - Freianlagen'!K136</f>
        <v>0</v>
      </c>
      <c r="L296" s="741">
        <f>'Berechnung - Freianlagen'!L136</f>
        <v>0</v>
      </c>
      <c r="M296" s="741">
        <f>'Berechnung - Freianlagen'!M136</f>
        <v>0</v>
      </c>
      <c r="N296" s="741">
        <f>'Berechnung - Freianlagen'!N136</f>
        <v>0</v>
      </c>
      <c r="O296" s="741">
        <f>'Berechnung - Freianlagen'!O136</f>
        <v>0</v>
      </c>
      <c r="P296" s="741">
        <f>'Berechnung - Freianlagen'!P136</f>
        <v>0</v>
      </c>
      <c r="T296" s="735"/>
      <c r="U296" s="734"/>
      <c r="V296" s="736"/>
    </row>
    <row r="297" spans="3:22" ht="14.55" x14ac:dyDescent="0.3">
      <c r="C297" s="741">
        <f>'Berechnung - Freianlagen'!C137</f>
        <v>0</v>
      </c>
      <c r="D297" s="741">
        <f>'Berechnung - Freianlagen'!D137</f>
        <v>0</v>
      </c>
      <c r="E297" s="741">
        <f>'Berechnung - Freianlagen'!E137</f>
        <v>0</v>
      </c>
      <c r="F297" s="741">
        <f>'Berechnung - Freianlagen'!F137</f>
        <v>0</v>
      </c>
      <c r="G297" s="741">
        <f>'Berechnung - Freianlagen'!G137</f>
        <v>0</v>
      </c>
      <c r="H297" s="741">
        <f>'Berechnung - Freianlagen'!H137</f>
        <v>0</v>
      </c>
      <c r="I297" s="741">
        <f>'Berechnung - Freianlagen'!I137</f>
        <v>0</v>
      </c>
      <c r="J297" s="741">
        <f>'Berechnung - Freianlagen'!J137</f>
        <v>0</v>
      </c>
      <c r="K297" s="741">
        <f>'Berechnung - Freianlagen'!K137</f>
        <v>0</v>
      </c>
      <c r="L297" s="741">
        <f>'Berechnung - Freianlagen'!L137</f>
        <v>0</v>
      </c>
      <c r="M297" s="741">
        <f>'Berechnung - Freianlagen'!M137</f>
        <v>0</v>
      </c>
      <c r="N297" s="741">
        <f>'Berechnung - Freianlagen'!N137</f>
        <v>0</v>
      </c>
      <c r="O297" s="741">
        <f>'Berechnung - Freianlagen'!O137</f>
        <v>0</v>
      </c>
      <c r="P297" s="741">
        <f>'Berechnung - Freianlagen'!P137</f>
        <v>0</v>
      </c>
      <c r="T297" s="735"/>
      <c r="U297" s="734"/>
      <c r="V297" s="736"/>
    </row>
    <row r="298" spans="3:22" ht="14.55" x14ac:dyDescent="0.3">
      <c r="C298" s="741">
        <f>'Berechnung - Freianlagen'!C138</f>
        <v>0</v>
      </c>
      <c r="D298" s="741">
        <f>'Berechnung - Freianlagen'!D138</f>
        <v>0</v>
      </c>
      <c r="E298" s="741">
        <f>'Berechnung - Freianlagen'!E138</f>
        <v>0</v>
      </c>
      <c r="F298" s="741">
        <f>'Berechnung - Freianlagen'!F138</f>
        <v>0</v>
      </c>
      <c r="G298" s="741">
        <f>'Berechnung - Freianlagen'!G138</f>
        <v>0</v>
      </c>
      <c r="H298" s="741">
        <f>'Berechnung - Freianlagen'!H138</f>
        <v>0</v>
      </c>
      <c r="I298" s="741">
        <f>'Berechnung - Freianlagen'!I138</f>
        <v>0</v>
      </c>
      <c r="J298" s="741">
        <f>'Berechnung - Freianlagen'!J138</f>
        <v>0</v>
      </c>
      <c r="K298" s="741">
        <f>'Berechnung - Freianlagen'!K138</f>
        <v>0</v>
      </c>
      <c r="L298" s="741">
        <f>'Berechnung - Freianlagen'!L138</f>
        <v>0</v>
      </c>
      <c r="M298" s="741">
        <f>'Berechnung - Freianlagen'!M138</f>
        <v>0</v>
      </c>
      <c r="N298" s="741">
        <f>'Berechnung - Freianlagen'!N138</f>
        <v>0</v>
      </c>
      <c r="O298" s="741">
        <f>'Berechnung - Freianlagen'!O138</f>
        <v>0</v>
      </c>
      <c r="P298" s="741">
        <f>'Berechnung - Freianlagen'!P138</f>
        <v>0</v>
      </c>
      <c r="T298" s="735"/>
      <c r="U298" s="734"/>
      <c r="V298" s="736"/>
    </row>
    <row r="299" spans="3:22" ht="14.55" x14ac:dyDescent="0.3">
      <c r="T299" s="735"/>
      <c r="U299" s="734"/>
      <c r="V299" s="736"/>
    </row>
    <row r="300" spans="3:22" ht="14.55" x14ac:dyDescent="0.3">
      <c r="T300" s="735"/>
      <c r="U300" s="734"/>
      <c r="V300" s="736"/>
    </row>
    <row r="301" spans="3:22" ht="14.55" x14ac:dyDescent="0.3">
      <c r="T301" s="735"/>
      <c r="U301" s="734"/>
      <c r="V301" s="736"/>
    </row>
    <row r="302" spans="3:22" ht="14.55" x14ac:dyDescent="0.3">
      <c r="T302" s="735"/>
      <c r="U302" s="734"/>
      <c r="V302" s="736"/>
    </row>
    <row r="303" spans="3:22" ht="14.55" x14ac:dyDescent="0.3">
      <c r="T303" s="735"/>
      <c r="U303" s="734"/>
      <c r="V303" s="736"/>
    </row>
    <row r="304" spans="3:22" ht="14.55" x14ac:dyDescent="0.3">
      <c r="T304" s="735"/>
      <c r="U304" s="734"/>
      <c r="V304" s="736"/>
    </row>
    <row r="305" spans="20:22" ht="14.55" x14ac:dyDescent="0.3">
      <c r="T305" s="735"/>
      <c r="U305" s="734"/>
      <c r="V305" s="736"/>
    </row>
    <row r="306" spans="20:22" ht="14.55" x14ac:dyDescent="0.3">
      <c r="T306" s="735"/>
      <c r="U306" s="734"/>
      <c r="V306" s="736"/>
    </row>
    <row r="307" spans="20:22" ht="14.55" x14ac:dyDescent="0.3">
      <c r="T307" s="735"/>
      <c r="U307" s="734"/>
      <c r="V307" s="736"/>
    </row>
    <row r="308" spans="20:22" ht="14.55" x14ac:dyDescent="0.3">
      <c r="T308" s="735"/>
      <c r="U308" s="734"/>
      <c r="V308" s="736"/>
    </row>
    <row r="309" spans="20:22" ht="14.55" x14ac:dyDescent="0.3">
      <c r="T309" s="735"/>
      <c r="U309" s="734"/>
      <c r="V309" s="736"/>
    </row>
    <row r="310" spans="20:22" ht="14.55" x14ac:dyDescent="0.3">
      <c r="T310" s="735"/>
      <c r="U310" s="734"/>
      <c r="V310" s="736"/>
    </row>
    <row r="311" spans="20:22" ht="14.55" x14ac:dyDescent="0.3">
      <c r="T311" s="735"/>
      <c r="U311" s="734"/>
      <c r="V311" s="736"/>
    </row>
    <row r="312" spans="20:22" ht="14.55" x14ac:dyDescent="0.3">
      <c r="T312" s="735"/>
      <c r="U312" s="734"/>
      <c r="V312" s="736"/>
    </row>
    <row r="313" spans="20:22" ht="14.55" x14ac:dyDescent="0.3">
      <c r="T313" s="735"/>
      <c r="U313" s="734"/>
      <c r="V313" s="736"/>
    </row>
    <row r="314" spans="20:22" ht="14.55" x14ac:dyDescent="0.3">
      <c r="T314" s="735"/>
      <c r="U314" s="734"/>
      <c r="V314" s="736"/>
    </row>
    <row r="315" spans="20:22" ht="14.55" x14ac:dyDescent="0.3">
      <c r="T315" s="735"/>
      <c r="U315" s="734"/>
      <c r="V315" s="736"/>
    </row>
    <row r="316" spans="20:22" ht="14.55" x14ac:dyDescent="0.3">
      <c r="T316" s="735"/>
      <c r="U316" s="734"/>
      <c r="V316" s="736"/>
    </row>
    <row r="317" spans="20:22" ht="14.55" x14ac:dyDescent="0.3">
      <c r="T317" s="735"/>
      <c r="U317" s="734"/>
      <c r="V317" s="736"/>
    </row>
    <row r="318" spans="20:22" ht="14.55" x14ac:dyDescent="0.3">
      <c r="T318" s="735"/>
      <c r="U318" s="734"/>
      <c r="V318" s="736"/>
    </row>
    <row r="319" spans="20:22" ht="14.55" x14ac:dyDescent="0.3">
      <c r="T319" s="735"/>
      <c r="U319" s="734"/>
      <c r="V319" s="736"/>
    </row>
    <row r="320" spans="20:22" ht="14.55" x14ac:dyDescent="0.3">
      <c r="T320" s="735"/>
      <c r="U320" s="734"/>
      <c r="V320" s="736"/>
    </row>
    <row r="321" spans="20:22" ht="14.55" x14ac:dyDescent="0.3">
      <c r="T321" s="735"/>
      <c r="U321" s="734"/>
      <c r="V321" s="736"/>
    </row>
    <row r="322" spans="20:22" ht="14.55" x14ac:dyDescent="0.3">
      <c r="T322" s="735"/>
      <c r="U322" s="734"/>
      <c r="V322" s="736"/>
    </row>
    <row r="323" spans="20:22" ht="14.55" x14ac:dyDescent="0.3">
      <c r="T323" s="735"/>
      <c r="U323" s="734"/>
      <c r="V323" s="736"/>
    </row>
    <row r="324" spans="20:22" ht="14.55" x14ac:dyDescent="0.3">
      <c r="T324" s="735"/>
      <c r="U324" s="734"/>
      <c r="V324" s="736"/>
    </row>
    <row r="325" spans="20:22" ht="14.55" x14ac:dyDescent="0.3">
      <c r="T325" s="735"/>
      <c r="U325" s="734"/>
      <c r="V325" s="736"/>
    </row>
    <row r="326" spans="20:22" ht="14.55" x14ac:dyDescent="0.3">
      <c r="T326" s="735"/>
      <c r="U326" s="734"/>
      <c r="V326" s="736"/>
    </row>
    <row r="327" spans="20:22" ht="14.55" x14ac:dyDescent="0.3">
      <c r="T327" s="735"/>
      <c r="U327" s="734"/>
      <c r="V327" s="736"/>
    </row>
    <row r="328" spans="20:22" ht="14.55" x14ac:dyDescent="0.3">
      <c r="T328" s="735"/>
      <c r="U328" s="734"/>
      <c r="V328" s="736"/>
    </row>
    <row r="329" spans="20:22" ht="14.55" x14ac:dyDescent="0.3">
      <c r="T329" s="735"/>
      <c r="U329" s="734"/>
      <c r="V329" s="736"/>
    </row>
    <row r="330" spans="20:22" ht="14.55" x14ac:dyDescent="0.3">
      <c r="T330" s="735"/>
      <c r="U330" s="734"/>
      <c r="V330" s="736"/>
    </row>
    <row r="331" spans="20:22" ht="14.55" x14ac:dyDescent="0.3">
      <c r="T331" s="735"/>
      <c r="U331" s="734"/>
      <c r="V331" s="736"/>
    </row>
    <row r="332" spans="20:22" ht="14.55" x14ac:dyDescent="0.3">
      <c r="T332" s="735"/>
      <c r="U332" s="734"/>
      <c r="V332" s="736"/>
    </row>
    <row r="333" spans="20:22" ht="14.55" x14ac:dyDescent="0.3">
      <c r="T333" s="735"/>
      <c r="U333" s="734"/>
      <c r="V333" s="736"/>
    </row>
    <row r="334" spans="20:22" ht="14.55" x14ac:dyDescent="0.3">
      <c r="T334" s="735"/>
      <c r="U334" s="734"/>
      <c r="V334" s="736"/>
    </row>
    <row r="335" spans="20:22" ht="14.55" x14ac:dyDescent="0.3">
      <c r="T335" s="735"/>
      <c r="U335" s="734"/>
      <c r="V335" s="736"/>
    </row>
    <row r="336" spans="20:22" ht="14.55" x14ac:dyDescent="0.3">
      <c r="T336" s="735"/>
      <c r="U336" s="734"/>
      <c r="V336" s="736"/>
    </row>
    <row r="337" spans="20:22" ht="14.55" x14ac:dyDescent="0.3">
      <c r="T337" s="735"/>
      <c r="U337" s="734"/>
      <c r="V337" s="736"/>
    </row>
    <row r="338" spans="20:22" ht="14.55" x14ac:dyDescent="0.3">
      <c r="T338" s="735"/>
      <c r="U338" s="734"/>
      <c r="V338" s="736"/>
    </row>
    <row r="339" spans="20:22" ht="14.55" x14ac:dyDescent="0.3">
      <c r="T339" s="735"/>
      <c r="U339" s="734"/>
      <c r="V339" s="736"/>
    </row>
    <row r="340" spans="20:22" ht="14.55" x14ac:dyDescent="0.3">
      <c r="T340" s="735"/>
      <c r="U340" s="734"/>
      <c r="V340" s="736"/>
    </row>
    <row r="341" spans="20:22" ht="14.55" x14ac:dyDescent="0.3">
      <c r="T341" s="735"/>
      <c r="U341" s="734"/>
      <c r="V341" s="736"/>
    </row>
    <row r="342" spans="20:22" ht="14.55" x14ac:dyDescent="0.3">
      <c r="T342" s="735"/>
      <c r="U342" s="734"/>
      <c r="V342" s="736"/>
    </row>
    <row r="343" spans="20:22" ht="14.55" x14ac:dyDescent="0.3">
      <c r="T343" s="735"/>
      <c r="U343" s="734"/>
      <c r="V343" s="736"/>
    </row>
    <row r="344" spans="20:22" ht="14.55" x14ac:dyDescent="0.3">
      <c r="T344" s="735"/>
      <c r="U344" s="734"/>
      <c r="V344" s="736"/>
    </row>
    <row r="345" spans="20:22" ht="14.55" x14ac:dyDescent="0.3">
      <c r="T345" s="735"/>
      <c r="U345" s="734"/>
      <c r="V345" s="736"/>
    </row>
    <row r="346" spans="20:22" ht="14.55" x14ac:dyDescent="0.3">
      <c r="T346" s="735"/>
      <c r="U346" s="734"/>
      <c r="V346" s="736"/>
    </row>
    <row r="347" spans="20:22" ht="14.55" x14ac:dyDescent="0.3">
      <c r="T347" s="735"/>
      <c r="U347" s="734"/>
      <c r="V347" s="736"/>
    </row>
    <row r="348" spans="20:22" ht="14.55" x14ac:dyDescent="0.3">
      <c r="T348" s="735"/>
      <c r="U348" s="734"/>
      <c r="V348" s="736"/>
    </row>
    <row r="349" spans="20:22" ht="14.55" x14ac:dyDescent="0.3">
      <c r="T349" s="735"/>
      <c r="U349" s="734"/>
      <c r="V349" s="736"/>
    </row>
    <row r="350" spans="20:22" ht="14.55" x14ac:dyDescent="0.3">
      <c r="T350" s="735"/>
      <c r="U350" s="734"/>
      <c r="V350" s="736"/>
    </row>
    <row r="351" spans="20:22" ht="14.55" x14ac:dyDescent="0.3">
      <c r="T351" s="735"/>
      <c r="U351" s="734"/>
      <c r="V351" s="736"/>
    </row>
    <row r="352" spans="20:22" ht="14.55" x14ac:dyDescent="0.3">
      <c r="T352" s="735"/>
      <c r="U352" s="734"/>
      <c r="V352" s="736"/>
    </row>
    <row r="353" spans="20:22" ht="14.55" x14ac:dyDescent="0.3">
      <c r="T353" s="735"/>
      <c r="U353" s="734"/>
      <c r="V353" s="736"/>
    </row>
    <row r="354" spans="20:22" ht="14.55" x14ac:dyDescent="0.3">
      <c r="T354" s="735"/>
      <c r="U354" s="734"/>
      <c r="V354" s="736"/>
    </row>
    <row r="355" spans="20:22" ht="14.55" x14ac:dyDescent="0.3">
      <c r="T355" s="735"/>
      <c r="U355" s="734"/>
      <c r="V355" s="736"/>
    </row>
    <row r="356" spans="20:22" ht="14.55" x14ac:dyDescent="0.3">
      <c r="T356" s="735"/>
      <c r="U356" s="734"/>
      <c r="V356" s="736"/>
    </row>
    <row r="357" spans="20:22" ht="14.55" x14ac:dyDescent="0.3">
      <c r="T357" s="735"/>
      <c r="U357" s="734"/>
      <c r="V357" s="736"/>
    </row>
    <row r="358" spans="20:22" ht="14.55" x14ac:dyDescent="0.3">
      <c r="T358" s="735"/>
      <c r="U358" s="734"/>
      <c r="V358" s="736"/>
    </row>
    <row r="359" spans="20:22" ht="14.55" x14ac:dyDescent="0.3">
      <c r="T359" s="735"/>
      <c r="U359" s="734"/>
      <c r="V359" s="736"/>
    </row>
    <row r="360" spans="20:22" ht="14.55" x14ac:dyDescent="0.3">
      <c r="T360" s="735"/>
      <c r="U360" s="734"/>
      <c r="V360" s="736"/>
    </row>
    <row r="361" spans="20:22" ht="14.55" x14ac:dyDescent="0.3">
      <c r="T361" s="735"/>
      <c r="U361" s="734"/>
      <c r="V361" s="736"/>
    </row>
    <row r="362" spans="20:22" ht="14.55" x14ac:dyDescent="0.3">
      <c r="T362" s="735"/>
      <c r="U362" s="734"/>
      <c r="V362" s="736"/>
    </row>
    <row r="363" spans="20:22" ht="14.55" x14ac:dyDescent="0.3">
      <c r="T363" s="735"/>
      <c r="U363" s="734"/>
      <c r="V363" s="736"/>
    </row>
    <row r="364" spans="20:22" ht="14.55" x14ac:dyDescent="0.3">
      <c r="T364" s="735"/>
      <c r="U364" s="734"/>
      <c r="V364" s="736"/>
    </row>
    <row r="365" spans="20:22" ht="14.55" x14ac:dyDescent="0.3">
      <c r="T365" s="735"/>
      <c r="U365" s="734"/>
      <c r="V365" s="736"/>
    </row>
    <row r="366" spans="20:22" ht="14.55" x14ac:dyDescent="0.3">
      <c r="T366" s="735"/>
      <c r="U366" s="734"/>
      <c r="V366" s="736"/>
    </row>
    <row r="367" spans="20:22" ht="14.55" x14ac:dyDescent="0.3">
      <c r="T367" s="735"/>
      <c r="U367" s="734"/>
      <c r="V367" s="736"/>
    </row>
    <row r="368" spans="20:22" ht="14.55" x14ac:dyDescent="0.3">
      <c r="T368" s="735"/>
      <c r="U368" s="734"/>
      <c r="V368" s="736"/>
    </row>
    <row r="369" spans="20:22" ht="14.55" x14ac:dyDescent="0.3">
      <c r="T369" s="735"/>
      <c r="U369" s="734"/>
      <c r="V369" s="736"/>
    </row>
    <row r="370" spans="20:22" ht="14.55" x14ac:dyDescent="0.3">
      <c r="T370" s="735"/>
      <c r="U370" s="734"/>
      <c r="V370" s="736"/>
    </row>
    <row r="371" spans="20:22" ht="14.55" x14ac:dyDescent="0.3">
      <c r="T371" s="735"/>
      <c r="U371" s="734"/>
      <c r="V371" s="736"/>
    </row>
    <row r="372" spans="20:22" ht="14.55" x14ac:dyDescent="0.3">
      <c r="T372" s="735"/>
      <c r="U372" s="734"/>
      <c r="V372" s="736"/>
    </row>
    <row r="373" spans="20:22" ht="14.55" x14ac:dyDescent="0.3">
      <c r="T373" s="735"/>
      <c r="U373" s="734"/>
      <c r="V373" s="736"/>
    </row>
    <row r="374" spans="20:22" ht="14.55" x14ac:dyDescent="0.3">
      <c r="T374" s="735"/>
      <c r="U374" s="734"/>
      <c r="V374" s="736"/>
    </row>
    <row r="375" spans="20:22" ht="14.55" x14ac:dyDescent="0.3">
      <c r="T375" s="735"/>
      <c r="U375" s="734"/>
      <c r="V375" s="736"/>
    </row>
    <row r="376" spans="20:22" ht="14.55" x14ac:dyDescent="0.3">
      <c r="T376" s="735"/>
      <c r="U376" s="734"/>
      <c r="V376" s="736"/>
    </row>
    <row r="377" spans="20:22" ht="14.55" x14ac:dyDescent="0.3">
      <c r="T377" s="735"/>
      <c r="U377" s="734"/>
      <c r="V377" s="736"/>
    </row>
    <row r="378" spans="20:22" ht="14.55" x14ac:dyDescent="0.3">
      <c r="T378" s="735"/>
      <c r="U378" s="734"/>
      <c r="V378" s="736"/>
    </row>
    <row r="379" spans="20:22" ht="14.55" x14ac:dyDescent="0.3">
      <c r="T379" s="735"/>
      <c r="U379" s="734"/>
      <c r="V379" s="736"/>
    </row>
    <row r="380" spans="20:22" ht="14.55" x14ac:dyDescent="0.3">
      <c r="T380" s="735"/>
      <c r="U380" s="734"/>
      <c r="V380" s="736"/>
    </row>
    <row r="381" spans="20:22" ht="14.55" x14ac:dyDescent="0.3">
      <c r="T381" s="735"/>
      <c r="U381" s="734"/>
      <c r="V381" s="736"/>
    </row>
    <row r="382" spans="20:22" ht="14.55" x14ac:dyDescent="0.3">
      <c r="T382" s="735"/>
      <c r="U382" s="734"/>
      <c r="V382" s="736"/>
    </row>
    <row r="383" spans="20:22" ht="14.55" x14ac:dyDescent="0.3">
      <c r="T383" s="735"/>
      <c r="U383" s="734"/>
      <c r="V383" s="736"/>
    </row>
    <row r="384" spans="20:22" ht="14.55" x14ac:dyDescent="0.3">
      <c r="T384" s="735"/>
      <c r="U384" s="734"/>
      <c r="V384" s="736"/>
    </row>
    <row r="385" spans="20:22" ht="14.55" x14ac:dyDescent="0.3">
      <c r="T385" s="735"/>
      <c r="U385" s="734"/>
      <c r="V385" s="736"/>
    </row>
    <row r="386" spans="20:22" ht="14.55" x14ac:dyDescent="0.3">
      <c r="T386" s="735"/>
      <c r="U386" s="734"/>
      <c r="V386" s="736"/>
    </row>
    <row r="387" spans="20:22" ht="14.55" x14ac:dyDescent="0.3">
      <c r="T387" s="735"/>
      <c r="U387" s="734"/>
      <c r="V387" s="736"/>
    </row>
    <row r="388" spans="20:22" ht="14.55" x14ac:dyDescent="0.3">
      <c r="T388" s="735"/>
      <c r="U388" s="734"/>
      <c r="V388" s="736"/>
    </row>
    <row r="389" spans="20:22" ht="14.55" x14ac:dyDescent="0.3">
      <c r="T389" s="735"/>
      <c r="U389" s="734"/>
      <c r="V389" s="736"/>
    </row>
    <row r="390" spans="20:22" ht="14.55" x14ac:dyDescent="0.3">
      <c r="T390" s="735"/>
      <c r="U390" s="734"/>
      <c r="V390" s="736"/>
    </row>
    <row r="391" spans="20:22" ht="14.55" x14ac:dyDescent="0.3">
      <c r="T391" s="735"/>
      <c r="U391" s="734"/>
      <c r="V391" s="736"/>
    </row>
    <row r="392" spans="20:22" ht="14.55" x14ac:dyDescent="0.3">
      <c r="T392" s="735"/>
      <c r="U392" s="734"/>
      <c r="V392" s="736"/>
    </row>
    <row r="393" spans="20:22" ht="14.55" x14ac:dyDescent="0.3">
      <c r="T393" s="735"/>
      <c r="U393" s="734"/>
      <c r="V393" s="736"/>
    </row>
    <row r="394" spans="20:22" ht="14.55" x14ac:dyDescent="0.3">
      <c r="T394" s="735"/>
      <c r="U394" s="734"/>
      <c r="V394" s="736"/>
    </row>
    <row r="395" spans="20:22" ht="14.55" x14ac:dyDescent="0.3">
      <c r="T395" s="735"/>
      <c r="U395" s="734"/>
      <c r="V395" s="736"/>
    </row>
    <row r="396" spans="20:22" ht="14.55" x14ac:dyDescent="0.3">
      <c r="T396" s="735"/>
      <c r="U396" s="734"/>
      <c r="V396" s="736"/>
    </row>
    <row r="397" spans="20:22" ht="14.55" x14ac:dyDescent="0.3">
      <c r="T397" s="735"/>
      <c r="U397" s="734"/>
      <c r="V397" s="736"/>
    </row>
    <row r="398" spans="20:22" ht="14.55" x14ac:dyDescent="0.3">
      <c r="T398" s="735"/>
      <c r="U398" s="734"/>
      <c r="V398" s="736"/>
    </row>
    <row r="399" spans="20:22" ht="14.55" x14ac:dyDescent="0.3">
      <c r="T399" s="735"/>
      <c r="U399" s="734"/>
      <c r="V399" s="736"/>
    </row>
    <row r="400" spans="20:22" ht="14.55" x14ac:dyDescent="0.3">
      <c r="T400" s="735"/>
      <c r="U400" s="734"/>
      <c r="V400" s="736"/>
    </row>
    <row r="401" spans="20:22" ht="14.55" x14ac:dyDescent="0.3">
      <c r="T401" s="735"/>
      <c r="U401" s="734"/>
      <c r="V401" s="736"/>
    </row>
    <row r="402" spans="20:22" ht="14.55" x14ac:dyDescent="0.3">
      <c r="T402" s="735"/>
      <c r="U402" s="734"/>
      <c r="V402" s="736"/>
    </row>
    <row r="403" spans="20:22" ht="14.55" x14ac:dyDescent="0.3">
      <c r="T403" s="735"/>
      <c r="U403" s="734"/>
      <c r="V403" s="736"/>
    </row>
    <row r="404" spans="20:22" ht="14.55" x14ac:dyDescent="0.3">
      <c r="T404" s="735"/>
      <c r="U404" s="734"/>
      <c r="V404" s="736"/>
    </row>
    <row r="405" spans="20:22" ht="14.55" x14ac:dyDescent="0.3">
      <c r="T405" s="735"/>
      <c r="U405" s="734"/>
      <c r="V405" s="736"/>
    </row>
    <row r="406" spans="20:22" ht="14.55" x14ac:dyDescent="0.3">
      <c r="T406" s="735"/>
      <c r="U406" s="734"/>
      <c r="V406" s="736"/>
    </row>
    <row r="407" spans="20:22" ht="14.55" x14ac:dyDescent="0.3">
      <c r="T407" s="735"/>
      <c r="U407" s="734"/>
      <c r="V407" s="736"/>
    </row>
    <row r="408" spans="20:22" ht="14.55" x14ac:dyDescent="0.3">
      <c r="T408" s="735"/>
      <c r="U408" s="734"/>
      <c r="V408" s="736"/>
    </row>
    <row r="409" spans="20:22" ht="14.55" x14ac:dyDescent="0.3">
      <c r="T409" s="735"/>
      <c r="U409" s="734"/>
      <c r="V409" s="736"/>
    </row>
    <row r="410" spans="20:22" ht="14.55" x14ac:dyDescent="0.3">
      <c r="T410" s="735"/>
      <c r="U410" s="734"/>
      <c r="V410" s="736"/>
    </row>
    <row r="411" spans="20:22" ht="14.55" x14ac:dyDescent="0.3">
      <c r="T411" s="735"/>
      <c r="U411" s="734"/>
      <c r="V411" s="736"/>
    </row>
    <row r="412" spans="20:22" ht="14.55" x14ac:dyDescent="0.3">
      <c r="T412" s="735"/>
      <c r="U412" s="734"/>
      <c r="V412" s="736"/>
    </row>
    <row r="413" spans="20:22" ht="14.55" x14ac:dyDescent="0.3">
      <c r="T413" s="735"/>
      <c r="U413" s="734"/>
      <c r="V413" s="736"/>
    </row>
    <row r="414" spans="20:22" ht="14.55" x14ac:dyDescent="0.3">
      <c r="T414" s="735"/>
      <c r="U414" s="734"/>
      <c r="V414" s="736"/>
    </row>
    <row r="415" spans="20:22" ht="14.55" x14ac:dyDescent="0.3">
      <c r="T415" s="735"/>
      <c r="U415" s="734"/>
      <c r="V415" s="736"/>
    </row>
    <row r="416" spans="20:22" ht="14.55" x14ac:dyDescent="0.3">
      <c r="T416" s="735"/>
      <c r="U416" s="734"/>
      <c r="V416" s="736"/>
    </row>
    <row r="417" spans="20:22" ht="14.55" x14ac:dyDescent="0.3">
      <c r="T417" s="735"/>
      <c r="U417" s="734"/>
      <c r="V417" s="736"/>
    </row>
    <row r="418" spans="20:22" ht="14.55" x14ac:dyDescent="0.3">
      <c r="T418" s="735"/>
      <c r="U418" s="734"/>
      <c r="V418" s="736"/>
    </row>
    <row r="419" spans="20:22" ht="14.55" x14ac:dyDescent="0.3">
      <c r="T419" s="735"/>
      <c r="U419" s="734"/>
      <c r="V419" s="736"/>
    </row>
    <row r="420" spans="20:22" ht="14.55" x14ac:dyDescent="0.3">
      <c r="T420" s="735"/>
      <c r="U420" s="734"/>
      <c r="V420" s="736"/>
    </row>
    <row r="421" spans="20:22" ht="14.55" x14ac:dyDescent="0.3">
      <c r="T421" s="735"/>
      <c r="U421" s="734"/>
      <c r="V421" s="736"/>
    </row>
    <row r="422" spans="20:22" ht="14.55" x14ac:dyDescent="0.3">
      <c r="T422" s="735"/>
      <c r="U422" s="734"/>
      <c r="V422" s="736"/>
    </row>
    <row r="423" spans="20:22" ht="14.55" x14ac:dyDescent="0.3">
      <c r="T423" s="735"/>
      <c r="U423" s="734"/>
      <c r="V423" s="736"/>
    </row>
    <row r="424" spans="20:22" ht="14.55" x14ac:dyDescent="0.3">
      <c r="T424" s="735"/>
      <c r="U424" s="734"/>
      <c r="V424" s="736"/>
    </row>
    <row r="425" spans="20:22" ht="14.55" x14ac:dyDescent="0.3">
      <c r="T425" s="735"/>
      <c r="U425" s="734"/>
      <c r="V425" s="736"/>
    </row>
    <row r="426" spans="20:22" ht="14.55" x14ac:dyDescent="0.3">
      <c r="T426" s="735"/>
      <c r="U426" s="734"/>
      <c r="V426" s="736"/>
    </row>
    <row r="427" spans="20:22" ht="14.55" x14ac:dyDescent="0.3">
      <c r="T427" s="735"/>
      <c r="U427" s="734"/>
      <c r="V427" s="736"/>
    </row>
    <row r="428" spans="20:22" ht="14.55" x14ac:dyDescent="0.3">
      <c r="T428" s="735"/>
      <c r="U428" s="734"/>
      <c r="V428" s="736"/>
    </row>
    <row r="429" spans="20:22" ht="14.55" x14ac:dyDescent="0.3">
      <c r="T429" s="735"/>
      <c r="U429" s="734"/>
      <c r="V429" s="736"/>
    </row>
    <row r="430" spans="20:22" ht="14.55" x14ac:dyDescent="0.3">
      <c r="T430" s="735"/>
      <c r="U430" s="734"/>
      <c r="V430" s="736"/>
    </row>
    <row r="431" spans="20:22" ht="14.55" x14ac:dyDescent="0.3">
      <c r="T431" s="735"/>
      <c r="U431" s="734"/>
      <c r="V431" s="736"/>
    </row>
    <row r="432" spans="20:22" ht="14.55" x14ac:dyDescent="0.3">
      <c r="T432" s="735"/>
      <c r="U432" s="734"/>
      <c r="V432" s="736"/>
    </row>
    <row r="433" spans="20:22" ht="14.55" x14ac:dyDescent="0.3">
      <c r="T433" s="735"/>
      <c r="U433" s="734"/>
      <c r="V433" s="736"/>
    </row>
    <row r="434" spans="20:22" ht="14.55" x14ac:dyDescent="0.3">
      <c r="T434" s="735"/>
      <c r="U434" s="734"/>
      <c r="V434" s="736"/>
    </row>
    <row r="435" spans="20:22" ht="14.55" x14ac:dyDescent="0.3">
      <c r="T435" s="735"/>
      <c r="U435" s="734"/>
      <c r="V435" s="736"/>
    </row>
    <row r="436" spans="20:22" ht="14.55" x14ac:dyDescent="0.3">
      <c r="T436" s="735"/>
      <c r="U436" s="734"/>
      <c r="V436" s="736"/>
    </row>
    <row r="437" spans="20:22" ht="14.55" x14ac:dyDescent="0.3">
      <c r="T437" s="735"/>
      <c r="U437" s="734"/>
      <c r="V437" s="736"/>
    </row>
    <row r="438" spans="20:22" ht="14.55" x14ac:dyDescent="0.3">
      <c r="T438" s="735"/>
      <c r="U438" s="734"/>
      <c r="V438" s="736"/>
    </row>
    <row r="439" spans="20:22" ht="14.55" x14ac:dyDescent="0.3">
      <c r="T439" s="735"/>
      <c r="U439" s="734"/>
      <c r="V439" s="736"/>
    </row>
    <row r="440" spans="20:22" ht="14.55" x14ac:dyDescent="0.3">
      <c r="T440" s="735"/>
      <c r="U440" s="734"/>
      <c r="V440" s="736"/>
    </row>
    <row r="441" spans="20:22" ht="14.55" x14ac:dyDescent="0.3">
      <c r="T441" s="735"/>
      <c r="U441" s="734"/>
      <c r="V441" s="736"/>
    </row>
    <row r="442" spans="20:22" ht="14.55" x14ac:dyDescent="0.3">
      <c r="T442" s="735"/>
      <c r="U442" s="734"/>
      <c r="V442" s="736"/>
    </row>
    <row r="443" spans="20:22" ht="14.55" x14ac:dyDescent="0.3">
      <c r="T443" s="735"/>
      <c r="U443" s="734"/>
      <c r="V443" s="736"/>
    </row>
    <row r="444" spans="20:22" ht="14.55" x14ac:dyDescent="0.3">
      <c r="T444" s="735"/>
      <c r="U444" s="734"/>
      <c r="V444" s="736"/>
    </row>
    <row r="445" spans="20:22" ht="14.55" x14ac:dyDescent="0.3">
      <c r="T445" s="735"/>
      <c r="U445" s="734"/>
      <c r="V445" s="736"/>
    </row>
    <row r="446" spans="20:22" ht="14.55" x14ac:dyDescent="0.3">
      <c r="T446" s="735"/>
      <c r="U446" s="734"/>
      <c r="V446" s="736"/>
    </row>
    <row r="447" spans="20:22" ht="14.55" x14ac:dyDescent="0.3">
      <c r="T447" s="735"/>
      <c r="U447" s="734"/>
      <c r="V447" s="736"/>
    </row>
    <row r="448" spans="20:22" ht="14.55" x14ac:dyDescent="0.3">
      <c r="T448" s="735"/>
      <c r="U448" s="734"/>
      <c r="V448" s="736"/>
    </row>
    <row r="449" spans="20:22" ht="14.55" x14ac:dyDescent="0.3">
      <c r="T449" s="735"/>
      <c r="U449" s="734"/>
      <c r="V449" s="736"/>
    </row>
    <row r="450" spans="20:22" ht="14.55" x14ac:dyDescent="0.3">
      <c r="T450" s="735"/>
      <c r="U450" s="734"/>
      <c r="V450" s="736"/>
    </row>
    <row r="451" spans="20:22" ht="14.55" x14ac:dyDescent="0.3">
      <c r="T451" s="735"/>
      <c r="U451" s="734"/>
      <c r="V451" s="736"/>
    </row>
    <row r="452" spans="20:22" ht="14.55" x14ac:dyDescent="0.3">
      <c r="T452" s="735"/>
      <c r="U452" s="734"/>
      <c r="V452" s="736"/>
    </row>
    <row r="453" spans="20:22" ht="14.55" x14ac:dyDescent="0.3">
      <c r="T453" s="735"/>
      <c r="U453" s="734"/>
      <c r="V453" s="736"/>
    </row>
    <row r="454" spans="20:22" ht="14.55" x14ac:dyDescent="0.3">
      <c r="T454" s="735"/>
      <c r="U454" s="734"/>
      <c r="V454" s="736"/>
    </row>
    <row r="455" spans="20:22" ht="14.55" x14ac:dyDescent="0.3">
      <c r="T455" s="735"/>
      <c r="U455" s="734"/>
      <c r="V455" s="736"/>
    </row>
    <row r="456" spans="20:22" ht="14.55" x14ac:dyDescent="0.3">
      <c r="T456" s="735"/>
      <c r="U456" s="734"/>
      <c r="V456" s="736"/>
    </row>
    <row r="457" spans="20:22" ht="14.55" x14ac:dyDescent="0.3">
      <c r="T457" s="735"/>
      <c r="U457" s="734"/>
      <c r="V457" s="736"/>
    </row>
    <row r="458" spans="20:22" ht="14.55" x14ac:dyDescent="0.3">
      <c r="T458" s="735"/>
      <c r="U458" s="734"/>
      <c r="V458" s="736"/>
    </row>
    <row r="459" spans="20:22" ht="14.55" x14ac:dyDescent="0.3">
      <c r="T459" s="735"/>
      <c r="U459" s="734"/>
      <c r="V459" s="736"/>
    </row>
    <row r="460" spans="20:22" ht="14.55" x14ac:dyDescent="0.3">
      <c r="T460" s="735"/>
      <c r="U460" s="734"/>
      <c r="V460" s="736"/>
    </row>
    <row r="461" spans="20:22" ht="14.55" x14ac:dyDescent="0.3">
      <c r="T461" s="735"/>
      <c r="U461" s="734"/>
      <c r="V461" s="736"/>
    </row>
    <row r="462" spans="20:22" ht="14.55" x14ac:dyDescent="0.3">
      <c r="T462" s="735"/>
      <c r="U462" s="734"/>
      <c r="V462" s="736"/>
    </row>
    <row r="463" spans="20:22" ht="14.55" x14ac:dyDescent="0.3">
      <c r="T463" s="735"/>
      <c r="U463" s="734"/>
      <c r="V463" s="736"/>
    </row>
    <row r="464" spans="20:22" ht="14.55" x14ac:dyDescent="0.3">
      <c r="T464" s="735"/>
      <c r="U464" s="734"/>
      <c r="V464" s="736"/>
    </row>
    <row r="465" spans="20:22" ht="14.55" x14ac:dyDescent="0.3">
      <c r="T465" s="735"/>
      <c r="U465" s="734"/>
      <c r="V465" s="736"/>
    </row>
    <row r="466" spans="20:22" ht="14.55" x14ac:dyDescent="0.3">
      <c r="T466" s="735"/>
      <c r="U466" s="734"/>
      <c r="V466" s="736"/>
    </row>
    <row r="467" spans="20:22" ht="14.55" x14ac:dyDescent="0.3">
      <c r="T467" s="735"/>
      <c r="U467" s="734"/>
      <c r="V467" s="736"/>
    </row>
    <row r="468" spans="20:22" ht="14.55" x14ac:dyDescent="0.3">
      <c r="T468" s="735"/>
      <c r="U468" s="734"/>
      <c r="V468" s="736"/>
    </row>
    <row r="469" spans="20:22" ht="14.55" x14ac:dyDescent="0.3">
      <c r="T469" s="735"/>
      <c r="U469" s="734"/>
      <c r="V469" s="736"/>
    </row>
    <row r="470" spans="20:22" ht="14.55" x14ac:dyDescent="0.3">
      <c r="T470" s="735"/>
      <c r="U470" s="734"/>
      <c r="V470" s="736"/>
    </row>
    <row r="471" spans="20:22" ht="14.55" x14ac:dyDescent="0.3">
      <c r="T471" s="735"/>
      <c r="U471" s="734"/>
      <c r="V471" s="736"/>
    </row>
    <row r="472" spans="20:22" ht="14.55" x14ac:dyDescent="0.3">
      <c r="T472" s="735"/>
      <c r="U472" s="734"/>
      <c r="V472" s="736"/>
    </row>
    <row r="473" spans="20:22" ht="14.55" x14ac:dyDescent="0.3">
      <c r="T473" s="735"/>
      <c r="U473" s="734"/>
      <c r="V473" s="736"/>
    </row>
    <row r="474" spans="20:22" ht="14.55" x14ac:dyDescent="0.3">
      <c r="T474" s="735"/>
      <c r="U474" s="734"/>
      <c r="V474" s="736"/>
    </row>
    <row r="475" spans="20:22" ht="14.55" x14ac:dyDescent="0.3">
      <c r="T475" s="735"/>
      <c r="U475" s="734"/>
      <c r="V475" s="736"/>
    </row>
    <row r="476" spans="20:22" ht="14.55" x14ac:dyDescent="0.3">
      <c r="T476" s="735"/>
      <c r="U476" s="734"/>
      <c r="V476" s="736"/>
    </row>
    <row r="477" spans="20:22" ht="14.55" x14ac:dyDescent="0.3">
      <c r="T477" s="735"/>
      <c r="U477" s="734"/>
      <c r="V477" s="736"/>
    </row>
    <row r="478" spans="20:22" ht="14.55" x14ac:dyDescent="0.3">
      <c r="T478" s="735"/>
      <c r="U478" s="734"/>
      <c r="V478" s="736"/>
    </row>
    <row r="479" spans="20:22" ht="14.55" x14ac:dyDescent="0.3">
      <c r="T479" s="735"/>
      <c r="U479" s="734"/>
      <c r="V479" s="736"/>
    </row>
    <row r="480" spans="20:22" ht="14.55" x14ac:dyDescent="0.3">
      <c r="T480" s="735"/>
      <c r="U480" s="734"/>
      <c r="V480" s="736"/>
    </row>
    <row r="481" spans="20:22" ht="14.55" x14ac:dyDescent="0.3">
      <c r="T481" s="735"/>
      <c r="U481" s="734"/>
      <c r="V481" s="736"/>
    </row>
    <row r="482" spans="20:22" ht="14.55" x14ac:dyDescent="0.3">
      <c r="T482" s="735"/>
      <c r="U482" s="734"/>
      <c r="V482" s="736"/>
    </row>
    <row r="483" spans="20:22" ht="14.55" x14ac:dyDescent="0.3">
      <c r="T483" s="735"/>
      <c r="U483" s="734"/>
      <c r="V483" s="736"/>
    </row>
    <row r="484" spans="20:22" ht="14.55" x14ac:dyDescent="0.3">
      <c r="T484" s="735"/>
      <c r="U484" s="734"/>
      <c r="V484" s="736"/>
    </row>
    <row r="485" spans="20:22" ht="14.55" x14ac:dyDescent="0.3">
      <c r="T485" s="735"/>
      <c r="U485" s="734"/>
      <c r="V485" s="736"/>
    </row>
    <row r="486" spans="20:22" ht="14.55" x14ac:dyDescent="0.3">
      <c r="T486" s="735"/>
      <c r="U486" s="734"/>
      <c r="V486" s="736"/>
    </row>
    <row r="487" spans="20:22" ht="14.55" x14ac:dyDescent="0.3">
      <c r="T487" s="735"/>
      <c r="U487" s="734"/>
      <c r="V487" s="736"/>
    </row>
    <row r="488" spans="20:22" ht="14.55" x14ac:dyDescent="0.3">
      <c r="T488" s="735"/>
      <c r="U488" s="734"/>
      <c r="V488" s="736"/>
    </row>
    <row r="489" spans="20:22" ht="14.55" x14ac:dyDescent="0.3">
      <c r="T489" s="735"/>
      <c r="U489" s="734"/>
      <c r="V489" s="736"/>
    </row>
    <row r="490" spans="20:22" ht="14.55" x14ac:dyDescent="0.3">
      <c r="T490" s="735"/>
      <c r="U490" s="734"/>
      <c r="V490" s="736"/>
    </row>
    <row r="491" spans="20:22" ht="14.55" x14ac:dyDescent="0.3">
      <c r="T491" s="735"/>
      <c r="U491" s="734"/>
      <c r="V491" s="736"/>
    </row>
    <row r="492" spans="20:22" ht="14.55" x14ac:dyDescent="0.3">
      <c r="T492" s="735"/>
      <c r="U492" s="734"/>
      <c r="V492" s="736"/>
    </row>
    <row r="493" spans="20:22" ht="14.55" x14ac:dyDescent="0.3">
      <c r="T493" s="735"/>
      <c r="U493" s="734"/>
      <c r="V493" s="736"/>
    </row>
    <row r="494" spans="20:22" ht="14.55" x14ac:dyDescent="0.3">
      <c r="T494" s="735"/>
      <c r="U494" s="734"/>
      <c r="V494" s="736"/>
    </row>
    <row r="495" spans="20:22" ht="14.55" x14ac:dyDescent="0.3">
      <c r="T495" s="735"/>
      <c r="U495" s="734"/>
      <c r="V495" s="736"/>
    </row>
    <row r="496" spans="20:22" ht="14.55" x14ac:dyDescent="0.3">
      <c r="T496" s="735"/>
      <c r="U496" s="734"/>
      <c r="V496" s="736"/>
    </row>
    <row r="497" spans="20:22" ht="14.55" x14ac:dyDescent="0.3">
      <c r="T497" s="735"/>
      <c r="U497" s="734"/>
      <c r="V497" s="736"/>
    </row>
    <row r="498" spans="20:22" ht="14.55" x14ac:dyDescent="0.3">
      <c r="T498" s="735"/>
      <c r="U498" s="734"/>
      <c r="V498" s="736"/>
    </row>
    <row r="499" spans="20:22" ht="14.55" x14ac:dyDescent="0.3">
      <c r="T499" s="735"/>
      <c r="U499" s="734"/>
      <c r="V499" s="736"/>
    </row>
    <row r="500" spans="20:22" ht="14.55" x14ac:dyDescent="0.3">
      <c r="T500" s="735"/>
      <c r="U500" s="734"/>
      <c r="V500" s="736"/>
    </row>
    <row r="501" spans="20:22" ht="14.55" x14ac:dyDescent="0.3">
      <c r="T501" s="735"/>
      <c r="U501" s="734"/>
      <c r="V501" s="736"/>
    </row>
    <row r="502" spans="20:22" ht="14.55" x14ac:dyDescent="0.3">
      <c r="T502" s="735"/>
      <c r="U502" s="734"/>
      <c r="V502" s="736"/>
    </row>
    <row r="503" spans="20:22" ht="14.55" x14ac:dyDescent="0.3">
      <c r="T503" s="735"/>
      <c r="U503" s="734"/>
      <c r="V503" s="736"/>
    </row>
    <row r="504" spans="20:22" ht="14.55" x14ac:dyDescent="0.3">
      <c r="T504" s="735"/>
      <c r="U504" s="734"/>
      <c r="V504" s="736"/>
    </row>
    <row r="505" spans="20:22" ht="14.55" x14ac:dyDescent="0.3">
      <c r="T505" s="735"/>
      <c r="U505" s="734"/>
      <c r="V505" s="736"/>
    </row>
    <row r="506" spans="20:22" ht="14.55" x14ac:dyDescent="0.3">
      <c r="T506" s="735"/>
      <c r="U506" s="734"/>
      <c r="V506" s="736"/>
    </row>
    <row r="507" spans="20:22" ht="14.55" x14ac:dyDescent="0.3">
      <c r="T507" s="735"/>
      <c r="U507" s="734"/>
      <c r="V507" s="736"/>
    </row>
    <row r="508" spans="20:22" ht="14.55" x14ac:dyDescent="0.3">
      <c r="T508" s="735"/>
      <c r="U508" s="734"/>
      <c r="V508" s="736"/>
    </row>
    <row r="509" spans="20:22" ht="14.55" x14ac:dyDescent="0.3">
      <c r="T509" s="735"/>
      <c r="U509" s="734"/>
      <c r="V509" s="736"/>
    </row>
    <row r="510" spans="20:22" ht="14.55" x14ac:dyDescent="0.3">
      <c r="T510" s="735"/>
      <c r="U510" s="734"/>
      <c r="V510" s="736"/>
    </row>
    <row r="511" spans="20:22" ht="14.55" x14ac:dyDescent="0.3">
      <c r="T511" s="735"/>
      <c r="U511" s="734"/>
      <c r="V511" s="736"/>
    </row>
    <row r="512" spans="20:22" ht="14.55" x14ac:dyDescent="0.3">
      <c r="T512" s="735"/>
      <c r="U512" s="734"/>
      <c r="V512" s="736"/>
    </row>
    <row r="513" spans="20:22" ht="14.55" x14ac:dyDescent="0.3">
      <c r="T513" s="735"/>
      <c r="U513" s="734"/>
      <c r="V513" s="736"/>
    </row>
    <row r="514" spans="20:22" ht="14.55" x14ac:dyDescent="0.3">
      <c r="T514" s="735"/>
      <c r="U514" s="734"/>
      <c r="V514" s="736"/>
    </row>
    <row r="515" spans="20:22" ht="14.55" x14ac:dyDescent="0.3">
      <c r="T515" s="735"/>
      <c r="U515" s="734"/>
      <c r="V515" s="736"/>
    </row>
    <row r="516" spans="20:22" ht="14.55" x14ac:dyDescent="0.3">
      <c r="T516" s="735"/>
      <c r="U516" s="734"/>
      <c r="V516" s="736"/>
    </row>
    <row r="517" spans="20:22" ht="14.55" x14ac:dyDescent="0.3">
      <c r="T517" s="735"/>
      <c r="U517" s="734"/>
      <c r="V517" s="736"/>
    </row>
    <row r="518" spans="20:22" ht="14.55" x14ac:dyDescent="0.3">
      <c r="T518" s="735"/>
      <c r="U518" s="734"/>
      <c r="V518" s="736"/>
    </row>
    <row r="519" spans="20:22" ht="14.55" x14ac:dyDescent="0.3">
      <c r="T519" s="735"/>
      <c r="U519" s="734"/>
      <c r="V519" s="736"/>
    </row>
    <row r="520" spans="20:22" ht="14.55" x14ac:dyDescent="0.3">
      <c r="T520" s="735"/>
      <c r="U520" s="734"/>
      <c r="V520" s="736"/>
    </row>
    <row r="521" spans="20:22" ht="14.55" x14ac:dyDescent="0.3">
      <c r="T521" s="735"/>
      <c r="U521" s="734"/>
      <c r="V521" s="736"/>
    </row>
    <row r="522" spans="20:22" ht="14.55" x14ac:dyDescent="0.3">
      <c r="T522" s="735"/>
      <c r="U522" s="734"/>
      <c r="V522" s="736"/>
    </row>
    <row r="523" spans="20:22" ht="14.55" x14ac:dyDescent="0.3">
      <c r="T523" s="735"/>
      <c r="U523" s="734"/>
      <c r="V523" s="736"/>
    </row>
    <row r="524" spans="20:22" ht="14.55" x14ac:dyDescent="0.3">
      <c r="T524" s="735"/>
      <c r="U524" s="734"/>
      <c r="V524" s="736"/>
    </row>
    <row r="525" spans="20:22" ht="14.55" x14ac:dyDescent="0.3">
      <c r="T525" s="735"/>
      <c r="U525" s="734"/>
      <c r="V525" s="736"/>
    </row>
    <row r="526" spans="20:22" ht="14.55" x14ac:dyDescent="0.3">
      <c r="T526" s="735"/>
      <c r="U526" s="734"/>
      <c r="V526" s="736"/>
    </row>
    <row r="527" spans="20:22" ht="14.55" x14ac:dyDescent="0.3">
      <c r="T527" s="735"/>
      <c r="U527" s="734"/>
      <c r="V527" s="736"/>
    </row>
    <row r="528" spans="20:22" ht="14.55" x14ac:dyDescent="0.3">
      <c r="T528" s="735"/>
      <c r="U528" s="734"/>
      <c r="V528" s="736"/>
    </row>
    <row r="529" spans="20:22" ht="14.55" x14ac:dyDescent="0.3">
      <c r="T529" s="735"/>
      <c r="U529" s="734"/>
      <c r="V529" s="736"/>
    </row>
    <row r="530" spans="20:22" ht="14.55" x14ac:dyDescent="0.3">
      <c r="T530" s="735"/>
      <c r="U530" s="734"/>
      <c r="V530" s="736"/>
    </row>
    <row r="531" spans="20:22" ht="14.55" x14ac:dyDescent="0.3">
      <c r="T531" s="735"/>
      <c r="U531" s="734"/>
      <c r="V531" s="736"/>
    </row>
    <row r="532" spans="20:22" ht="14.55" x14ac:dyDescent="0.3">
      <c r="T532" s="735"/>
      <c r="U532" s="734"/>
      <c r="V532" s="736"/>
    </row>
    <row r="533" spans="20:22" ht="14.55" x14ac:dyDescent="0.3">
      <c r="T533" s="735"/>
      <c r="U533" s="734"/>
      <c r="V533" s="736"/>
    </row>
    <row r="534" spans="20:22" ht="14.55" x14ac:dyDescent="0.3">
      <c r="T534" s="735"/>
      <c r="U534" s="734"/>
      <c r="V534" s="736"/>
    </row>
    <row r="535" spans="20:22" ht="14.55" x14ac:dyDescent="0.3">
      <c r="T535" s="735"/>
      <c r="U535" s="734"/>
      <c r="V535" s="736"/>
    </row>
    <row r="536" spans="20:22" ht="14.55" x14ac:dyDescent="0.3">
      <c r="T536" s="735"/>
      <c r="U536" s="734"/>
      <c r="V536" s="736"/>
    </row>
    <row r="537" spans="20:22" ht="14.55" x14ac:dyDescent="0.3">
      <c r="T537" s="735"/>
      <c r="U537" s="734"/>
      <c r="V537" s="736"/>
    </row>
    <row r="538" spans="20:22" ht="14.55" x14ac:dyDescent="0.3">
      <c r="T538" s="735"/>
      <c r="U538" s="734"/>
      <c r="V538" s="736"/>
    </row>
    <row r="539" spans="20:22" ht="14.55" x14ac:dyDescent="0.3">
      <c r="T539" s="735"/>
      <c r="U539" s="734"/>
      <c r="V539" s="736"/>
    </row>
    <row r="540" spans="20:22" ht="14.55" x14ac:dyDescent="0.3">
      <c r="T540" s="735"/>
      <c r="U540" s="734"/>
      <c r="V540" s="736"/>
    </row>
    <row r="541" spans="20:22" ht="14.55" x14ac:dyDescent="0.3">
      <c r="T541" s="735"/>
      <c r="U541" s="734"/>
      <c r="V541" s="736"/>
    </row>
    <row r="542" spans="20:22" ht="14.55" x14ac:dyDescent="0.3">
      <c r="T542" s="735"/>
      <c r="U542" s="734"/>
      <c r="V542" s="736"/>
    </row>
    <row r="543" spans="20:22" ht="14.55" x14ac:dyDescent="0.3">
      <c r="T543" s="735"/>
      <c r="U543" s="734"/>
      <c r="V543" s="736"/>
    </row>
    <row r="544" spans="20:22" ht="14.55" x14ac:dyDescent="0.3">
      <c r="T544" s="735"/>
      <c r="U544" s="734"/>
      <c r="V544" s="736"/>
    </row>
    <row r="545" spans="20:22" ht="14.55" x14ac:dyDescent="0.3">
      <c r="T545" s="735"/>
      <c r="U545" s="734"/>
      <c r="V545" s="736"/>
    </row>
    <row r="546" spans="20:22" ht="14.55" x14ac:dyDescent="0.3">
      <c r="T546" s="735"/>
      <c r="U546" s="734"/>
      <c r="V546" s="736"/>
    </row>
    <row r="547" spans="20:22" ht="14.55" x14ac:dyDescent="0.3">
      <c r="T547" s="735"/>
      <c r="U547" s="734"/>
      <c r="V547" s="736"/>
    </row>
    <row r="548" spans="20:22" ht="14.55" x14ac:dyDescent="0.3">
      <c r="T548" s="735"/>
      <c r="U548" s="734"/>
      <c r="V548" s="736"/>
    </row>
    <row r="549" spans="20:22" ht="14.55" x14ac:dyDescent="0.3">
      <c r="T549" s="735"/>
      <c r="U549" s="734"/>
      <c r="V549" s="736"/>
    </row>
    <row r="550" spans="20:22" ht="14.55" x14ac:dyDescent="0.3">
      <c r="T550" s="735"/>
      <c r="U550" s="734"/>
      <c r="V550" s="736"/>
    </row>
    <row r="551" spans="20:22" ht="14.55" x14ac:dyDescent="0.3">
      <c r="T551" s="735"/>
      <c r="U551" s="734"/>
      <c r="V551" s="736"/>
    </row>
    <row r="552" spans="20:22" ht="14.55" x14ac:dyDescent="0.3">
      <c r="T552" s="735"/>
      <c r="U552" s="734"/>
      <c r="V552" s="736"/>
    </row>
    <row r="553" spans="20:22" ht="14.55" x14ac:dyDescent="0.3">
      <c r="T553" s="735"/>
      <c r="U553" s="734"/>
      <c r="V553" s="736"/>
    </row>
    <row r="554" spans="20:22" ht="14.55" x14ac:dyDescent="0.3">
      <c r="T554" s="735"/>
      <c r="U554" s="734"/>
      <c r="V554" s="736"/>
    </row>
    <row r="555" spans="20:22" ht="14.55" x14ac:dyDescent="0.3">
      <c r="T555" s="735"/>
      <c r="U555" s="734"/>
      <c r="V555" s="736"/>
    </row>
    <row r="556" spans="20:22" ht="14.55" x14ac:dyDescent="0.3">
      <c r="T556" s="735"/>
      <c r="U556" s="734"/>
      <c r="V556" s="736"/>
    </row>
    <row r="557" spans="20:22" ht="14.55" x14ac:dyDescent="0.3">
      <c r="T557" s="735"/>
      <c r="U557" s="734"/>
      <c r="V557" s="736"/>
    </row>
    <row r="558" spans="20:22" ht="14.55" x14ac:dyDescent="0.3">
      <c r="T558" s="735"/>
      <c r="U558" s="734"/>
      <c r="V558" s="736"/>
    </row>
    <row r="559" spans="20:22" ht="14.55" x14ac:dyDescent="0.3">
      <c r="T559" s="735"/>
      <c r="U559" s="734"/>
      <c r="V559" s="736"/>
    </row>
    <row r="560" spans="20:22" ht="14.55" x14ac:dyDescent="0.3">
      <c r="T560" s="735"/>
      <c r="U560" s="734"/>
      <c r="V560" s="736"/>
    </row>
    <row r="561" spans="20:22" ht="14.55" x14ac:dyDescent="0.3">
      <c r="T561" s="735"/>
      <c r="U561" s="734"/>
      <c r="V561" s="736"/>
    </row>
    <row r="562" spans="20:22" ht="14.55" x14ac:dyDescent="0.3">
      <c r="T562" s="735"/>
      <c r="U562" s="734"/>
      <c r="V562" s="736"/>
    </row>
    <row r="563" spans="20:22" ht="14.55" x14ac:dyDescent="0.3">
      <c r="T563" s="735"/>
      <c r="U563" s="734"/>
      <c r="V563" s="736"/>
    </row>
    <row r="564" spans="20:22" ht="14.55" x14ac:dyDescent="0.3">
      <c r="T564" s="735"/>
      <c r="U564" s="734"/>
      <c r="V564" s="736"/>
    </row>
    <row r="565" spans="20:22" ht="14.55" x14ac:dyDescent="0.3">
      <c r="T565" s="735"/>
      <c r="U565" s="734"/>
      <c r="V565" s="736"/>
    </row>
    <row r="566" spans="20:22" ht="14.55" x14ac:dyDescent="0.3">
      <c r="T566" s="735"/>
      <c r="U566" s="734"/>
      <c r="V566" s="736"/>
    </row>
    <row r="567" spans="20:22" ht="14.55" x14ac:dyDescent="0.3">
      <c r="T567" s="735"/>
      <c r="U567" s="734"/>
      <c r="V567" s="736"/>
    </row>
    <row r="568" spans="20:22" ht="14.55" x14ac:dyDescent="0.3">
      <c r="T568" s="735"/>
      <c r="U568" s="734"/>
      <c r="V568" s="736"/>
    </row>
    <row r="569" spans="20:22" ht="14.55" x14ac:dyDescent="0.3">
      <c r="T569" s="735"/>
      <c r="U569" s="734"/>
      <c r="V569" s="736"/>
    </row>
    <row r="570" spans="20:22" ht="14.55" x14ac:dyDescent="0.3">
      <c r="T570" s="735"/>
      <c r="U570" s="734"/>
      <c r="V570" s="736"/>
    </row>
    <row r="571" spans="20:22" ht="14.55" x14ac:dyDescent="0.3">
      <c r="T571" s="735"/>
      <c r="U571" s="734"/>
      <c r="V571" s="736"/>
    </row>
    <row r="572" spans="20:22" ht="14.55" x14ac:dyDescent="0.3">
      <c r="T572" s="735"/>
      <c r="U572" s="734"/>
      <c r="V572" s="736"/>
    </row>
    <row r="573" spans="20:22" ht="14.55" x14ac:dyDescent="0.3">
      <c r="T573" s="735"/>
      <c r="U573" s="734"/>
      <c r="V573" s="736"/>
    </row>
    <row r="574" spans="20:22" ht="14.55" x14ac:dyDescent="0.3">
      <c r="T574" s="735"/>
      <c r="U574" s="734"/>
      <c r="V574" s="736"/>
    </row>
    <row r="575" spans="20:22" ht="14.55" x14ac:dyDescent="0.3">
      <c r="T575" s="735"/>
      <c r="U575" s="734"/>
      <c r="V575" s="736"/>
    </row>
    <row r="576" spans="20:22" ht="14.55" x14ac:dyDescent="0.3">
      <c r="T576" s="735"/>
      <c r="U576" s="734"/>
      <c r="V576" s="736"/>
    </row>
    <row r="577" spans="20:22" ht="14.55" x14ac:dyDescent="0.3">
      <c r="T577" s="735"/>
      <c r="U577" s="734"/>
      <c r="V577" s="736"/>
    </row>
    <row r="578" spans="20:22" ht="14.55" x14ac:dyDescent="0.3">
      <c r="T578" s="735"/>
      <c r="U578" s="734"/>
      <c r="V578" s="736"/>
    </row>
    <row r="579" spans="20:22" ht="14.55" x14ac:dyDescent="0.3">
      <c r="T579" s="735"/>
      <c r="U579" s="734"/>
      <c r="V579" s="736"/>
    </row>
    <row r="580" spans="20:22" ht="14.55" x14ac:dyDescent="0.3">
      <c r="T580" s="735"/>
      <c r="U580" s="734"/>
      <c r="V580" s="736"/>
    </row>
    <row r="581" spans="20:22" ht="14.55" x14ac:dyDescent="0.3">
      <c r="T581" s="735"/>
      <c r="U581" s="734"/>
      <c r="V581" s="736"/>
    </row>
    <row r="582" spans="20:22" ht="14.55" x14ac:dyDescent="0.3">
      <c r="T582" s="735"/>
      <c r="U582" s="734"/>
      <c r="V582" s="736"/>
    </row>
    <row r="583" spans="20:22" ht="14.55" x14ac:dyDescent="0.3">
      <c r="T583" s="735"/>
      <c r="U583" s="734"/>
      <c r="V583" s="736"/>
    </row>
    <row r="584" spans="20:22" ht="14.55" x14ac:dyDescent="0.3">
      <c r="T584" s="735"/>
      <c r="U584" s="734"/>
      <c r="V584" s="736"/>
    </row>
    <row r="585" spans="20:22" ht="14.55" x14ac:dyDescent="0.3">
      <c r="T585" s="735"/>
      <c r="U585" s="734"/>
      <c r="V585" s="736"/>
    </row>
    <row r="586" spans="20:22" ht="14.55" x14ac:dyDescent="0.3">
      <c r="T586" s="735"/>
      <c r="U586" s="734"/>
      <c r="V586" s="736"/>
    </row>
    <row r="587" spans="20:22" ht="14.55" x14ac:dyDescent="0.3">
      <c r="T587" s="735"/>
      <c r="U587" s="734"/>
      <c r="V587" s="736"/>
    </row>
    <row r="588" spans="20:22" ht="14.55" x14ac:dyDescent="0.3">
      <c r="T588" s="735"/>
      <c r="U588" s="734"/>
      <c r="V588" s="736"/>
    </row>
    <row r="589" spans="20:22" ht="14.55" x14ac:dyDescent="0.3">
      <c r="T589" s="735"/>
      <c r="U589" s="734"/>
      <c r="V589" s="736"/>
    </row>
    <row r="590" spans="20:22" ht="14.55" x14ac:dyDescent="0.3">
      <c r="T590" s="735"/>
      <c r="U590" s="734"/>
      <c r="V590" s="736"/>
    </row>
    <row r="591" spans="20:22" ht="14.55" x14ac:dyDescent="0.3">
      <c r="T591" s="735"/>
      <c r="U591" s="734"/>
      <c r="V591" s="736"/>
    </row>
    <row r="592" spans="20:22" ht="14.55" x14ac:dyDescent="0.3">
      <c r="T592" s="735"/>
      <c r="U592" s="734"/>
      <c r="V592" s="736"/>
    </row>
    <row r="593" spans="20:22" ht="14.55" x14ac:dyDescent="0.3">
      <c r="T593" s="735"/>
      <c r="U593" s="734"/>
      <c r="V593" s="736"/>
    </row>
    <row r="594" spans="20:22" ht="14.55" x14ac:dyDescent="0.3">
      <c r="T594" s="735"/>
      <c r="U594" s="734"/>
      <c r="V594" s="736"/>
    </row>
    <row r="595" spans="20:22" ht="14.55" x14ac:dyDescent="0.3">
      <c r="T595" s="735"/>
      <c r="U595" s="734"/>
      <c r="V595" s="736"/>
    </row>
    <row r="596" spans="20:22" ht="14.55" x14ac:dyDescent="0.3">
      <c r="T596" s="735"/>
      <c r="U596" s="734"/>
      <c r="V596" s="736"/>
    </row>
    <row r="597" spans="20:22" ht="14.55" x14ac:dyDescent="0.3">
      <c r="T597" s="735"/>
      <c r="U597" s="734"/>
      <c r="V597" s="736"/>
    </row>
    <row r="598" spans="20:22" ht="14.55" x14ac:dyDescent="0.3">
      <c r="T598" s="735"/>
      <c r="U598" s="734"/>
      <c r="V598" s="736"/>
    </row>
    <row r="599" spans="20:22" ht="14.55" x14ac:dyDescent="0.3">
      <c r="T599" s="735"/>
      <c r="U599" s="734"/>
      <c r="V599" s="736"/>
    </row>
    <row r="600" spans="20:22" ht="14.55" x14ac:dyDescent="0.3">
      <c r="T600" s="735"/>
      <c r="U600" s="734"/>
      <c r="V600" s="736"/>
    </row>
    <row r="601" spans="20:22" ht="14.55" x14ac:dyDescent="0.3">
      <c r="T601" s="735"/>
      <c r="U601" s="734"/>
      <c r="V601" s="736"/>
    </row>
    <row r="602" spans="20:22" ht="14.55" x14ac:dyDescent="0.3">
      <c r="T602" s="735"/>
      <c r="U602" s="734"/>
      <c r="V602" s="736"/>
    </row>
    <row r="603" spans="20:22" ht="14.55" x14ac:dyDescent="0.3">
      <c r="T603" s="735"/>
      <c r="U603" s="734"/>
      <c r="V603" s="736"/>
    </row>
    <row r="604" spans="20:22" ht="14.55" x14ac:dyDescent="0.3">
      <c r="T604" s="735"/>
      <c r="U604" s="734"/>
      <c r="V604" s="736"/>
    </row>
    <row r="605" spans="20:22" ht="14.55" x14ac:dyDescent="0.3">
      <c r="T605" s="735"/>
      <c r="U605" s="734"/>
      <c r="V605" s="736"/>
    </row>
    <row r="606" spans="20:22" ht="14.55" x14ac:dyDescent="0.3">
      <c r="T606" s="735"/>
      <c r="U606" s="734"/>
      <c r="V606" s="736"/>
    </row>
  </sheetData>
  <sheetProtection selectLockedCells="1"/>
  <mergeCells count="119">
    <mergeCell ref="P5:Q5"/>
    <mergeCell ref="D7:E7"/>
    <mergeCell ref="G7:H7"/>
    <mergeCell ref="J7:K7"/>
    <mergeCell ref="M7:N7"/>
    <mergeCell ref="P7:Q7"/>
    <mergeCell ref="B4:B7"/>
    <mergeCell ref="D4:E4"/>
    <mergeCell ref="G4:H4"/>
    <mergeCell ref="J4:K4"/>
    <mergeCell ref="M4:N4"/>
    <mergeCell ref="P4:Q4"/>
    <mergeCell ref="D5:E5"/>
    <mergeCell ref="G5:H5"/>
    <mergeCell ref="J5:K5"/>
    <mergeCell ref="M5:N5"/>
    <mergeCell ref="B58:E58"/>
    <mergeCell ref="G58:H58"/>
    <mergeCell ref="I58:J58"/>
    <mergeCell ref="K58:L58"/>
    <mergeCell ref="B62:E62"/>
    <mergeCell ref="G62:H62"/>
    <mergeCell ref="D50:H50"/>
    <mergeCell ref="D52:D56"/>
    <mergeCell ref="G52:G56"/>
    <mergeCell ref="G57:H57"/>
    <mergeCell ref="I57:J57"/>
    <mergeCell ref="K57:L57"/>
    <mergeCell ref="B63:E63"/>
    <mergeCell ref="G63:H63"/>
    <mergeCell ref="G67:H67"/>
    <mergeCell ref="I67:J67"/>
    <mergeCell ref="K67:M67"/>
    <mergeCell ref="E68:E69"/>
    <mergeCell ref="L68:M68"/>
    <mergeCell ref="L69:M69"/>
    <mergeCell ref="L70:M70"/>
    <mergeCell ref="L80:M80"/>
    <mergeCell ref="L81:M81"/>
    <mergeCell ref="L82:M82"/>
    <mergeCell ref="L86:M86"/>
    <mergeCell ref="B87:E87"/>
    <mergeCell ref="L87:M87"/>
    <mergeCell ref="L71:M71"/>
    <mergeCell ref="L72:M72"/>
    <mergeCell ref="L73:M73"/>
    <mergeCell ref="L74:M74"/>
    <mergeCell ref="E76:E77"/>
    <mergeCell ref="L76:M76"/>
    <mergeCell ref="L77:M77"/>
    <mergeCell ref="L78:M78"/>
    <mergeCell ref="L79:M79"/>
    <mergeCell ref="D68:D74"/>
    <mergeCell ref="D76:D82"/>
    <mergeCell ref="L95:M95"/>
    <mergeCell ref="B96:E96"/>
    <mergeCell ref="L96:M96"/>
    <mergeCell ref="B97:E97"/>
    <mergeCell ref="L97:M97"/>
    <mergeCell ref="B98:E98"/>
    <mergeCell ref="L98:M98"/>
    <mergeCell ref="B88:E88"/>
    <mergeCell ref="L88:M88"/>
    <mergeCell ref="B89:E89"/>
    <mergeCell ref="L89:M89"/>
    <mergeCell ref="B90:E90"/>
    <mergeCell ref="L90:M90"/>
    <mergeCell ref="G107:H107"/>
    <mergeCell ref="I107:J107"/>
    <mergeCell ref="K107:M107"/>
    <mergeCell ref="B108:E108"/>
    <mergeCell ref="L108:M108"/>
    <mergeCell ref="H110:K110"/>
    <mergeCell ref="B99:E99"/>
    <mergeCell ref="L99:M99"/>
    <mergeCell ref="C101:C105"/>
    <mergeCell ref="L101:M101"/>
    <mergeCell ref="L102:M102"/>
    <mergeCell ref="L103:M103"/>
    <mergeCell ref="L104:M104"/>
    <mergeCell ref="L105:M105"/>
    <mergeCell ref="H119:I119"/>
    <mergeCell ref="J119:K119"/>
    <mergeCell ref="H114:I114"/>
    <mergeCell ref="J114:K114"/>
    <mergeCell ref="H115:I115"/>
    <mergeCell ref="J115:K115"/>
    <mergeCell ref="H116:I116"/>
    <mergeCell ref="J116:K116"/>
    <mergeCell ref="H111:I111"/>
    <mergeCell ref="J111:K111"/>
    <mergeCell ref="H112:I112"/>
    <mergeCell ref="J112:K112"/>
    <mergeCell ref="H113:I113"/>
    <mergeCell ref="J113:K113"/>
    <mergeCell ref="O28:O46"/>
    <mergeCell ref="L28:L46"/>
    <mergeCell ref="I28:I46"/>
    <mergeCell ref="F28:F46"/>
    <mergeCell ref="C28:C46"/>
    <mergeCell ref="H126:I126"/>
    <mergeCell ref="J126:K126"/>
    <mergeCell ref="H127:I127"/>
    <mergeCell ref="H123:I123"/>
    <mergeCell ref="J123:K123"/>
    <mergeCell ref="H124:I124"/>
    <mergeCell ref="J124:K124"/>
    <mergeCell ref="H125:I125"/>
    <mergeCell ref="J125:K125"/>
    <mergeCell ref="H120:I120"/>
    <mergeCell ref="J120:K120"/>
    <mergeCell ref="H121:I121"/>
    <mergeCell ref="J121:K121"/>
    <mergeCell ref="H122:I122"/>
    <mergeCell ref="J122:K122"/>
    <mergeCell ref="H117:I117"/>
    <mergeCell ref="J117:K117"/>
    <mergeCell ref="H118:I118"/>
    <mergeCell ref="J118:K118"/>
  </mergeCells>
  <conditionalFormatting sqref="C131:P139">
    <cfRule type="cellIs" dxfId="617" priority="12" operator="greaterThan">
      <formula>0</formula>
    </cfRule>
  </conditionalFormatting>
  <conditionalFormatting sqref="B8:B46">
    <cfRule type="colorScale" priority="11">
      <colorScale>
        <cfvo type="min"/>
        <cfvo type="percentile" val="50"/>
        <cfvo type="max"/>
        <color rgb="FF63BE7B"/>
        <color rgb="FFFFEB84"/>
        <color rgb="FFF8696B"/>
      </colorScale>
    </cfRule>
  </conditionalFormatting>
  <conditionalFormatting sqref="D8:D46">
    <cfRule type="colorScale" priority="10">
      <colorScale>
        <cfvo type="min"/>
        <cfvo type="percentile" val="50"/>
        <cfvo type="max"/>
        <color rgb="FF63BE7B"/>
        <color rgb="FFFFEB84"/>
        <color rgb="FFF8696B"/>
      </colorScale>
    </cfRule>
  </conditionalFormatting>
  <conditionalFormatting sqref="E8:E46">
    <cfRule type="colorScale" priority="9">
      <colorScale>
        <cfvo type="min"/>
        <cfvo type="percentile" val="50"/>
        <cfvo type="max"/>
        <color rgb="FF63BE7B"/>
        <color rgb="FFFFEB84"/>
        <color rgb="FFF8696B"/>
      </colorScale>
    </cfRule>
  </conditionalFormatting>
  <conditionalFormatting sqref="G8:G46">
    <cfRule type="colorScale" priority="8">
      <colorScale>
        <cfvo type="min"/>
        <cfvo type="percentile" val="50"/>
        <cfvo type="max"/>
        <color rgb="FF63BE7B"/>
        <color rgb="FFFFEB84"/>
        <color rgb="FFF8696B"/>
      </colorScale>
    </cfRule>
  </conditionalFormatting>
  <conditionalFormatting sqref="H8:H46">
    <cfRule type="colorScale" priority="7">
      <colorScale>
        <cfvo type="min"/>
        <cfvo type="percentile" val="50"/>
        <cfvo type="max"/>
        <color rgb="FF63BE7B"/>
        <color rgb="FFFFEB84"/>
        <color rgb="FFF8696B"/>
      </colorScale>
    </cfRule>
  </conditionalFormatting>
  <conditionalFormatting sqref="J8:J46">
    <cfRule type="colorScale" priority="6">
      <colorScale>
        <cfvo type="min"/>
        <cfvo type="percentile" val="50"/>
        <cfvo type="max"/>
        <color rgb="FF63BE7B"/>
        <color rgb="FFFFEB84"/>
        <color rgb="FFF8696B"/>
      </colorScale>
    </cfRule>
  </conditionalFormatting>
  <conditionalFormatting sqref="K8:K46">
    <cfRule type="colorScale" priority="5">
      <colorScale>
        <cfvo type="min"/>
        <cfvo type="percentile" val="50"/>
        <cfvo type="max"/>
        <color rgb="FF63BE7B"/>
        <color rgb="FFFFEB84"/>
        <color rgb="FFF8696B"/>
      </colorScale>
    </cfRule>
  </conditionalFormatting>
  <conditionalFormatting sqref="M8:M46">
    <cfRule type="colorScale" priority="4">
      <colorScale>
        <cfvo type="min"/>
        <cfvo type="percentile" val="50"/>
        <cfvo type="max"/>
        <color rgb="FF63BE7B"/>
        <color rgb="FFFFEB84"/>
        <color rgb="FFF8696B"/>
      </colorScale>
    </cfRule>
  </conditionalFormatting>
  <conditionalFormatting sqref="N8:N46">
    <cfRule type="colorScale" priority="3">
      <colorScale>
        <cfvo type="min"/>
        <cfvo type="percentile" val="50"/>
        <cfvo type="max"/>
        <color rgb="FF63BE7B"/>
        <color rgb="FFFFEB84"/>
        <color rgb="FFF8696B"/>
      </colorScale>
    </cfRule>
  </conditionalFormatting>
  <conditionalFormatting sqref="P8:P46">
    <cfRule type="colorScale" priority="2">
      <colorScale>
        <cfvo type="min"/>
        <cfvo type="percentile" val="50"/>
        <cfvo type="max"/>
        <color rgb="FF63BE7B"/>
        <color rgb="FFFFEB84"/>
        <color rgb="FFF8696B"/>
      </colorScale>
    </cfRule>
  </conditionalFormatting>
  <conditionalFormatting sqref="Q8:Q46">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3E862-EC73-4359-B382-8289784960E2}">
  <sheetPr>
    <tabColor rgb="FFFFC000"/>
  </sheetPr>
  <dimension ref="A1:AG138"/>
  <sheetViews>
    <sheetView workbookViewId="0">
      <selection activeCell="H9" sqref="H9:I9"/>
    </sheetView>
  </sheetViews>
  <sheetFormatPr baseColWidth="10" defaultColWidth="11.44140625" defaultRowHeight="14.55" x14ac:dyDescent="0.3"/>
  <cols>
    <col min="1" max="1" width="7.21875" customWidth="1"/>
    <col min="22" max="29" width="11.44140625" style="129"/>
  </cols>
  <sheetData>
    <row r="1" spans="1:30" x14ac:dyDescent="0.3">
      <c r="A1" s="493" t="str">
        <f>Überblick!X114</f>
        <v/>
      </c>
      <c r="B1" s="188" t="str">
        <f>IF(Überblick!B2=Überblick!L4,Bebauungsplan!V1,Bebauungsplan!V2)</f>
        <v>Honorarangebot - Bebauungsplan</v>
      </c>
      <c r="C1" s="39"/>
      <c r="D1" s="39"/>
      <c r="E1" s="39"/>
      <c r="F1" s="39"/>
      <c r="G1" s="39"/>
      <c r="H1" s="39"/>
      <c r="I1" s="39"/>
      <c r="J1" s="39"/>
      <c r="K1" s="39"/>
      <c r="L1" s="39"/>
      <c r="M1" s="39"/>
      <c r="N1" s="39"/>
      <c r="O1" s="39"/>
      <c r="P1" s="39"/>
      <c r="Q1" s="39"/>
      <c r="R1" s="535" t="s">
        <v>656</v>
      </c>
      <c r="S1" s="1913" t="str">
        <f>IF(Überblick!Q2="","",Überblick!Q2)</f>
        <v/>
      </c>
      <c r="T1" s="1913"/>
      <c r="U1" s="536"/>
      <c r="V1" s="129" t="s">
        <v>657</v>
      </c>
      <c r="AD1" s="129"/>
    </row>
    <row r="2" spans="1:30" x14ac:dyDescent="0.3">
      <c r="A2" s="491"/>
      <c r="B2" s="39"/>
      <c r="C2" s="39"/>
      <c r="D2" s="39"/>
      <c r="E2" s="39"/>
      <c r="F2" s="39"/>
      <c r="G2" s="39"/>
      <c r="H2" s="39"/>
      <c r="I2" s="39"/>
      <c r="J2" s="39"/>
      <c r="K2" s="39"/>
      <c r="L2" s="39"/>
      <c r="M2" s="39"/>
      <c r="N2" s="39"/>
      <c r="O2" s="39"/>
      <c r="P2" s="39"/>
      <c r="Q2" s="39"/>
      <c r="R2" s="535" t="s">
        <v>24</v>
      </c>
      <c r="S2" s="1913" t="str">
        <f>IF(Überblick!G29="","",Überblick!G29)</f>
        <v>Breite Strasse, 10178 Berlin-Mitte, zw. Neumannsgasse und Scharrenstrasse</v>
      </c>
      <c r="T2" s="1913"/>
      <c r="U2" s="1913"/>
      <c r="V2" s="129" t="s">
        <v>658</v>
      </c>
      <c r="AD2" s="129"/>
    </row>
    <row r="3" spans="1:30" x14ac:dyDescent="0.3">
      <c r="A3" s="491" t="s">
        <v>112</v>
      </c>
      <c r="B3" s="40" t="s">
        <v>365</v>
      </c>
      <c r="C3" s="39"/>
      <c r="D3" s="39"/>
      <c r="E3" s="39"/>
      <c r="F3" s="39"/>
      <c r="G3" s="39"/>
      <c r="H3" s="39"/>
      <c r="I3" s="39"/>
      <c r="J3" s="39"/>
      <c r="K3" s="39"/>
      <c r="L3" s="39"/>
      <c r="M3" s="39"/>
      <c r="N3" s="39"/>
      <c r="O3" s="39"/>
      <c r="P3" s="39"/>
      <c r="Q3" s="39"/>
      <c r="R3" s="535" t="s">
        <v>17</v>
      </c>
      <c r="S3" s="1913" t="str">
        <f>IF(Überblick!D19="","",Überblick!D19)</f>
        <v/>
      </c>
      <c r="T3" s="1913"/>
      <c r="U3" s="1913"/>
      <c r="V3" s="129" t="s">
        <v>658</v>
      </c>
      <c r="AD3" s="129"/>
    </row>
    <row r="4" spans="1:30" ht="15.2" thickBot="1" x14ac:dyDescent="0.35">
      <c r="A4" s="491"/>
      <c r="B4" s="39"/>
      <c r="C4" s="39"/>
      <c r="D4" s="39"/>
      <c r="E4" s="39"/>
      <c r="F4" s="39"/>
      <c r="G4" s="39"/>
      <c r="H4" s="39"/>
      <c r="I4" s="39"/>
      <c r="J4" s="39"/>
      <c r="K4" s="39"/>
      <c r="L4" s="39"/>
      <c r="M4" s="39"/>
      <c r="N4" s="39"/>
      <c r="O4" s="39"/>
      <c r="P4" s="39"/>
      <c r="Q4" s="39"/>
      <c r="R4" s="39"/>
      <c r="S4" s="39"/>
      <c r="T4" s="39"/>
      <c r="U4" s="72"/>
      <c r="AD4" s="129"/>
    </row>
    <row r="5" spans="1:30" ht="15.2" thickBot="1" x14ac:dyDescent="0.35">
      <c r="A5" s="491"/>
      <c r="B5" s="1198" t="s">
        <v>659</v>
      </c>
      <c r="C5" s="1199"/>
      <c r="D5" s="1199"/>
      <c r="E5" s="1200"/>
      <c r="F5" s="39"/>
      <c r="G5" s="39"/>
      <c r="H5" s="39"/>
      <c r="I5" s="39"/>
      <c r="J5" s="537"/>
      <c r="K5" s="537"/>
      <c r="L5" s="537"/>
      <c r="M5" s="537"/>
      <c r="N5" s="537"/>
      <c r="O5" s="537"/>
      <c r="P5" s="537"/>
      <c r="Q5" s="537"/>
      <c r="R5" s="47"/>
      <c r="S5" s="47"/>
      <c r="T5" s="47"/>
      <c r="U5" s="87"/>
      <c r="AD5" s="129"/>
    </row>
    <row r="6" spans="1:30" ht="15.2" thickBot="1" x14ac:dyDescent="0.35">
      <c r="A6" s="491"/>
      <c r="B6" s="1209" t="s">
        <v>660</v>
      </c>
      <c r="C6" s="1914"/>
      <c r="D6" s="1914"/>
      <c r="E6" s="1212"/>
      <c r="F6" s="39"/>
      <c r="G6" s="39"/>
      <c r="H6" s="39"/>
      <c r="I6" s="39"/>
      <c r="J6" s="40"/>
      <c r="K6" s="40"/>
      <c r="L6" s="40"/>
      <c r="M6" s="40"/>
      <c r="N6" s="40"/>
      <c r="O6" s="40"/>
      <c r="P6" s="40"/>
      <c r="Q6" s="40"/>
      <c r="R6" s="40"/>
      <c r="S6" s="40"/>
      <c r="T6" s="40"/>
      <c r="U6" s="40"/>
      <c r="AD6" s="129"/>
    </row>
    <row r="7" spans="1:30" ht="15.2" thickBot="1" x14ac:dyDescent="0.35">
      <c r="A7" s="491"/>
      <c r="B7" s="1915"/>
      <c r="C7" s="1916"/>
      <c r="D7" s="1916"/>
      <c r="E7" s="1917"/>
      <c r="F7" s="72">
        <f>IF(B7&gt;0,1,0)</f>
        <v>0</v>
      </c>
      <c r="G7" s="39"/>
      <c r="H7" s="39"/>
      <c r="I7" s="39"/>
      <c r="J7" s="954"/>
      <c r="K7" s="954"/>
      <c r="L7" s="954"/>
      <c r="M7" s="954"/>
      <c r="N7" s="954"/>
      <c r="O7" s="954"/>
      <c r="P7" s="954"/>
      <c r="Q7" s="954"/>
      <c r="R7" s="96">
        <f>SUM(B7,L7,P7)</f>
        <v>0</v>
      </c>
      <c r="S7" s="72">
        <f>IF((R7+AB90)&gt;0,1,0)</f>
        <v>0</v>
      </c>
      <c r="T7" s="48"/>
      <c r="U7" s="48"/>
      <c r="AD7" s="129"/>
    </row>
    <row r="8" spans="1:30" x14ac:dyDescent="0.3">
      <c r="A8" s="491"/>
      <c r="B8" s="49"/>
      <c r="C8" s="49"/>
      <c r="D8" s="49"/>
      <c r="E8" s="49"/>
      <c r="F8" s="303"/>
      <c r="G8" s="303"/>
      <c r="H8" s="303"/>
      <c r="I8" s="303"/>
      <c r="J8" s="303"/>
      <c r="K8" s="303"/>
      <c r="L8" s="303"/>
      <c r="M8" s="303"/>
      <c r="N8" s="303"/>
      <c r="O8" s="303"/>
      <c r="P8" s="303"/>
      <c r="Q8" s="303"/>
      <c r="R8" s="48"/>
      <c r="S8" s="48"/>
      <c r="T8" s="48"/>
      <c r="U8" s="48"/>
      <c r="AD8" s="129"/>
    </row>
    <row r="9" spans="1:30" x14ac:dyDescent="0.3">
      <c r="A9" s="491"/>
      <c r="B9" s="39" t="s">
        <v>130</v>
      </c>
      <c r="C9" s="39"/>
      <c r="D9" s="39"/>
      <c r="E9" s="39"/>
      <c r="F9" s="39"/>
      <c r="G9" s="39"/>
      <c r="H9" s="39"/>
      <c r="I9" s="39"/>
      <c r="J9" s="39"/>
      <c r="K9" s="39"/>
      <c r="L9" s="39"/>
      <c r="M9" s="39"/>
      <c r="N9" s="39"/>
      <c r="O9" s="39"/>
      <c r="P9" s="39"/>
      <c r="Q9" s="39"/>
      <c r="R9" s="39"/>
      <c r="S9" s="39"/>
      <c r="T9" s="39"/>
      <c r="U9" s="39"/>
      <c r="AD9" s="129"/>
    </row>
    <row r="10" spans="1:30" x14ac:dyDescent="0.3">
      <c r="A10" s="491"/>
      <c r="B10" s="39" t="s">
        <v>131</v>
      </c>
      <c r="C10" s="39"/>
      <c r="D10" s="39"/>
      <c r="E10" s="39"/>
      <c r="F10" s="39"/>
      <c r="G10" s="39"/>
      <c r="H10" s="39"/>
      <c r="I10" s="39"/>
      <c r="J10" s="39"/>
      <c r="K10" s="39"/>
      <c r="L10" s="39"/>
      <c r="M10" s="39"/>
      <c r="N10" s="39"/>
      <c r="O10" s="39"/>
      <c r="P10" s="39"/>
      <c r="Q10" s="39"/>
      <c r="R10" s="39"/>
      <c r="S10" s="39"/>
      <c r="T10" s="39"/>
      <c r="U10" s="39"/>
      <c r="AD10" s="129"/>
    </row>
    <row r="11" spans="1:30" ht="15.2" thickBot="1" x14ac:dyDescent="0.35">
      <c r="A11" s="491"/>
      <c r="B11" s="40"/>
      <c r="C11" s="39"/>
      <c r="D11" s="39"/>
      <c r="E11" s="39"/>
      <c r="F11" s="39"/>
      <c r="G11" s="54"/>
      <c r="H11" s="41"/>
      <c r="I11" s="57"/>
      <c r="J11" s="54"/>
      <c r="K11" s="54"/>
      <c r="L11" s="57"/>
      <c r="M11" s="58"/>
      <c r="N11" s="58"/>
      <c r="O11" s="59"/>
      <c r="P11" s="39"/>
      <c r="Q11" s="39"/>
      <c r="R11" s="39"/>
      <c r="S11" s="57"/>
      <c r="T11" s="48"/>
      <c r="U11" s="39"/>
      <c r="AD11" s="129"/>
    </row>
    <row r="12" spans="1:30" x14ac:dyDescent="0.3">
      <c r="A12" s="491"/>
      <c r="B12" s="1221" t="s">
        <v>132</v>
      </c>
      <c r="C12" s="1222"/>
      <c r="D12" s="1222"/>
      <c r="E12" s="1223"/>
      <c r="F12" s="1164">
        <v>3</v>
      </c>
      <c r="G12" s="1165"/>
      <c r="H12" s="1165"/>
      <c r="I12" s="1166"/>
      <c r="J12" s="538"/>
      <c r="K12" s="40"/>
      <c r="L12" s="40"/>
      <c r="M12" s="40"/>
      <c r="N12" s="40"/>
      <c r="O12" s="40"/>
      <c r="P12" s="40"/>
      <c r="Q12" s="40"/>
      <c r="R12" s="39"/>
      <c r="S12" s="57"/>
      <c r="T12" s="48"/>
      <c r="U12" s="72" t="s">
        <v>133</v>
      </c>
      <c r="AD12" s="129"/>
    </row>
    <row r="13" spans="1:30" ht="15.2" thickBot="1" x14ac:dyDescent="0.35">
      <c r="A13" s="491"/>
      <c r="B13" s="1224" t="s">
        <v>134</v>
      </c>
      <c r="C13" s="1225"/>
      <c r="D13" s="1225"/>
      <c r="E13" s="1226"/>
      <c r="F13" s="1167" t="s">
        <v>321</v>
      </c>
      <c r="G13" s="1168"/>
      <c r="H13" s="1168"/>
      <c r="I13" s="1169"/>
      <c r="J13" s="538"/>
      <c r="K13" s="40"/>
      <c r="L13" s="40"/>
      <c r="M13" s="40"/>
      <c r="N13" s="40"/>
      <c r="O13" s="40"/>
      <c r="P13" s="40"/>
      <c r="Q13" s="40"/>
      <c r="R13" s="39"/>
      <c r="S13" s="57"/>
      <c r="T13" s="48"/>
      <c r="U13" s="72"/>
      <c r="AD13" s="129"/>
    </row>
    <row r="14" spans="1:30" x14ac:dyDescent="0.3">
      <c r="A14" s="491"/>
      <c r="B14" s="60"/>
      <c r="C14" s="60"/>
      <c r="D14" s="60"/>
      <c r="E14" s="60"/>
      <c r="F14" s="1241" t="s">
        <v>661</v>
      </c>
      <c r="G14" s="1241"/>
      <c r="H14" s="1241"/>
      <c r="I14" s="1241"/>
      <c r="J14" s="1911" t="s">
        <v>137</v>
      </c>
      <c r="K14" s="1912"/>
      <c r="L14" s="1912"/>
      <c r="M14" s="1912"/>
      <c r="N14" s="1912" t="s">
        <v>367</v>
      </c>
      <c r="O14" s="1912"/>
      <c r="P14" s="1912"/>
      <c r="Q14" s="1912"/>
      <c r="R14" s="39"/>
      <c r="S14" s="57"/>
      <c r="T14" s="48"/>
      <c r="U14" s="72"/>
      <c r="AD14" s="129"/>
    </row>
    <row r="15" spans="1:30" ht="15.2" thickBot="1" x14ac:dyDescent="0.35">
      <c r="A15" s="491"/>
      <c r="B15" s="60"/>
      <c r="C15" s="60"/>
      <c r="D15" s="60"/>
      <c r="E15" s="60"/>
      <c r="F15" s="1242"/>
      <c r="G15" s="1242"/>
      <c r="H15" s="1242"/>
      <c r="I15" s="1242"/>
      <c r="J15" s="1911"/>
      <c r="K15" s="1912"/>
      <c r="L15" s="1912"/>
      <c r="M15" s="1912"/>
      <c r="N15" s="1912"/>
      <c r="O15" s="1912"/>
      <c r="P15" s="1912"/>
      <c r="Q15" s="1912"/>
      <c r="R15" s="39"/>
      <c r="S15" s="57"/>
      <c r="T15" s="48"/>
      <c r="U15" s="72"/>
      <c r="AD15" s="129"/>
    </row>
    <row r="16" spans="1:30" ht="15.2" thickBot="1" x14ac:dyDescent="0.35">
      <c r="A16" s="491"/>
      <c r="B16" s="40"/>
      <c r="C16" s="40"/>
      <c r="D16" s="40"/>
      <c r="E16" s="69"/>
      <c r="F16" s="1721">
        <f>'Berechnung - Bebauungsplan'!H85</f>
        <v>0</v>
      </c>
      <c r="G16" s="1722"/>
      <c r="H16" s="1722"/>
      <c r="I16" s="1723"/>
      <c r="J16" s="1918" t="str">
        <f>IF('Berechnung - Raumakustik'!J89=0,"Kostenschätzung liegt noch nicht vor",'Berechnung - Raumakustik'!J89)</f>
        <v>Kostenschätzung liegt noch nicht vor</v>
      </c>
      <c r="K16" s="958"/>
      <c r="L16" s="958"/>
      <c r="M16" s="958"/>
      <c r="N16" s="958" t="str">
        <f>IF('Berechnung - Raumakustik'!L89=0,"Kostenberechnung liegt noch nicht vor",'Berechnung - Raumakustik'!L89)</f>
        <v>Kostenberechnung liegt noch nicht vor</v>
      </c>
      <c r="O16" s="958"/>
      <c r="P16" s="958"/>
      <c r="Q16" s="958"/>
      <c r="R16" s="96">
        <f>SUM(F16:Q16)</f>
        <v>0</v>
      </c>
      <c r="S16" s="57"/>
      <c r="T16" s="48"/>
      <c r="U16" s="72"/>
      <c r="AD16" s="129"/>
    </row>
    <row r="17" spans="1:30" x14ac:dyDescent="0.3">
      <c r="A17" s="491"/>
      <c r="B17" s="40"/>
      <c r="C17" s="39"/>
      <c r="D17" s="39"/>
      <c r="E17" s="39"/>
      <c r="F17" s="39"/>
      <c r="G17" s="54"/>
      <c r="H17" s="41"/>
      <c r="I17" s="57"/>
      <c r="J17" s="54"/>
      <c r="K17" s="54"/>
      <c r="L17" s="57"/>
      <c r="M17" s="58"/>
      <c r="N17" s="58"/>
      <c r="O17" s="59"/>
      <c r="P17" s="39"/>
      <c r="Q17" s="39"/>
      <c r="R17" s="72"/>
      <c r="S17" s="57"/>
      <c r="T17" s="48"/>
      <c r="U17" s="39"/>
      <c r="AD17" s="129"/>
    </row>
    <row r="18" spans="1:30" x14ac:dyDescent="0.3">
      <c r="A18" s="492" t="s">
        <v>139</v>
      </c>
      <c r="B18" s="42" t="s">
        <v>140</v>
      </c>
      <c r="C18" s="43"/>
      <c r="D18" s="43"/>
      <c r="E18" s="61"/>
      <c r="F18" s="43"/>
      <c r="G18" s="43"/>
      <c r="H18" s="44"/>
      <c r="I18" s="44"/>
      <c r="J18" s="39"/>
      <c r="K18" s="39"/>
      <c r="L18" s="39"/>
      <c r="M18" s="39"/>
      <c r="N18" s="39"/>
      <c r="O18" s="39"/>
      <c r="P18" s="39"/>
      <c r="Q18" s="39"/>
      <c r="R18" s="72"/>
      <c r="S18" s="39"/>
      <c r="T18" s="39"/>
      <c r="U18" s="39"/>
      <c r="AD18" s="129"/>
    </row>
    <row r="19" spans="1:30" ht="15.2" thickBot="1" x14ac:dyDescent="0.35">
      <c r="A19" s="492"/>
      <c r="B19" s="43"/>
      <c r="C19" s="43"/>
      <c r="D19" s="43"/>
      <c r="E19" s="61"/>
      <c r="F19" s="43"/>
      <c r="G19" s="43"/>
      <c r="H19" s="62"/>
      <c r="I19" s="62"/>
      <c r="J19" s="39"/>
      <c r="K19" s="39"/>
      <c r="L19" s="39"/>
      <c r="M19" s="39"/>
      <c r="N19" s="39"/>
      <c r="O19" s="39"/>
      <c r="P19" s="39"/>
      <c r="Q19" s="39"/>
      <c r="R19" s="72"/>
      <c r="S19" s="63"/>
      <c r="T19" s="63"/>
      <c r="U19" s="63"/>
      <c r="AD19" s="129"/>
    </row>
    <row r="20" spans="1:30" ht="52.45" customHeight="1" thickBot="1" x14ac:dyDescent="0.35">
      <c r="A20" s="492"/>
      <c r="B20" s="1586" t="s">
        <v>142</v>
      </c>
      <c r="C20" s="1587"/>
      <c r="D20" s="1587"/>
      <c r="E20" s="1588"/>
      <c r="F20" s="1589"/>
      <c r="G20" s="1590"/>
      <c r="H20" s="1590"/>
      <c r="I20" s="1590"/>
      <c r="J20" s="1590"/>
      <c r="K20" s="1590"/>
      <c r="L20" s="1590"/>
      <c r="M20" s="1590"/>
      <c r="N20" s="1590"/>
      <c r="O20" s="1590"/>
      <c r="P20" s="1590"/>
      <c r="Q20" s="1591"/>
      <c r="R20" s="183">
        <f>IF(AND(R7&gt;0,F20=""),1,0)</f>
        <v>0</v>
      </c>
      <c r="S20" s="148"/>
      <c r="T20" s="148"/>
      <c r="U20" s="148"/>
      <c r="AD20" s="129"/>
    </row>
    <row r="21" spans="1:30" x14ac:dyDescent="0.3">
      <c r="A21" s="491"/>
      <c r="B21" s="40"/>
      <c r="C21" s="39"/>
      <c r="D21" s="39"/>
      <c r="E21" s="39"/>
      <c r="F21" s="39"/>
      <c r="G21" s="54"/>
      <c r="H21" s="41"/>
      <c r="I21" s="57"/>
      <c r="J21" s="54"/>
      <c r="K21" s="54"/>
      <c r="L21" s="57"/>
      <c r="M21" s="58"/>
      <c r="N21" s="58"/>
      <c r="O21" s="59"/>
      <c r="P21" s="39"/>
      <c r="Q21" s="39"/>
      <c r="R21" s="39"/>
      <c r="S21" s="57"/>
      <c r="T21" s="96"/>
      <c r="U21" s="72"/>
      <c r="AD21" s="129"/>
    </row>
    <row r="22" spans="1:30" x14ac:dyDescent="0.3">
      <c r="A22" s="491"/>
      <c r="B22" s="39" t="s">
        <v>506</v>
      </c>
      <c r="C22" s="39"/>
      <c r="D22" s="39"/>
      <c r="E22" s="39"/>
      <c r="F22" s="39"/>
      <c r="G22" s="54"/>
      <c r="H22" s="41"/>
      <c r="I22" s="57"/>
      <c r="J22" s="54"/>
      <c r="K22" s="54"/>
      <c r="L22" s="57"/>
      <c r="M22" s="58"/>
      <c r="N22" s="58"/>
      <c r="O22" s="59"/>
      <c r="P22" s="39"/>
      <c r="Q22" s="39"/>
      <c r="R22" s="39"/>
      <c r="S22" s="57"/>
      <c r="T22" s="96"/>
      <c r="U22" s="72"/>
      <c r="AD22" s="129"/>
    </row>
    <row r="23" spans="1:30" x14ac:dyDescent="0.3">
      <c r="A23" s="491"/>
      <c r="B23" s="40"/>
      <c r="C23" s="39"/>
      <c r="D23" s="39"/>
      <c r="E23" s="39"/>
      <c r="F23" s="39"/>
      <c r="G23" s="54"/>
      <c r="H23" s="41"/>
      <c r="I23" s="57"/>
      <c r="J23" s="54"/>
      <c r="K23" s="54"/>
      <c r="L23" s="57"/>
      <c r="M23" s="58"/>
      <c r="N23" s="58"/>
      <c r="O23" s="59"/>
      <c r="P23" s="39"/>
      <c r="Q23" s="39"/>
      <c r="R23" s="39"/>
      <c r="S23" s="57"/>
      <c r="T23" s="96"/>
      <c r="U23" s="72"/>
      <c r="AD23" s="129"/>
    </row>
    <row r="24" spans="1:30" x14ac:dyDescent="0.3">
      <c r="A24" s="491" t="s">
        <v>144</v>
      </c>
      <c r="B24" s="40" t="s">
        <v>145</v>
      </c>
      <c r="C24" s="39"/>
      <c r="D24" s="39"/>
      <c r="E24" s="39"/>
      <c r="F24" s="39"/>
      <c r="G24" s="48"/>
      <c r="H24" s="39"/>
      <c r="I24" s="48"/>
      <c r="J24" s="39"/>
      <c r="K24" s="39"/>
      <c r="L24" s="39"/>
      <c r="M24" s="39"/>
      <c r="N24" s="39"/>
      <c r="O24" s="39"/>
      <c r="P24" s="39"/>
      <c r="Q24" s="39"/>
      <c r="R24" s="39"/>
      <c r="S24" s="39"/>
      <c r="T24" s="72"/>
      <c r="U24" s="72"/>
      <c r="AD24" s="129"/>
    </row>
    <row r="25" spans="1:30" x14ac:dyDescent="0.3">
      <c r="A25" s="491"/>
      <c r="B25" s="40"/>
      <c r="C25" s="39"/>
      <c r="D25" s="39"/>
      <c r="E25" s="39"/>
      <c r="F25" s="39"/>
      <c r="G25" s="39"/>
      <c r="H25" s="39"/>
      <c r="I25" s="39"/>
      <c r="J25" s="39"/>
      <c r="K25" s="39"/>
      <c r="L25" s="39"/>
      <c r="M25" s="39"/>
      <c r="N25" s="39"/>
      <c r="O25" s="39"/>
      <c r="P25" s="39"/>
      <c r="Q25" s="39"/>
      <c r="R25" s="39"/>
      <c r="S25" s="39"/>
      <c r="T25" s="72"/>
      <c r="U25" s="72"/>
      <c r="AD25" s="129"/>
    </row>
    <row r="26" spans="1:30" x14ac:dyDescent="0.3">
      <c r="A26" s="491"/>
      <c r="B26" s="39" t="s">
        <v>369</v>
      </c>
      <c r="C26" s="39"/>
      <c r="D26" s="39"/>
      <c r="E26" s="39"/>
      <c r="F26" s="39"/>
      <c r="G26" s="39"/>
      <c r="H26" s="39"/>
      <c r="I26" s="39"/>
      <c r="J26" s="39"/>
      <c r="K26" s="39"/>
      <c r="L26" s="39"/>
      <c r="M26" s="39"/>
      <c r="N26" s="39"/>
      <c r="O26" s="39"/>
      <c r="P26" s="39"/>
      <c r="Q26" s="39"/>
      <c r="R26" s="39"/>
      <c r="S26" s="72"/>
      <c r="T26" s="72"/>
      <c r="U26" s="72" t="s">
        <v>115</v>
      </c>
      <c r="V26" s="129" t="s">
        <v>100</v>
      </c>
      <c r="AD26" s="129"/>
    </row>
    <row r="27" spans="1:30" x14ac:dyDescent="0.3">
      <c r="A27" s="491"/>
      <c r="B27" s="39" t="s">
        <v>147</v>
      </c>
      <c r="C27" s="39"/>
      <c r="D27" s="39"/>
      <c r="E27" s="39"/>
      <c r="F27" s="39"/>
      <c r="G27" s="39"/>
      <c r="H27" s="39"/>
      <c r="I27" s="39"/>
      <c r="J27" s="39"/>
      <c r="K27" s="39"/>
      <c r="L27" s="39"/>
      <c r="M27" s="39"/>
      <c r="N27" s="39"/>
      <c r="O27" s="39"/>
      <c r="P27" s="39"/>
      <c r="Q27" s="39"/>
      <c r="R27" s="39"/>
      <c r="S27" s="72"/>
      <c r="T27" s="72"/>
      <c r="U27" s="72"/>
      <c r="V27" s="129" t="s">
        <v>99</v>
      </c>
      <c r="AD27" s="129"/>
    </row>
    <row r="28" spans="1:30" ht="15.2" thickBot="1" x14ac:dyDescent="0.35">
      <c r="A28" s="491"/>
      <c r="B28" s="39"/>
      <c r="C28" s="39"/>
      <c r="D28" s="39"/>
      <c r="E28" s="39"/>
      <c r="F28" s="39"/>
      <c r="G28" s="39"/>
      <c r="H28" s="39"/>
      <c r="I28" s="39"/>
      <c r="J28" s="39"/>
      <c r="K28" s="39"/>
      <c r="L28" s="39"/>
      <c r="M28" s="39"/>
      <c r="N28" s="39"/>
      <c r="O28" s="39"/>
      <c r="P28" s="39"/>
      <c r="Q28" s="39"/>
      <c r="R28" s="39"/>
      <c r="S28" s="72"/>
      <c r="T28" s="72"/>
      <c r="U28" s="72"/>
      <c r="AD28" s="129"/>
    </row>
    <row r="29" spans="1:30" x14ac:dyDescent="0.3">
      <c r="A29" s="1516" t="s">
        <v>662</v>
      </c>
      <c r="B29" s="1125" t="s">
        <v>150</v>
      </c>
      <c r="C29" s="1126"/>
      <c r="D29" s="1126"/>
      <c r="E29" s="1126"/>
      <c r="F29" s="1126"/>
      <c r="G29" s="1126"/>
      <c r="H29" s="1731" t="s">
        <v>151</v>
      </c>
      <c r="I29" s="1734"/>
      <c r="J29" s="995" t="s">
        <v>153</v>
      </c>
      <c r="K29" s="996"/>
      <c r="L29" s="142"/>
      <c r="M29" s="114"/>
      <c r="N29" s="114"/>
      <c r="O29" s="114"/>
      <c r="P29" s="70"/>
      <c r="Q29" s="70"/>
      <c r="R29" s="70"/>
      <c r="S29" s="73"/>
      <c r="T29" s="117"/>
      <c r="U29" s="117"/>
      <c r="AD29" s="129"/>
    </row>
    <row r="30" spans="1:30" ht="56.25" x14ac:dyDescent="0.3">
      <c r="A30" s="1516"/>
      <c r="B30" s="1127"/>
      <c r="C30" s="1128"/>
      <c r="D30" s="1128"/>
      <c r="E30" s="1128"/>
      <c r="F30" s="1128"/>
      <c r="G30" s="1128"/>
      <c r="H30" s="1732"/>
      <c r="I30" s="1735"/>
      <c r="J30" s="997"/>
      <c r="K30" s="998"/>
      <c r="L30" s="142"/>
      <c r="M30" s="114"/>
      <c r="N30" s="114"/>
      <c r="O30" s="114"/>
      <c r="P30" s="70"/>
      <c r="Q30" s="70"/>
      <c r="R30" s="70"/>
      <c r="S30" s="73"/>
      <c r="T30" s="73"/>
      <c r="U30" s="81" t="s">
        <v>372</v>
      </c>
      <c r="AD30" s="129"/>
    </row>
    <row r="31" spans="1:30" ht="15.2" thickBot="1" x14ac:dyDescent="0.35">
      <c r="A31" s="1516"/>
      <c r="B31" s="1129"/>
      <c r="C31" s="1130"/>
      <c r="D31" s="1130"/>
      <c r="E31" s="1130"/>
      <c r="F31" s="1130"/>
      <c r="G31" s="1130"/>
      <c r="H31" s="1733"/>
      <c r="I31" s="1736"/>
      <c r="J31" s="999"/>
      <c r="K31" s="1000"/>
      <c r="L31" s="143"/>
      <c r="M31" s="115"/>
      <c r="N31" s="115"/>
      <c r="O31" s="115"/>
      <c r="P31" s="116"/>
      <c r="Q31" s="116"/>
      <c r="R31" s="116"/>
      <c r="S31" s="73"/>
      <c r="T31" s="73"/>
      <c r="U31" s="81"/>
      <c r="AD31" s="129"/>
    </row>
    <row r="32" spans="1:30" ht="15.2" thickBot="1" x14ac:dyDescent="0.35">
      <c r="A32" s="1516"/>
      <c r="B32" s="1035" t="s">
        <v>154</v>
      </c>
      <c r="C32" s="1036"/>
      <c r="D32" s="1036"/>
      <c r="E32" s="1036"/>
      <c r="F32" s="1036"/>
      <c r="G32" s="1036"/>
      <c r="H32" s="1161"/>
      <c r="I32" s="1344">
        <f>F16</f>
        <v>0</v>
      </c>
      <c r="J32" s="1345"/>
      <c r="K32" s="1346"/>
      <c r="L32" s="1019" t="s">
        <v>155</v>
      </c>
      <c r="M32" s="1020"/>
      <c r="N32" s="1020"/>
      <c r="O32" s="1020"/>
      <c r="P32" s="1629"/>
      <c r="Q32" s="1131" t="s">
        <v>151</v>
      </c>
      <c r="R32" s="1608" t="str">
        <f>IF(B1=V2,"Honorar für die Besonderen Leistungen","Honorarangebot für die Besonderen Leistungen")</f>
        <v>Honorarangebot für die Besonderen Leistungen</v>
      </c>
      <c r="S32" s="1264"/>
      <c r="T32" s="1254" t="s">
        <v>156</v>
      </c>
      <c r="U32" s="1336" t="s">
        <v>157</v>
      </c>
      <c r="AD32" s="129"/>
    </row>
    <row r="33" spans="1:32" ht="15.2" thickBot="1" x14ac:dyDescent="0.35">
      <c r="A33" s="1516"/>
      <c r="B33" s="1038"/>
      <c r="C33" s="1039"/>
      <c r="D33" s="1039"/>
      <c r="E33" s="1039"/>
      <c r="F33" s="1039"/>
      <c r="G33" s="1039"/>
      <c r="H33" s="1162"/>
      <c r="I33" s="1347"/>
      <c r="J33" s="1348"/>
      <c r="K33" s="1349"/>
      <c r="L33" s="1021"/>
      <c r="M33" s="1022"/>
      <c r="N33" s="1022"/>
      <c r="O33" s="1022"/>
      <c r="P33" s="1630"/>
      <c r="Q33" s="1132"/>
      <c r="R33" s="1609"/>
      <c r="S33" s="1266"/>
      <c r="T33" s="1255"/>
      <c r="U33" s="1336"/>
      <c r="AD33" s="129"/>
    </row>
    <row r="34" spans="1:32" ht="15.2" thickBot="1" x14ac:dyDescent="0.35">
      <c r="A34" s="1516"/>
      <c r="B34" s="1041"/>
      <c r="C34" s="1042"/>
      <c r="D34" s="1042"/>
      <c r="E34" s="1042"/>
      <c r="F34" s="1042"/>
      <c r="G34" s="1042"/>
      <c r="H34" s="1163"/>
      <c r="I34" s="1350"/>
      <c r="J34" s="1351"/>
      <c r="K34" s="1352"/>
      <c r="L34" s="1023"/>
      <c r="M34" s="1024"/>
      <c r="N34" s="1024"/>
      <c r="O34" s="1024"/>
      <c r="P34" s="1631"/>
      <c r="Q34" s="1133"/>
      <c r="R34" s="1753"/>
      <c r="S34" s="1268"/>
      <c r="T34" s="1256"/>
      <c r="U34" s="1336"/>
      <c r="AD34" s="129"/>
    </row>
    <row r="35" spans="1:32" ht="15.2" thickBot="1" x14ac:dyDescent="0.35">
      <c r="A35" s="1516"/>
      <c r="B35" s="1082" t="s">
        <v>663</v>
      </c>
      <c r="C35" s="1083"/>
      <c r="D35" s="1083"/>
      <c r="E35" s="1083"/>
      <c r="F35" s="1083"/>
      <c r="G35" s="1084"/>
      <c r="H35" s="246"/>
      <c r="I35" s="1378"/>
      <c r="J35" s="1379"/>
      <c r="K35" s="1379"/>
      <c r="L35" s="1378"/>
      <c r="M35" s="1379"/>
      <c r="N35" s="1379"/>
      <c r="O35" s="1379"/>
      <c r="P35" s="1380"/>
      <c r="Q35" s="401"/>
      <c r="R35" s="1379"/>
      <c r="S35" s="1632"/>
      <c r="T35" s="71"/>
      <c r="U35" s="154"/>
      <c r="AD35" s="129"/>
    </row>
    <row r="36" spans="1:32" x14ac:dyDescent="0.3">
      <c r="A36" s="1516"/>
      <c r="B36" s="1383" t="s">
        <v>664</v>
      </c>
      <c r="C36" s="1384"/>
      <c r="D36" s="1384"/>
      <c r="E36" s="1384"/>
      <c r="F36" s="1384"/>
      <c r="G36" s="1384"/>
      <c r="H36" s="1137" t="s">
        <v>100</v>
      </c>
      <c r="I36" s="1016">
        <f>W65</f>
        <v>0</v>
      </c>
      <c r="J36" s="1027">
        <f>$I$32*I36</f>
        <v>0</v>
      </c>
      <c r="K36" s="1028"/>
      <c r="L36" s="1353"/>
      <c r="M36" s="1354"/>
      <c r="N36" s="1354"/>
      <c r="O36" s="1354"/>
      <c r="P36" s="1354"/>
      <c r="Q36" s="1919" t="s">
        <v>100</v>
      </c>
      <c r="R36" s="1025"/>
      <c r="S36" s="1026"/>
      <c r="T36" s="1257" t="str">
        <f>IFERROR(IF((VLOOKUP(U36,Überblick!$M$125:$N$133,2))="ja","ja","nein"),"")</f>
        <v/>
      </c>
      <c r="U36" s="1338"/>
      <c r="V36" s="72">
        <f t="shared" ref="V36:V79" si="0">IF(AND(Q36="ja",R36=""),1,0)</f>
        <v>0</v>
      </c>
      <c r="W36" s="77">
        <f>IF(H36="ja",$X$36,0)</f>
        <v>0</v>
      </c>
      <c r="X36" s="77">
        <f>60%/13</f>
        <v>4.6153846153846149E-2</v>
      </c>
      <c r="Y36" s="72"/>
      <c r="Z36" s="77"/>
      <c r="AA36" s="72"/>
      <c r="AB36" s="72">
        <f t="shared" ref="AB36:AB88" si="1">IF(Q36="ja",1,0)</f>
        <v>0</v>
      </c>
      <c r="AC36" s="72"/>
      <c r="AD36" s="72"/>
      <c r="AE36" s="68"/>
      <c r="AF36" s="68"/>
    </row>
    <row r="37" spans="1:32" x14ac:dyDescent="0.3">
      <c r="A37" s="1516"/>
      <c r="B37" s="1098"/>
      <c r="C37" s="1099"/>
      <c r="D37" s="1099"/>
      <c r="E37" s="1099"/>
      <c r="F37" s="1099"/>
      <c r="G37" s="1099"/>
      <c r="H37" s="1013"/>
      <c r="I37" s="1017"/>
      <c r="J37" s="1029"/>
      <c r="K37" s="1030"/>
      <c r="L37" s="1170"/>
      <c r="M37" s="1171"/>
      <c r="N37" s="1171"/>
      <c r="O37" s="1171"/>
      <c r="P37" s="1171"/>
      <c r="Q37" s="1775"/>
      <c r="R37" s="972"/>
      <c r="S37" s="973"/>
      <c r="T37" s="1258"/>
      <c r="U37" s="1339"/>
      <c r="V37" s="72">
        <f t="shared" si="0"/>
        <v>0</v>
      </c>
      <c r="W37" s="77"/>
      <c r="X37" s="74"/>
      <c r="Y37" s="72"/>
      <c r="Z37" s="72"/>
      <c r="AA37" s="72"/>
      <c r="AB37" s="72">
        <f t="shared" si="1"/>
        <v>0</v>
      </c>
      <c r="AC37" s="72"/>
      <c r="AD37" s="72"/>
      <c r="AE37" s="68"/>
      <c r="AF37" s="68"/>
    </row>
    <row r="38" spans="1:32" x14ac:dyDescent="0.3">
      <c r="A38" s="1516"/>
      <c r="B38" s="1487" t="s">
        <v>665</v>
      </c>
      <c r="C38" s="1488"/>
      <c r="D38" s="1488"/>
      <c r="E38" s="1488"/>
      <c r="F38" s="1488"/>
      <c r="G38" s="1489"/>
      <c r="H38" s="981" t="s">
        <v>100</v>
      </c>
      <c r="I38" s="1017"/>
      <c r="J38" s="1029"/>
      <c r="K38" s="1030"/>
      <c r="L38" s="1170"/>
      <c r="M38" s="1171"/>
      <c r="N38" s="1171"/>
      <c r="O38" s="1171"/>
      <c r="P38" s="1171"/>
      <c r="Q38" s="1775" t="s">
        <v>100</v>
      </c>
      <c r="R38" s="972"/>
      <c r="S38" s="973"/>
      <c r="T38" s="1258"/>
      <c r="U38" s="1339"/>
      <c r="V38" s="72">
        <f t="shared" si="0"/>
        <v>0</v>
      </c>
      <c r="W38" s="77">
        <f>IF(H38="ja",$X$36,0)</f>
        <v>0</v>
      </c>
      <c r="X38" s="74"/>
      <c r="Y38" s="72"/>
      <c r="Z38" s="77"/>
      <c r="AA38" s="77"/>
      <c r="AB38" s="72">
        <f t="shared" si="1"/>
        <v>0</v>
      </c>
      <c r="AC38" s="72"/>
      <c r="AD38" s="72"/>
      <c r="AE38" s="68"/>
      <c r="AF38" s="68"/>
    </row>
    <row r="39" spans="1:32" x14ac:dyDescent="0.3">
      <c r="A39" s="1516"/>
      <c r="B39" s="1493"/>
      <c r="C39" s="1317"/>
      <c r="D39" s="1317"/>
      <c r="E39" s="1317"/>
      <c r="F39" s="1317"/>
      <c r="G39" s="1494"/>
      <c r="H39" s="982"/>
      <c r="I39" s="1017"/>
      <c r="J39" s="1029"/>
      <c r="K39" s="1030"/>
      <c r="L39" s="1170"/>
      <c r="M39" s="1171"/>
      <c r="N39" s="1171"/>
      <c r="O39" s="1171"/>
      <c r="P39" s="1171"/>
      <c r="Q39" s="1775"/>
      <c r="R39" s="972"/>
      <c r="S39" s="973"/>
      <c r="T39" s="1258"/>
      <c r="U39" s="1339"/>
      <c r="V39" s="72">
        <f t="shared" si="0"/>
        <v>0</v>
      </c>
      <c r="W39" s="77"/>
      <c r="X39" s="74"/>
      <c r="Y39" s="72"/>
      <c r="Z39" s="77"/>
      <c r="AA39" s="77"/>
      <c r="AB39" s="72">
        <f t="shared" si="1"/>
        <v>0</v>
      </c>
      <c r="AC39" s="72"/>
      <c r="AD39" s="72"/>
      <c r="AE39" s="68"/>
      <c r="AF39" s="68"/>
    </row>
    <row r="40" spans="1:32" x14ac:dyDescent="0.3">
      <c r="A40" s="1516"/>
      <c r="B40" s="1487" t="s">
        <v>666</v>
      </c>
      <c r="C40" s="1488"/>
      <c r="D40" s="1488"/>
      <c r="E40" s="1488"/>
      <c r="F40" s="1488"/>
      <c r="G40" s="1489"/>
      <c r="H40" s="981" t="s">
        <v>100</v>
      </c>
      <c r="I40" s="1017"/>
      <c r="J40" s="1029"/>
      <c r="K40" s="1030"/>
      <c r="L40" s="1170"/>
      <c r="M40" s="1171"/>
      <c r="N40" s="1171"/>
      <c r="O40" s="1171"/>
      <c r="P40" s="1171"/>
      <c r="Q40" s="1775" t="s">
        <v>100</v>
      </c>
      <c r="R40" s="972"/>
      <c r="S40" s="973"/>
      <c r="T40" s="1258"/>
      <c r="U40" s="1339"/>
      <c r="V40" s="72">
        <f t="shared" si="0"/>
        <v>0</v>
      </c>
      <c r="W40" s="77">
        <f>IF(H40="ja",$X$36,0)</f>
        <v>0</v>
      </c>
      <c r="X40" s="74"/>
      <c r="Y40" s="72"/>
      <c r="Z40" s="72"/>
      <c r="AA40" s="72"/>
      <c r="AB40" s="72">
        <f t="shared" si="1"/>
        <v>0</v>
      </c>
      <c r="AC40" s="72"/>
      <c r="AD40" s="72"/>
      <c r="AE40" s="68"/>
      <c r="AF40" s="68"/>
    </row>
    <row r="41" spans="1:32" x14ac:dyDescent="0.3">
      <c r="A41" s="1516"/>
      <c r="B41" s="1493"/>
      <c r="C41" s="1317"/>
      <c r="D41" s="1317"/>
      <c r="E41" s="1317"/>
      <c r="F41" s="1317"/>
      <c r="G41" s="1494"/>
      <c r="H41" s="982"/>
      <c r="I41" s="1017"/>
      <c r="J41" s="1029"/>
      <c r="K41" s="1030"/>
      <c r="L41" s="1170"/>
      <c r="M41" s="1171"/>
      <c r="N41" s="1171"/>
      <c r="O41" s="1171"/>
      <c r="P41" s="1171"/>
      <c r="Q41" s="1775"/>
      <c r="R41" s="972"/>
      <c r="S41" s="973"/>
      <c r="T41" s="1258"/>
      <c r="U41" s="1339"/>
      <c r="V41" s="72">
        <f t="shared" si="0"/>
        <v>0</v>
      </c>
      <c r="W41" s="74"/>
      <c r="X41" s="74"/>
      <c r="Y41" s="72"/>
      <c r="Z41" s="72"/>
      <c r="AA41" s="72"/>
      <c r="AB41" s="72">
        <f t="shared" si="1"/>
        <v>0</v>
      </c>
      <c r="AC41" s="72"/>
      <c r="AD41" s="72"/>
      <c r="AE41" s="68"/>
      <c r="AF41" s="68"/>
    </row>
    <row r="42" spans="1:32" x14ac:dyDescent="0.3">
      <c r="A42" s="1516"/>
      <c r="B42" s="1487" t="s">
        <v>667</v>
      </c>
      <c r="C42" s="1488"/>
      <c r="D42" s="1488"/>
      <c r="E42" s="1488"/>
      <c r="F42" s="1488"/>
      <c r="G42" s="1489"/>
      <c r="H42" s="981" t="s">
        <v>100</v>
      </c>
      <c r="I42" s="1017"/>
      <c r="J42" s="1029"/>
      <c r="K42" s="1030"/>
      <c r="L42" s="1170"/>
      <c r="M42" s="1171"/>
      <c r="N42" s="1171"/>
      <c r="O42" s="1171"/>
      <c r="P42" s="1171"/>
      <c r="Q42" s="1775" t="s">
        <v>100</v>
      </c>
      <c r="R42" s="972"/>
      <c r="S42" s="973"/>
      <c r="T42" s="1258"/>
      <c r="U42" s="1339"/>
      <c r="V42" s="72">
        <f t="shared" si="0"/>
        <v>0</v>
      </c>
      <c r="W42" s="77">
        <f>IF(H42="ja",$X$36,0)</f>
        <v>0</v>
      </c>
      <c r="X42" s="74"/>
      <c r="Y42" s="72"/>
      <c r="Z42" s="72"/>
      <c r="AA42" s="72"/>
      <c r="AB42" s="72">
        <f t="shared" si="1"/>
        <v>0</v>
      </c>
      <c r="AC42" s="72"/>
      <c r="AD42" s="72"/>
      <c r="AE42" s="68"/>
      <c r="AF42" s="68"/>
    </row>
    <row r="43" spans="1:32" x14ac:dyDescent="0.3">
      <c r="A43" s="1516"/>
      <c r="B43" s="1493"/>
      <c r="C43" s="1317"/>
      <c r="D43" s="1317"/>
      <c r="E43" s="1317"/>
      <c r="F43" s="1317"/>
      <c r="G43" s="1494"/>
      <c r="H43" s="982"/>
      <c r="I43" s="1017"/>
      <c r="J43" s="1029"/>
      <c r="K43" s="1030"/>
      <c r="L43" s="1170"/>
      <c r="M43" s="1171"/>
      <c r="N43" s="1171"/>
      <c r="O43" s="1171"/>
      <c r="P43" s="1171"/>
      <c r="Q43" s="1775"/>
      <c r="R43" s="972"/>
      <c r="S43" s="973"/>
      <c r="T43" s="1258"/>
      <c r="U43" s="1339"/>
      <c r="V43" s="72">
        <f t="shared" si="0"/>
        <v>0</v>
      </c>
      <c r="W43" s="74"/>
      <c r="X43" s="74"/>
      <c r="Y43" s="72"/>
      <c r="Z43" s="72"/>
      <c r="AA43" s="72"/>
      <c r="AB43" s="72">
        <f t="shared" si="1"/>
        <v>0</v>
      </c>
      <c r="AC43" s="72"/>
      <c r="AD43" s="72"/>
      <c r="AE43" s="68"/>
      <c r="AF43" s="68"/>
    </row>
    <row r="44" spans="1:32" x14ac:dyDescent="0.3">
      <c r="A44" s="1516"/>
      <c r="B44" s="1490"/>
      <c r="C44" s="1491"/>
      <c r="D44" s="1491"/>
      <c r="E44" s="1491"/>
      <c r="F44" s="1491"/>
      <c r="G44" s="1492"/>
      <c r="H44" s="983"/>
      <c r="I44" s="1017"/>
      <c r="J44" s="1029"/>
      <c r="K44" s="1030"/>
      <c r="L44" s="1170"/>
      <c r="M44" s="1171"/>
      <c r="N44" s="1171"/>
      <c r="O44" s="1171"/>
      <c r="P44" s="1171"/>
      <c r="Q44" s="1775" t="s">
        <v>100</v>
      </c>
      <c r="R44" s="972"/>
      <c r="S44" s="973"/>
      <c r="T44" s="1258"/>
      <c r="U44" s="1339"/>
      <c r="V44" s="72">
        <f t="shared" si="0"/>
        <v>0</v>
      </c>
      <c r="W44" s="74"/>
      <c r="X44" s="74"/>
      <c r="Y44" s="72"/>
      <c r="Z44" s="72"/>
      <c r="AA44" s="72"/>
      <c r="AB44" s="72">
        <f t="shared" si="1"/>
        <v>0</v>
      </c>
      <c r="AC44" s="72"/>
      <c r="AD44" s="72"/>
      <c r="AE44" s="68"/>
      <c r="AF44" s="68"/>
    </row>
    <row r="45" spans="1:32" x14ac:dyDescent="0.3">
      <c r="A45" s="1516"/>
      <c r="B45" s="1487" t="s">
        <v>668</v>
      </c>
      <c r="C45" s="1488"/>
      <c r="D45" s="1488"/>
      <c r="E45" s="1488"/>
      <c r="F45" s="1488"/>
      <c r="G45" s="1489"/>
      <c r="H45" s="981" t="s">
        <v>100</v>
      </c>
      <c r="I45" s="1017"/>
      <c r="J45" s="1029"/>
      <c r="K45" s="1030"/>
      <c r="L45" s="1170"/>
      <c r="M45" s="1171"/>
      <c r="N45" s="1171"/>
      <c r="O45" s="1171"/>
      <c r="P45" s="1171"/>
      <c r="Q45" s="1775"/>
      <c r="R45" s="972"/>
      <c r="S45" s="973"/>
      <c r="T45" s="1258"/>
      <c r="U45" s="1339"/>
      <c r="V45" s="72">
        <f t="shared" si="0"/>
        <v>0</v>
      </c>
      <c r="W45" s="77">
        <f>IF(H45="ja",$X$36,0)</f>
        <v>0</v>
      </c>
      <c r="X45" s="74"/>
      <c r="Y45" s="72"/>
      <c r="Z45" s="72"/>
      <c r="AA45" s="72"/>
      <c r="AB45" s="72">
        <f t="shared" si="1"/>
        <v>0</v>
      </c>
      <c r="AC45" s="72"/>
      <c r="AD45" s="72"/>
      <c r="AE45" s="68"/>
      <c r="AF45" s="68"/>
    </row>
    <row r="46" spans="1:32" x14ac:dyDescent="0.3">
      <c r="A46" s="1516"/>
      <c r="B46" s="1493"/>
      <c r="C46" s="1317"/>
      <c r="D46" s="1317"/>
      <c r="E46" s="1317"/>
      <c r="F46" s="1317"/>
      <c r="G46" s="1494"/>
      <c r="H46" s="982"/>
      <c r="I46" s="1017"/>
      <c r="J46" s="1029"/>
      <c r="K46" s="1030"/>
      <c r="L46" s="1170"/>
      <c r="M46" s="1171"/>
      <c r="N46" s="1171"/>
      <c r="O46" s="1171"/>
      <c r="P46" s="1171"/>
      <c r="Q46" s="1775" t="s">
        <v>100</v>
      </c>
      <c r="R46" s="972"/>
      <c r="S46" s="973"/>
      <c r="T46" s="1258"/>
      <c r="U46" s="1339"/>
      <c r="V46" s="72">
        <f t="shared" si="0"/>
        <v>0</v>
      </c>
      <c r="W46" s="74"/>
      <c r="X46" s="74"/>
      <c r="Y46" s="72"/>
      <c r="Z46" s="72"/>
      <c r="AA46" s="72"/>
      <c r="AB46" s="72">
        <f t="shared" si="1"/>
        <v>0</v>
      </c>
      <c r="AC46" s="72"/>
      <c r="AD46" s="72"/>
      <c r="AE46" s="68"/>
      <c r="AF46" s="68"/>
    </row>
    <row r="47" spans="1:32" x14ac:dyDescent="0.3">
      <c r="A47" s="1516"/>
      <c r="B47" s="1493"/>
      <c r="C47" s="1317"/>
      <c r="D47" s="1317"/>
      <c r="E47" s="1317"/>
      <c r="F47" s="1317"/>
      <c r="G47" s="1494"/>
      <c r="H47" s="983"/>
      <c r="I47" s="1017"/>
      <c r="J47" s="1029"/>
      <c r="K47" s="1030"/>
      <c r="L47" s="1170"/>
      <c r="M47" s="1171"/>
      <c r="N47" s="1171"/>
      <c r="O47" s="1171"/>
      <c r="P47" s="1171"/>
      <c r="Q47" s="1775"/>
      <c r="R47" s="972"/>
      <c r="S47" s="973"/>
      <c r="T47" s="1258"/>
      <c r="U47" s="1339"/>
      <c r="V47" s="72">
        <f t="shared" si="0"/>
        <v>0</v>
      </c>
      <c r="W47" s="74"/>
      <c r="X47" s="74"/>
      <c r="Y47" s="72"/>
      <c r="Z47" s="72"/>
      <c r="AA47" s="72"/>
      <c r="AB47" s="72">
        <f t="shared" si="1"/>
        <v>0</v>
      </c>
      <c r="AC47" s="72"/>
      <c r="AD47" s="72"/>
      <c r="AE47" s="68"/>
      <c r="AF47" s="68"/>
    </row>
    <row r="48" spans="1:32" x14ac:dyDescent="0.3">
      <c r="A48" s="1516"/>
      <c r="B48" s="1487" t="s">
        <v>669</v>
      </c>
      <c r="C48" s="1488"/>
      <c r="D48" s="1488"/>
      <c r="E48" s="1488"/>
      <c r="F48" s="1488"/>
      <c r="G48" s="1489"/>
      <c r="H48" s="981" t="s">
        <v>100</v>
      </c>
      <c r="I48" s="1017"/>
      <c r="J48" s="1029"/>
      <c r="K48" s="1030"/>
      <c r="L48" s="1170"/>
      <c r="M48" s="1171"/>
      <c r="N48" s="1171"/>
      <c r="O48" s="1171"/>
      <c r="P48" s="1171"/>
      <c r="Q48" s="1775" t="s">
        <v>100</v>
      </c>
      <c r="R48" s="972"/>
      <c r="S48" s="973"/>
      <c r="T48" s="1258"/>
      <c r="U48" s="1339"/>
      <c r="V48" s="72">
        <f t="shared" si="0"/>
        <v>0</v>
      </c>
      <c r="W48" s="77">
        <f>IF(H48="ja",$X$36,0)</f>
        <v>0</v>
      </c>
      <c r="X48" s="74"/>
      <c r="Y48" s="72"/>
      <c r="Z48" s="72"/>
      <c r="AA48" s="72"/>
      <c r="AB48" s="72">
        <f t="shared" si="1"/>
        <v>0</v>
      </c>
      <c r="AC48" s="72"/>
      <c r="AD48" s="72"/>
      <c r="AE48" s="68"/>
      <c r="AF48" s="68"/>
    </row>
    <row r="49" spans="1:32" x14ac:dyDescent="0.3">
      <c r="A49" s="1516"/>
      <c r="B49" s="1493"/>
      <c r="C49" s="1317"/>
      <c r="D49" s="1317"/>
      <c r="E49" s="1317"/>
      <c r="F49" s="1317"/>
      <c r="G49" s="1494"/>
      <c r="H49" s="982"/>
      <c r="I49" s="1017"/>
      <c r="J49" s="1029"/>
      <c r="K49" s="1030"/>
      <c r="L49" s="1170"/>
      <c r="M49" s="1171"/>
      <c r="N49" s="1171"/>
      <c r="O49" s="1171"/>
      <c r="P49" s="1171"/>
      <c r="Q49" s="1775"/>
      <c r="R49" s="972"/>
      <c r="S49" s="973"/>
      <c r="T49" s="1258"/>
      <c r="U49" s="1339"/>
      <c r="V49" s="72">
        <f t="shared" si="0"/>
        <v>0</v>
      </c>
      <c r="W49" s="74"/>
      <c r="X49" s="74"/>
      <c r="Y49" s="72"/>
      <c r="Z49" s="72"/>
      <c r="AA49" s="72"/>
      <c r="AB49" s="72">
        <f t="shared" si="1"/>
        <v>0</v>
      </c>
      <c r="AC49" s="72"/>
      <c r="AD49" s="72"/>
      <c r="AE49" s="68"/>
      <c r="AF49" s="68"/>
    </row>
    <row r="50" spans="1:32" x14ac:dyDescent="0.3">
      <c r="A50" s="1516"/>
      <c r="B50" s="1103" t="s">
        <v>670</v>
      </c>
      <c r="C50" s="1104"/>
      <c r="D50" s="1104"/>
      <c r="E50" s="1104"/>
      <c r="F50" s="1104"/>
      <c r="G50" s="1105"/>
      <c r="H50" s="981" t="s">
        <v>100</v>
      </c>
      <c r="I50" s="1017"/>
      <c r="J50" s="1029"/>
      <c r="K50" s="1030"/>
      <c r="L50" s="1170"/>
      <c r="M50" s="1171"/>
      <c r="N50" s="1171"/>
      <c r="O50" s="1171"/>
      <c r="P50" s="1171"/>
      <c r="Q50" s="1775" t="s">
        <v>100</v>
      </c>
      <c r="R50" s="972"/>
      <c r="S50" s="973"/>
      <c r="T50" s="1258"/>
      <c r="U50" s="1339"/>
      <c r="V50" s="72">
        <f t="shared" si="0"/>
        <v>0</v>
      </c>
      <c r="W50" s="77">
        <f>IF(H50="ja",$X$36,0)</f>
        <v>0</v>
      </c>
      <c r="X50" s="74"/>
      <c r="Y50" s="72"/>
      <c r="Z50" s="72"/>
      <c r="AA50" s="72"/>
      <c r="AB50" s="72">
        <f t="shared" si="1"/>
        <v>0</v>
      </c>
      <c r="AC50" s="72"/>
      <c r="AD50" s="72"/>
      <c r="AE50" s="68"/>
      <c r="AF50" s="68"/>
    </row>
    <row r="51" spans="1:32" x14ac:dyDescent="0.3">
      <c r="A51" s="1516"/>
      <c r="B51" s="1103"/>
      <c r="C51" s="1104"/>
      <c r="D51" s="1104"/>
      <c r="E51" s="1104"/>
      <c r="F51" s="1104"/>
      <c r="G51" s="1105"/>
      <c r="H51" s="982"/>
      <c r="I51" s="1017"/>
      <c r="J51" s="1029"/>
      <c r="K51" s="1030"/>
      <c r="L51" s="1170"/>
      <c r="M51" s="1171"/>
      <c r="N51" s="1171"/>
      <c r="O51" s="1171"/>
      <c r="P51" s="1171"/>
      <c r="Q51" s="1775"/>
      <c r="R51" s="972"/>
      <c r="S51" s="973"/>
      <c r="T51" s="1258"/>
      <c r="U51" s="1339"/>
      <c r="V51" s="72">
        <f t="shared" si="0"/>
        <v>0</v>
      </c>
      <c r="W51" s="74"/>
      <c r="X51" s="74"/>
      <c r="Y51" s="72"/>
      <c r="Z51" s="72"/>
      <c r="AA51" s="72"/>
      <c r="AB51" s="72">
        <f t="shared" si="1"/>
        <v>0</v>
      </c>
      <c r="AC51" s="72"/>
      <c r="AD51" s="72"/>
      <c r="AE51" s="68"/>
      <c r="AF51" s="68"/>
    </row>
    <row r="52" spans="1:32" x14ac:dyDescent="0.3">
      <c r="A52" s="1516"/>
      <c r="B52" s="1103"/>
      <c r="C52" s="1104"/>
      <c r="D52" s="1104"/>
      <c r="E52" s="1104"/>
      <c r="F52" s="1104"/>
      <c r="G52" s="1105"/>
      <c r="H52" s="983"/>
      <c r="I52" s="1017"/>
      <c r="J52" s="1029"/>
      <c r="K52" s="1030"/>
      <c r="L52" s="1170"/>
      <c r="M52" s="1171"/>
      <c r="N52" s="1171"/>
      <c r="O52" s="1171"/>
      <c r="P52" s="1171"/>
      <c r="Q52" s="1775" t="s">
        <v>100</v>
      </c>
      <c r="R52" s="972"/>
      <c r="S52" s="973"/>
      <c r="T52" s="1258"/>
      <c r="U52" s="1339"/>
      <c r="V52" s="72">
        <f t="shared" si="0"/>
        <v>0</v>
      </c>
      <c r="W52" s="74"/>
      <c r="X52" s="74"/>
      <c r="Y52" s="72"/>
      <c r="Z52" s="72"/>
      <c r="AA52" s="72"/>
      <c r="AB52" s="72">
        <f t="shared" si="1"/>
        <v>0</v>
      </c>
      <c r="AC52" s="72"/>
      <c r="AD52" s="72"/>
      <c r="AE52" s="68"/>
      <c r="AF52" s="68"/>
    </row>
    <row r="53" spans="1:32" x14ac:dyDescent="0.3">
      <c r="A53" s="1516"/>
      <c r="B53" s="1103" t="s">
        <v>671</v>
      </c>
      <c r="C53" s="1104"/>
      <c r="D53" s="1104"/>
      <c r="E53" s="1104"/>
      <c r="F53" s="1104"/>
      <c r="G53" s="1105"/>
      <c r="H53" s="981" t="s">
        <v>100</v>
      </c>
      <c r="I53" s="1017"/>
      <c r="J53" s="1029"/>
      <c r="K53" s="1030"/>
      <c r="L53" s="1170"/>
      <c r="M53" s="1171"/>
      <c r="N53" s="1171"/>
      <c r="O53" s="1171"/>
      <c r="P53" s="1171"/>
      <c r="Q53" s="1775"/>
      <c r="R53" s="972"/>
      <c r="S53" s="973"/>
      <c r="T53" s="1258"/>
      <c r="U53" s="1339"/>
      <c r="V53" s="72">
        <f t="shared" si="0"/>
        <v>0</v>
      </c>
      <c r="W53" s="77">
        <f>IF(H53="ja",$X$36,0)</f>
        <v>0</v>
      </c>
      <c r="X53" s="74"/>
      <c r="Y53" s="72"/>
      <c r="Z53" s="72"/>
      <c r="AA53" s="72"/>
      <c r="AB53" s="72">
        <f t="shared" si="1"/>
        <v>0</v>
      </c>
      <c r="AC53" s="72"/>
      <c r="AD53" s="72"/>
      <c r="AE53" s="68"/>
      <c r="AF53" s="68"/>
    </row>
    <row r="54" spans="1:32" x14ac:dyDescent="0.3">
      <c r="A54" s="1516"/>
      <c r="B54" s="1103"/>
      <c r="C54" s="1104"/>
      <c r="D54" s="1104"/>
      <c r="E54" s="1104"/>
      <c r="F54" s="1104"/>
      <c r="G54" s="1105"/>
      <c r="H54" s="982"/>
      <c r="I54" s="1017"/>
      <c r="J54" s="1029"/>
      <c r="K54" s="1030"/>
      <c r="L54" s="1170"/>
      <c r="M54" s="1171"/>
      <c r="N54" s="1171"/>
      <c r="O54" s="1171"/>
      <c r="P54" s="1171"/>
      <c r="Q54" s="1775" t="s">
        <v>100</v>
      </c>
      <c r="R54" s="972"/>
      <c r="S54" s="973"/>
      <c r="T54" s="1258"/>
      <c r="U54" s="1339"/>
      <c r="V54" s="72">
        <f t="shared" si="0"/>
        <v>0</v>
      </c>
      <c r="W54" s="74"/>
      <c r="X54" s="74"/>
      <c r="Y54" s="72"/>
      <c r="Z54" s="72"/>
      <c r="AA54" s="72"/>
      <c r="AB54" s="72">
        <f t="shared" si="1"/>
        <v>0</v>
      </c>
      <c r="AC54" s="72"/>
      <c r="AD54" s="72"/>
      <c r="AE54" s="68"/>
      <c r="AF54" s="68"/>
    </row>
    <row r="55" spans="1:32" x14ac:dyDescent="0.3">
      <c r="A55" s="1516"/>
      <c r="B55" s="1103" t="s">
        <v>672</v>
      </c>
      <c r="C55" s="1104"/>
      <c r="D55" s="1104"/>
      <c r="E55" s="1104"/>
      <c r="F55" s="1104"/>
      <c r="G55" s="1105"/>
      <c r="H55" s="981" t="s">
        <v>100</v>
      </c>
      <c r="I55" s="1017"/>
      <c r="J55" s="1029"/>
      <c r="K55" s="1030"/>
      <c r="L55" s="1170"/>
      <c r="M55" s="1171"/>
      <c r="N55" s="1171"/>
      <c r="O55" s="1171"/>
      <c r="P55" s="1171"/>
      <c r="Q55" s="1775"/>
      <c r="R55" s="972"/>
      <c r="S55" s="973"/>
      <c r="T55" s="1258"/>
      <c r="U55" s="1339"/>
      <c r="V55" s="72">
        <f t="shared" si="0"/>
        <v>0</v>
      </c>
      <c r="W55" s="77">
        <f>IF(H55="ja",$X$36,0)</f>
        <v>0</v>
      </c>
      <c r="X55" s="74"/>
      <c r="Y55" s="72"/>
      <c r="Z55" s="72"/>
      <c r="AA55" s="72"/>
      <c r="AB55" s="72">
        <f t="shared" si="1"/>
        <v>0</v>
      </c>
      <c r="AC55" s="72"/>
      <c r="AD55" s="72"/>
      <c r="AE55" s="68"/>
      <c r="AF55" s="68"/>
    </row>
    <row r="56" spans="1:32" x14ac:dyDescent="0.3">
      <c r="A56" s="1516"/>
      <c r="B56" s="1103"/>
      <c r="C56" s="1104"/>
      <c r="D56" s="1104"/>
      <c r="E56" s="1104"/>
      <c r="F56" s="1104"/>
      <c r="G56" s="1105"/>
      <c r="H56" s="982"/>
      <c r="I56" s="1017"/>
      <c r="J56" s="1029"/>
      <c r="K56" s="1030"/>
      <c r="L56" s="1170"/>
      <c r="M56" s="1171"/>
      <c r="N56" s="1171"/>
      <c r="O56" s="1171"/>
      <c r="P56" s="1171"/>
      <c r="Q56" s="1775" t="s">
        <v>100</v>
      </c>
      <c r="R56" s="972"/>
      <c r="S56" s="973"/>
      <c r="T56" s="1258"/>
      <c r="U56" s="1339"/>
      <c r="V56" s="72">
        <f t="shared" si="0"/>
        <v>0</v>
      </c>
      <c r="W56" s="74"/>
      <c r="X56" s="74"/>
      <c r="Y56" s="72"/>
      <c r="Z56" s="72"/>
      <c r="AA56" s="72"/>
      <c r="AB56" s="72">
        <f t="shared" si="1"/>
        <v>0</v>
      </c>
      <c r="AC56" s="72"/>
      <c r="AD56" s="72"/>
      <c r="AE56" s="68"/>
      <c r="AF56" s="68"/>
    </row>
    <row r="57" spans="1:32" x14ac:dyDescent="0.3">
      <c r="A57" s="1516"/>
      <c r="B57" s="1103" t="s">
        <v>673</v>
      </c>
      <c r="C57" s="1104"/>
      <c r="D57" s="1104"/>
      <c r="E57" s="1104"/>
      <c r="F57" s="1104"/>
      <c r="G57" s="1105"/>
      <c r="H57" s="981" t="s">
        <v>100</v>
      </c>
      <c r="I57" s="1017"/>
      <c r="J57" s="1029"/>
      <c r="K57" s="1030"/>
      <c r="L57" s="1170"/>
      <c r="M57" s="1171"/>
      <c r="N57" s="1171"/>
      <c r="O57" s="1171"/>
      <c r="P57" s="1171"/>
      <c r="Q57" s="1775"/>
      <c r="R57" s="972"/>
      <c r="S57" s="973"/>
      <c r="T57" s="1258"/>
      <c r="U57" s="1339"/>
      <c r="V57" s="72">
        <f t="shared" si="0"/>
        <v>0</v>
      </c>
      <c r="W57" s="77">
        <f>IF(H57="ja",$X$36,0)</f>
        <v>0</v>
      </c>
      <c r="X57" s="74"/>
      <c r="Y57" s="72"/>
      <c r="Z57" s="72"/>
      <c r="AA57" s="72"/>
      <c r="AB57" s="72">
        <f t="shared" si="1"/>
        <v>0</v>
      </c>
      <c r="AC57" s="72"/>
      <c r="AD57" s="72"/>
      <c r="AE57" s="68"/>
      <c r="AF57" s="68"/>
    </row>
    <row r="58" spans="1:32" x14ac:dyDescent="0.3">
      <c r="A58" s="1516"/>
      <c r="B58" s="1103"/>
      <c r="C58" s="1104"/>
      <c r="D58" s="1104"/>
      <c r="E58" s="1104"/>
      <c r="F58" s="1104"/>
      <c r="G58" s="1105"/>
      <c r="H58" s="982"/>
      <c r="I58" s="1017"/>
      <c r="J58" s="1029"/>
      <c r="K58" s="1030"/>
      <c r="L58" s="1170"/>
      <c r="M58" s="1171"/>
      <c r="N58" s="1171"/>
      <c r="O58" s="1171"/>
      <c r="P58" s="1171"/>
      <c r="Q58" s="1775" t="s">
        <v>100</v>
      </c>
      <c r="R58" s="972"/>
      <c r="S58" s="973"/>
      <c r="T58" s="1258"/>
      <c r="U58" s="1339"/>
      <c r="V58" s="72">
        <f t="shared" si="0"/>
        <v>0</v>
      </c>
      <c r="W58" s="74"/>
      <c r="X58" s="74"/>
      <c r="Y58" s="72"/>
      <c r="Z58" s="72"/>
      <c r="AA58" s="72"/>
      <c r="AB58" s="72">
        <f t="shared" si="1"/>
        <v>0</v>
      </c>
      <c r="AC58" s="72"/>
      <c r="AD58" s="72"/>
      <c r="AE58" s="68"/>
      <c r="AF58" s="68"/>
    </row>
    <row r="59" spans="1:32" x14ac:dyDescent="0.3">
      <c r="A59" s="1516"/>
      <c r="B59" s="1103" t="s">
        <v>674</v>
      </c>
      <c r="C59" s="1104"/>
      <c r="D59" s="1104"/>
      <c r="E59" s="1104"/>
      <c r="F59" s="1104"/>
      <c r="G59" s="1105"/>
      <c r="H59" s="981" t="s">
        <v>100</v>
      </c>
      <c r="I59" s="1017"/>
      <c r="J59" s="1029"/>
      <c r="K59" s="1030"/>
      <c r="L59" s="1170"/>
      <c r="M59" s="1171"/>
      <c r="N59" s="1171"/>
      <c r="O59" s="1171"/>
      <c r="P59" s="1171"/>
      <c r="Q59" s="1775"/>
      <c r="R59" s="972"/>
      <c r="S59" s="973"/>
      <c r="T59" s="1258"/>
      <c r="U59" s="1339"/>
      <c r="V59" s="72">
        <f t="shared" si="0"/>
        <v>0</v>
      </c>
      <c r="W59" s="77">
        <f>IF(H59="ja",$X$36,0)</f>
        <v>0</v>
      </c>
      <c r="X59" s="74"/>
      <c r="Y59" s="72"/>
      <c r="Z59" s="72"/>
      <c r="AA59" s="72"/>
      <c r="AB59" s="72">
        <f t="shared" si="1"/>
        <v>0</v>
      </c>
      <c r="AC59" s="72"/>
      <c r="AD59" s="72"/>
      <c r="AE59" s="68"/>
      <c r="AF59" s="68"/>
    </row>
    <row r="60" spans="1:32" x14ac:dyDescent="0.3">
      <c r="A60" s="1516"/>
      <c r="B60" s="1103"/>
      <c r="C60" s="1104"/>
      <c r="D60" s="1104"/>
      <c r="E60" s="1104"/>
      <c r="F60" s="1104"/>
      <c r="G60" s="1105"/>
      <c r="H60" s="982"/>
      <c r="I60" s="1017"/>
      <c r="J60" s="1029"/>
      <c r="K60" s="1030"/>
      <c r="L60" s="1170"/>
      <c r="M60" s="1171"/>
      <c r="N60" s="1171"/>
      <c r="O60" s="1171"/>
      <c r="P60" s="1171"/>
      <c r="Q60" s="1775" t="s">
        <v>100</v>
      </c>
      <c r="R60" s="972"/>
      <c r="S60" s="973"/>
      <c r="T60" s="1258"/>
      <c r="U60" s="1339"/>
      <c r="V60" s="72">
        <f t="shared" si="0"/>
        <v>0</v>
      </c>
      <c r="W60" s="74"/>
      <c r="X60" s="74"/>
      <c r="Y60" s="72"/>
      <c r="Z60" s="72"/>
      <c r="AA60" s="72"/>
      <c r="AB60" s="72">
        <f t="shared" si="1"/>
        <v>0</v>
      </c>
      <c r="AC60" s="72"/>
      <c r="AD60" s="72"/>
      <c r="AE60" s="68"/>
      <c r="AF60" s="68"/>
    </row>
    <row r="61" spans="1:32" x14ac:dyDescent="0.3">
      <c r="A61" s="1516"/>
      <c r="B61" s="1103" t="s">
        <v>675</v>
      </c>
      <c r="C61" s="1104"/>
      <c r="D61" s="1104"/>
      <c r="E61" s="1104"/>
      <c r="F61" s="1104"/>
      <c r="G61" s="1105"/>
      <c r="H61" s="981" t="s">
        <v>100</v>
      </c>
      <c r="I61" s="1017"/>
      <c r="J61" s="1029"/>
      <c r="K61" s="1030"/>
      <c r="L61" s="1170"/>
      <c r="M61" s="1171"/>
      <c r="N61" s="1171"/>
      <c r="O61" s="1171"/>
      <c r="P61" s="1171"/>
      <c r="Q61" s="1775"/>
      <c r="R61" s="972"/>
      <c r="S61" s="973"/>
      <c r="T61" s="1258"/>
      <c r="U61" s="1339"/>
      <c r="V61" s="72">
        <f t="shared" si="0"/>
        <v>0</v>
      </c>
      <c r="W61" s="77">
        <f>IF(H61="ja",$X$36,0)</f>
        <v>0</v>
      </c>
      <c r="X61" s="74"/>
      <c r="Y61" s="72"/>
      <c r="Z61" s="72"/>
      <c r="AA61" s="72"/>
      <c r="AB61" s="72">
        <f t="shared" si="1"/>
        <v>0</v>
      </c>
      <c r="AC61" s="72"/>
      <c r="AD61" s="72"/>
      <c r="AE61" s="68"/>
      <c r="AF61" s="68"/>
    </row>
    <row r="62" spans="1:32" x14ac:dyDescent="0.3">
      <c r="A62" s="1516"/>
      <c r="B62" s="1487"/>
      <c r="C62" s="1488"/>
      <c r="D62" s="1488"/>
      <c r="E62" s="1488"/>
      <c r="F62" s="1488"/>
      <c r="G62" s="1489"/>
      <c r="H62" s="983"/>
      <c r="I62" s="1017"/>
      <c r="J62" s="1029"/>
      <c r="K62" s="1030"/>
      <c r="L62" s="1170"/>
      <c r="M62" s="1171"/>
      <c r="N62" s="1171"/>
      <c r="O62" s="1171"/>
      <c r="P62" s="1171"/>
      <c r="Q62" s="1775" t="s">
        <v>100</v>
      </c>
      <c r="R62" s="972"/>
      <c r="S62" s="973"/>
      <c r="T62" s="1258"/>
      <c r="U62" s="1339"/>
      <c r="V62" s="72">
        <f t="shared" si="0"/>
        <v>0</v>
      </c>
      <c r="W62" s="74"/>
      <c r="X62" s="74"/>
      <c r="Y62" s="72"/>
      <c r="Z62" s="72"/>
      <c r="AA62" s="72"/>
      <c r="AB62" s="72">
        <f t="shared" si="1"/>
        <v>0</v>
      </c>
      <c r="AC62" s="72"/>
      <c r="AD62" s="72"/>
      <c r="AE62" s="68"/>
      <c r="AF62" s="68"/>
    </row>
    <row r="63" spans="1:32" x14ac:dyDescent="0.3">
      <c r="A63" s="1516"/>
      <c r="B63" s="1923" t="s">
        <v>676</v>
      </c>
      <c r="C63" s="1924"/>
      <c r="D63" s="1924"/>
      <c r="E63" s="1924"/>
      <c r="F63" s="1924"/>
      <c r="G63" s="1924"/>
      <c r="H63" s="981" t="s">
        <v>100</v>
      </c>
      <c r="I63" s="1017"/>
      <c r="J63" s="1029"/>
      <c r="K63" s="1030"/>
      <c r="L63" s="1170"/>
      <c r="M63" s="1171"/>
      <c r="N63" s="1171"/>
      <c r="O63" s="1171"/>
      <c r="P63" s="1171"/>
      <c r="Q63" s="1775"/>
      <c r="R63" s="972"/>
      <c r="S63" s="973"/>
      <c r="T63" s="1258"/>
      <c r="U63" s="1339"/>
      <c r="V63" s="72">
        <f t="shared" si="0"/>
        <v>0</v>
      </c>
      <c r="W63" s="77">
        <f>IF(H63="ja",$X$36,0)</f>
        <v>0</v>
      </c>
      <c r="X63" s="74"/>
      <c r="Y63" s="72"/>
      <c r="Z63" s="72"/>
      <c r="AA63" s="72"/>
      <c r="AB63" s="72">
        <f t="shared" si="1"/>
        <v>0</v>
      </c>
      <c r="AC63" s="72"/>
      <c r="AD63" s="72"/>
      <c r="AE63" s="68"/>
      <c r="AF63" s="68"/>
    </row>
    <row r="64" spans="1:32" ht="15.2" thickBot="1" x14ac:dyDescent="0.35">
      <c r="A64" s="1516"/>
      <c r="B64" s="1925"/>
      <c r="C64" s="1926"/>
      <c r="D64" s="1926"/>
      <c r="E64" s="1926"/>
      <c r="F64" s="1926"/>
      <c r="G64" s="1926"/>
      <c r="H64" s="983"/>
      <c r="I64" s="1018"/>
      <c r="J64" s="1031"/>
      <c r="K64" s="1032"/>
      <c r="L64" s="1920"/>
      <c r="M64" s="1921"/>
      <c r="N64" s="1921"/>
      <c r="O64" s="1921"/>
      <c r="P64" s="1922"/>
      <c r="Q64" s="532" t="s">
        <v>100</v>
      </c>
      <c r="R64" s="976"/>
      <c r="S64" s="977"/>
      <c r="T64" s="1259"/>
      <c r="U64" s="1340"/>
      <c r="V64" s="72">
        <f t="shared" si="0"/>
        <v>0</v>
      </c>
      <c r="W64" s="74"/>
      <c r="X64" s="74"/>
      <c r="Y64" s="72"/>
      <c r="Z64" s="72"/>
      <c r="AA64" s="72"/>
      <c r="AB64" s="72">
        <f t="shared" si="1"/>
        <v>0</v>
      </c>
      <c r="AC64" s="72"/>
      <c r="AD64" s="72"/>
      <c r="AE64" s="68"/>
      <c r="AF64" s="68"/>
    </row>
    <row r="65" spans="1:33" ht="15.2" thickBot="1" x14ac:dyDescent="0.35">
      <c r="A65" s="1516"/>
      <c r="B65" s="1082" t="s">
        <v>677</v>
      </c>
      <c r="C65" s="1083"/>
      <c r="D65" s="1083"/>
      <c r="E65" s="1083"/>
      <c r="F65" s="1083"/>
      <c r="G65" s="1084"/>
      <c r="H65" s="145"/>
      <c r="I65" s="1744"/>
      <c r="J65" s="1745"/>
      <c r="K65" s="1746"/>
      <c r="L65" s="1180">
        <f>SUM(R36:S64)</f>
        <v>0</v>
      </c>
      <c r="M65" s="1181"/>
      <c r="N65" s="1181"/>
      <c r="O65" s="1181"/>
      <c r="P65" s="1181"/>
      <c r="Q65" s="211"/>
      <c r="R65" s="1181"/>
      <c r="S65" s="1272"/>
      <c r="T65" s="334"/>
      <c r="U65" s="335" t="s">
        <v>157</v>
      </c>
      <c r="V65" s="72">
        <f t="shared" si="0"/>
        <v>0</v>
      </c>
      <c r="W65" s="74">
        <f>SUM(W36:W63)</f>
        <v>0</v>
      </c>
      <c r="X65" s="75"/>
      <c r="Y65" s="75"/>
      <c r="Z65" s="75"/>
      <c r="AA65" s="75"/>
      <c r="AB65" s="72">
        <f t="shared" si="1"/>
        <v>0</v>
      </c>
      <c r="AC65" s="72"/>
      <c r="AD65" s="72"/>
      <c r="AE65" s="68"/>
      <c r="AF65" s="68"/>
    </row>
    <row r="66" spans="1:33" x14ac:dyDescent="0.3">
      <c r="A66" s="1516"/>
      <c r="B66" s="1497" t="s">
        <v>678</v>
      </c>
      <c r="C66" s="1498"/>
      <c r="D66" s="1498"/>
      <c r="E66" s="1498"/>
      <c r="F66" s="1498"/>
      <c r="G66" s="1499"/>
      <c r="H66" s="1194" t="s">
        <v>100</v>
      </c>
      <c r="I66" s="1016">
        <f>W81</f>
        <v>0</v>
      </c>
      <c r="J66" s="1044">
        <f>I32*I66</f>
        <v>0</v>
      </c>
      <c r="K66" s="1045"/>
      <c r="L66" s="1170"/>
      <c r="M66" s="1171"/>
      <c r="N66" s="1171"/>
      <c r="O66" s="1171"/>
      <c r="P66" s="1171"/>
      <c r="Q66" s="1775" t="s">
        <v>100</v>
      </c>
      <c r="R66" s="972"/>
      <c r="S66" s="973"/>
      <c r="T66" s="1257" t="str">
        <f>IFERROR(IF((VLOOKUP(U66,Überblick!$M$125:$N$133,2))="ja","ja","nein"),"")</f>
        <v/>
      </c>
      <c r="U66" s="1338"/>
      <c r="V66" s="72">
        <f t="shared" si="0"/>
        <v>0</v>
      </c>
      <c r="W66" s="77">
        <f>IF(H66="ja",$X$66,0)</f>
        <v>0</v>
      </c>
      <c r="X66" s="74">
        <f>30%/7</f>
        <v>4.2857142857142858E-2</v>
      </c>
      <c r="Y66" s="75"/>
      <c r="Z66" s="75"/>
      <c r="AA66" s="75"/>
      <c r="AB66" s="72">
        <f t="shared" si="1"/>
        <v>0</v>
      </c>
      <c r="AC66" s="72"/>
      <c r="AD66" s="72"/>
      <c r="AE66" s="68"/>
      <c r="AF66" s="68"/>
    </row>
    <row r="67" spans="1:33" x14ac:dyDescent="0.3">
      <c r="A67" s="1516"/>
      <c r="B67" s="1493"/>
      <c r="C67" s="1317"/>
      <c r="D67" s="1317"/>
      <c r="E67" s="1317"/>
      <c r="F67" s="1317"/>
      <c r="G67" s="1494"/>
      <c r="H67" s="982"/>
      <c r="I67" s="1017"/>
      <c r="J67" s="1046"/>
      <c r="K67" s="1047"/>
      <c r="L67" s="1170"/>
      <c r="M67" s="1171"/>
      <c r="N67" s="1171"/>
      <c r="O67" s="1171"/>
      <c r="P67" s="1171"/>
      <c r="Q67" s="1775"/>
      <c r="R67" s="972"/>
      <c r="S67" s="973"/>
      <c r="T67" s="1258"/>
      <c r="U67" s="1339"/>
      <c r="V67" s="72">
        <f t="shared" si="0"/>
        <v>0</v>
      </c>
      <c r="W67" s="74"/>
      <c r="X67" s="75"/>
      <c r="Y67" s="75"/>
      <c r="Z67" s="75"/>
      <c r="AA67" s="75"/>
      <c r="AB67" s="72">
        <f t="shared" si="1"/>
        <v>0</v>
      </c>
      <c r="AC67" s="72"/>
      <c r="AD67" s="72"/>
      <c r="AE67" s="68"/>
      <c r="AF67" s="68"/>
    </row>
    <row r="68" spans="1:33" x14ac:dyDescent="0.3">
      <c r="A68" s="1516"/>
      <c r="B68" s="1490"/>
      <c r="C68" s="1491"/>
      <c r="D68" s="1491"/>
      <c r="E68" s="1491"/>
      <c r="F68" s="1491"/>
      <c r="G68" s="1492"/>
      <c r="H68" s="983"/>
      <c r="I68" s="1017"/>
      <c r="J68" s="1046"/>
      <c r="K68" s="1047"/>
      <c r="L68" s="1170"/>
      <c r="M68" s="1171"/>
      <c r="N68" s="1171"/>
      <c r="O68" s="1171"/>
      <c r="P68" s="1171"/>
      <c r="Q68" s="1775" t="s">
        <v>100</v>
      </c>
      <c r="R68" s="972"/>
      <c r="S68" s="973"/>
      <c r="T68" s="1258"/>
      <c r="U68" s="1339"/>
      <c r="V68" s="72">
        <f t="shared" si="0"/>
        <v>0</v>
      </c>
      <c r="W68" s="77"/>
      <c r="X68" s="72"/>
      <c r="Y68" s="72"/>
      <c r="Z68" s="77">
        <v>0.3</v>
      </c>
      <c r="AA68" s="77"/>
      <c r="AB68" s="72">
        <f t="shared" si="1"/>
        <v>0</v>
      </c>
      <c r="AC68" s="72"/>
      <c r="AD68" s="72"/>
      <c r="AE68" s="68"/>
      <c r="AF68" s="68"/>
    </row>
    <row r="69" spans="1:33" x14ac:dyDescent="0.3">
      <c r="A69" s="1516"/>
      <c r="B69" s="1487" t="s">
        <v>679</v>
      </c>
      <c r="C69" s="1488"/>
      <c r="D69" s="1488"/>
      <c r="E69" s="1488"/>
      <c r="F69" s="1488"/>
      <c r="G69" s="1489"/>
      <c r="H69" s="981" t="s">
        <v>100</v>
      </c>
      <c r="I69" s="1017"/>
      <c r="J69" s="1046"/>
      <c r="K69" s="1047"/>
      <c r="L69" s="1170"/>
      <c r="M69" s="1171"/>
      <c r="N69" s="1171"/>
      <c r="O69" s="1171"/>
      <c r="P69" s="1171"/>
      <c r="Q69" s="1775"/>
      <c r="R69" s="972"/>
      <c r="S69" s="973"/>
      <c r="T69" s="1258"/>
      <c r="U69" s="1339"/>
      <c r="V69" s="72">
        <f t="shared" si="0"/>
        <v>0</v>
      </c>
      <c r="W69" s="77">
        <f>IF(H69="ja",$X$66,0)</f>
        <v>0</v>
      </c>
      <c r="X69" s="74"/>
      <c r="Y69" s="72"/>
      <c r="Z69" s="72"/>
      <c r="AA69" s="72"/>
      <c r="AB69" s="72">
        <f t="shared" si="1"/>
        <v>0</v>
      </c>
      <c r="AC69" s="72"/>
      <c r="AD69" s="72"/>
      <c r="AE69" s="68"/>
      <c r="AF69" s="68"/>
    </row>
    <row r="70" spans="1:33" x14ac:dyDescent="0.3">
      <c r="A70" s="1516"/>
      <c r="B70" s="1490"/>
      <c r="C70" s="1491"/>
      <c r="D70" s="1491"/>
      <c r="E70" s="1491"/>
      <c r="F70" s="1491"/>
      <c r="G70" s="1492"/>
      <c r="H70" s="983"/>
      <c r="I70" s="1017"/>
      <c r="J70" s="1046"/>
      <c r="K70" s="1047"/>
      <c r="L70" s="1170"/>
      <c r="M70" s="1171"/>
      <c r="N70" s="1171"/>
      <c r="O70" s="1171"/>
      <c r="P70" s="1171"/>
      <c r="Q70" s="1775" t="s">
        <v>100</v>
      </c>
      <c r="R70" s="972"/>
      <c r="S70" s="973"/>
      <c r="T70" s="1258"/>
      <c r="U70" s="1339"/>
      <c r="V70" s="72">
        <f t="shared" si="0"/>
        <v>0</v>
      </c>
      <c r="W70" s="72"/>
      <c r="X70" s="74"/>
      <c r="Y70" s="72"/>
      <c r="Z70" s="72"/>
      <c r="AA70" s="72"/>
      <c r="AB70" s="72">
        <f t="shared" si="1"/>
        <v>0</v>
      </c>
      <c r="AC70" s="72"/>
      <c r="AD70" s="72"/>
      <c r="AE70" s="68"/>
      <c r="AF70" s="68"/>
    </row>
    <row r="71" spans="1:33" x14ac:dyDescent="0.3">
      <c r="A71" s="1516"/>
      <c r="B71" s="1103" t="s">
        <v>680</v>
      </c>
      <c r="C71" s="1104"/>
      <c r="D71" s="1104"/>
      <c r="E71" s="1104"/>
      <c r="F71" s="1104"/>
      <c r="G71" s="1105"/>
      <c r="H71" s="1190" t="s">
        <v>100</v>
      </c>
      <c r="I71" s="1017"/>
      <c r="J71" s="1046"/>
      <c r="K71" s="1047"/>
      <c r="L71" s="1170"/>
      <c r="M71" s="1171"/>
      <c r="N71" s="1171"/>
      <c r="O71" s="1171"/>
      <c r="P71" s="1171"/>
      <c r="Q71" s="1775"/>
      <c r="R71" s="972"/>
      <c r="S71" s="973"/>
      <c r="T71" s="1258"/>
      <c r="U71" s="1339"/>
      <c r="V71" s="72">
        <f t="shared" si="0"/>
        <v>0</v>
      </c>
      <c r="W71" s="77">
        <f>IF(H71="ja",$X$66,0)</f>
        <v>0</v>
      </c>
      <c r="X71" s="74"/>
      <c r="Y71" s="72"/>
      <c r="Z71" s="72"/>
      <c r="AA71" s="72"/>
      <c r="AB71" s="72">
        <f t="shared" si="1"/>
        <v>0</v>
      </c>
      <c r="AC71" s="72"/>
      <c r="AD71" s="72"/>
      <c r="AE71" s="68"/>
      <c r="AF71" s="68"/>
    </row>
    <row r="72" spans="1:33" x14ac:dyDescent="0.3">
      <c r="A72" s="1516"/>
      <c r="B72" s="1103"/>
      <c r="C72" s="1104"/>
      <c r="D72" s="1104"/>
      <c r="E72" s="1104"/>
      <c r="F72" s="1104"/>
      <c r="G72" s="1105"/>
      <c r="H72" s="1191"/>
      <c r="I72" s="1017"/>
      <c r="J72" s="1046"/>
      <c r="K72" s="1047"/>
      <c r="L72" s="1170"/>
      <c r="M72" s="1171"/>
      <c r="N72" s="1171"/>
      <c r="O72" s="1171"/>
      <c r="P72" s="1171"/>
      <c r="Q72" s="1775" t="s">
        <v>100</v>
      </c>
      <c r="R72" s="972"/>
      <c r="S72" s="973"/>
      <c r="T72" s="1258"/>
      <c r="U72" s="1339"/>
      <c r="V72" s="72">
        <f t="shared" si="0"/>
        <v>0</v>
      </c>
      <c r="W72" s="72"/>
      <c r="X72" s="74"/>
      <c r="Y72" s="72"/>
      <c r="Z72" s="72"/>
      <c r="AA72" s="72"/>
      <c r="AB72" s="72">
        <f t="shared" si="1"/>
        <v>0</v>
      </c>
      <c r="AC72" s="72"/>
      <c r="AD72" s="72"/>
      <c r="AE72" s="68"/>
      <c r="AF72" s="68"/>
    </row>
    <row r="73" spans="1:33" x14ac:dyDescent="0.3">
      <c r="A73" s="1516"/>
      <c r="B73" s="1103" t="s">
        <v>516</v>
      </c>
      <c r="C73" s="1104"/>
      <c r="D73" s="1104"/>
      <c r="E73" s="1104"/>
      <c r="F73" s="1104"/>
      <c r="G73" s="1105"/>
      <c r="H73" s="1190" t="s">
        <v>100</v>
      </c>
      <c r="I73" s="1017"/>
      <c r="J73" s="1046"/>
      <c r="K73" s="1047"/>
      <c r="L73" s="1170"/>
      <c r="M73" s="1171"/>
      <c r="N73" s="1171"/>
      <c r="O73" s="1171"/>
      <c r="P73" s="1171"/>
      <c r="Q73" s="1775"/>
      <c r="R73" s="972"/>
      <c r="S73" s="973"/>
      <c r="T73" s="1258"/>
      <c r="U73" s="1339"/>
      <c r="V73" s="72">
        <f t="shared" si="0"/>
        <v>0</v>
      </c>
      <c r="W73" s="77">
        <f>IF(H73="ja",$X$66,0)</f>
        <v>0</v>
      </c>
      <c r="X73" s="74"/>
      <c r="Y73" s="72"/>
      <c r="Z73" s="72"/>
      <c r="AA73" s="72"/>
      <c r="AB73" s="72">
        <f t="shared" si="1"/>
        <v>0</v>
      </c>
      <c r="AC73" s="72"/>
      <c r="AD73" s="72"/>
      <c r="AE73" s="68"/>
      <c r="AF73" s="68"/>
    </row>
    <row r="74" spans="1:33" x14ac:dyDescent="0.3">
      <c r="A74" s="1516"/>
      <c r="B74" s="1103"/>
      <c r="C74" s="1104"/>
      <c r="D74" s="1104"/>
      <c r="E74" s="1104"/>
      <c r="F74" s="1104"/>
      <c r="G74" s="1105"/>
      <c r="H74" s="1193"/>
      <c r="I74" s="1017"/>
      <c r="J74" s="1046"/>
      <c r="K74" s="1047"/>
      <c r="L74" s="1170"/>
      <c r="M74" s="1171"/>
      <c r="N74" s="1171"/>
      <c r="O74" s="1171"/>
      <c r="P74" s="1171"/>
      <c r="Q74" s="1775" t="s">
        <v>100</v>
      </c>
      <c r="R74" s="972"/>
      <c r="S74" s="973"/>
      <c r="T74" s="1258"/>
      <c r="U74" s="1339"/>
      <c r="V74" s="72">
        <f t="shared" si="0"/>
        <v>0</v>
      </c>
      <c r="W74" s="72"/>
      <c r="X74" s="74"/>
      <c r="Y74" s="72"/>
      <c r="Z74" s="77"/>
      <c r="AA74" s="77"/>
      <c r="AB74" s="72">
        <f t="shared" si="1"/>
        <v>0</v>
      </c>
      <c r="AC74" s="72"/>
      <c r="AD74" s="72"/>
      <c r="AE74" s="68"/>
      <c r="AF74" s="68"/>
    </row>
    <row r="75" spans="1:33" x14ac:dyDescent="0.3">
      <c r="A75" s="1516"/>
      <c r="B75" s="1103" t="s">
        <v>681</v>
      </c>
      <c r="C75" s="1104"/>
      <c r="D75" s="1104"/>
      <c r="E75" s="1104"/>
      <c r="F75" s="1104"/>
      <c r="G75" s="1105"/>
      <c r="H75" s="1190" t="s">
        <v>100</v>
      </c>
      <c r="I75" s="1017"/>
      <c r="J75" s="1046"/>
      <c r="K75" s="1047"/>
      <c r="L75" s="1170"/>
      <c r="M75" s="1171"/>
      <c r="N75" s="1171"/>
      <c r="O75" s="1171"/>
      <c r="P75" s="1171"/>
      <c r="Q75" s="1775"/>
      <c r="R75" s="972"/>
      <c r="S75" s="973"/>
      <c r="T75" s="1258"/>
      <c r="U75" s="1339"/>
      <c r="V75" s="72">
        <f t="shared" si="0"/>
        <v>0</v>
      </c>
      <c r="W75" s="77">
        <f>IF(H75="ja",$X$66,0)</f>
        <v>0</v>
      </c>
      <c r="X75" s="74"/>
      <c r="Y75" s="72"/>
      <c r="Z75" s="72"/>
      <c r="AA75" s="72"/>
      <c r="AB75" s="72">
        <f t="shared" si="1"/>
        <v>0</v>
      </c>
      <c r="AC75" s="72"/>
      <c r="AD75" s="72"/>
      <c r="AE75" s="68"/>
      <c r="AF75" s="68"/>
    </row>
    <row r="76" spans="1:33" x14ac:dyDescent="0.3">
      <c r="A76" s="1516"/>
      <c r="B76" s="1103"/>
      <c r="C76" s="1104"/>
      <c r="D76" s="1104"/>
      <c r="E76" s="1104"/>
      <c r="F76" s="1104"/>
      <c r="G76" s="1105"/>
      <c r="H76" s="1191"/>
      <c r="I76" s="1017"/>
      <c r="J76" s="1046"/>
      <c r="K76" s="1047"/>
      <c r="L76" s="1170"/>
      <c r="M76" s="1171"/>
      <c r="N76" s="1171"/>
      <c r="O76" s="1171"/>
      <c r="P76" s="1171"/>
      <c r="Q76" s="1775" t="s">
        <v>100</v>
      </c>
      <c r="R76" s="972"/>
      <c r="S76" s="973"/>
      <c r="T76" s="1258"/>
      <c r="U76" s="1339"/>
      <c r="V76" s="72">
        <f t="shared" si="0"/>
        <v>0</v>
      </c>
      <c r="W76" s="72"/>
      <c r="X76" s="74"/>
      <c r="Y76" s="72"/>
      <c r="Z76" s="77"/>
      <c r="AA76" s="77"/>
      <c r="AB76" s="72">
        <f t="shared" si="1"/>
        <v>0</v>
      </c>
      <c r="AC76" s="72"/>
      <c r="AD76" s="72"/>
      <c r="AE76" s="68"/>
      <c r="AF76" s="68"/>
    </row>
    <row r="77" spans="1:33" x14ac:dyDescent="0.3">
      <c r="A77" s="1516"/>
      <c r="B77" s="1103" t="s">
        <v>682</v>
      </c>
      <c r="C77" s="1104"/>
      <c r="D77" s="1104"/>
      <c r="E77" s="1104"/>
      <c r="F77" s="1104"/>
      <c r="G77" s="1105"/>
      <c r="H77" s="1190" t="s">
        <v>100</v>
      </c>
      <c r="I77" s="1017"/>
      <c r="J77" s="1046"/>
      <c r="K77" s="1047"/>
      <c r="L77" s="1170"/>
      <c r="M77" s="1171"/>
      <c r="N77" s="1171"/>
      <c r="O77" s="1171"/>
      <c r="P77" s="1171"/>
      <c r="Q77" s="1775"/>
      <c r="R77" s="972"/>
      <c r="S77" s="973"/>
      <c r="T77" s="1258"/>
      <c r="U77" s="1339"/>
      <c r="V77" s="72">
        <f t="shared" si="0"/>
        <v>0</v>
      </c>
      <c r="W77" s="77">
        <f>IF(H77="ja",$X$66,0)</f>
        <v>0</v>
      </c>
      <c r="X77" s="74"/>
      <c r="Y77" s="72"/>
      <c r="Z77" s="77"/>
      <c r="AA77" s="77"/>
      <c r="AB77" s="72">
        <f t="shared" si="1"/>
        <v>0</v>
      </c>
      <c r="AC77" s="72"/>
      <c r="AD77" s="72"/>
      <c r="AE77" s="68"/>
      <c r="AF77" s="68"/>
    </row>
    <row r="78" spans="1:33" x14ac:dyDescent="0.3">
      <c r="A78" s="1516"/>
      <c r="B78" s="1103"/>
      <c r="C78" s="1104"/>
      <c r="D78" s="1104"/>
      <c r="E78" s="1104"/>
      <c r="F78" s="1104"/>
      <c r="G78" s="1105"/>
      <c r="H78" s="1191"/>
      <c r="I78" s="1017"/>
      <c r="J78" s="1046"/>
      <c r="K78" s="1047"/>
      <c r="L78" s="1170"/>
      <c r="M78" s="1171"/>
      <c r="N78" s="1171"/>
      <c r="O78" s="1171"/>
      <c r="P78" s="1171"/>
      <c r="Q78" s="1775" t="s">
        <v>100</v>
      </c>
      <c r="R78" s="972"/>
      <c r="S78" s="973"/>
      <c r="T78" s="1258"/>
      <c r="U78" s="1339"/>
      <c r="V78" s="72">
        <f t="shared" si="0"/>
        <v>0</v>
      </c>
      <c r="W78" s="74"/>
      <c r="X78" s="74"/>
      <c r="Y78" s="72"/>
      <c r="Z78" s="77"/>
      <c r="AA78" s="77"/>
      <c r="AB78" s="72">
        <f t="shared" si="1"/>
        <v>0</v>
      </c>
      <c r="AC78" s="72"/>
      <c r="AD78" s="72"/>
      <c r="AE78" s="68"/>
      <c r="AF78" s="68"/>
    </row>
    <row r="79" spans="1:33" x14ac:dyDescent="0.3">
      <c r="A79" s="1516"/>
      <c r="B79" s="1923" t="s">
        <v>683</v>
      </c>
      <c r="C79" s="1924"/>
      <c r="D79" s="1924"/>
      <c r="E79" s="1924"/>
      <c r="F79" s="1924"/>
      <c r="G79" s="1924"/>
      <c r="H79" s="981" t="s">
        <v>100</v>
      </c>
      <c r="I79" s="1017"/>
      <c r="J79" s="1046"/>
      <c r="K79" s="1047"/>
      <c r="L79" s="1170"/>
      <c r="M79" s="1171"/>
      <c r="N79" s="1171"/>
      <c r="O79" s="1171"/>
      <c r="P79" s="1171"/>
      <c r="Q79" s="1775"/>
      <c r="R79" s="972"/>
      <c r="S79" s="973"/>
      <c r="T79" s="1258"/>
      <c r="U79" s="1339"/>
      <c r="V79" s="72">
        <f t="shared" si="0"/>
        <v>0</v>
      </c>
      <c r="W79" s="77">
        <f>IF(H79="ja",$X$66,0)</f>
        <v>0</v>
      </c>
      <c r="X79" s="74"/>
      <c r="Y79" s="72"/>
      <c r="Z79" s="77"/>
      <c r="AA79" s="77"/>
      <c r="AB79" s="72">
        <f t="shared" si="1"/>
        <v>0</v>
      </c>
      <c r="AC79" s="72"/>
      <c r="AD79" s="72"/>
      <c r="AE79" s="68"/>
      <c r="AF79" s="68"/>
      <c r="AG79" s="544"/>
    </row>
    <row r="80" spans="1:33" ht="15.2" thickBot="1" x14ac:dyDescent="0.35">
      <c r="A80" s="1516"/>
      <c r="B80" s="1925"/>
      <c r="C80" s="1926"/>
      <c r="D80" s="1926"/>
      <c r="E80" s="1926"/>
      <c r="F80" s="1926"/>
      <c r="G80" s="1926"/>
      <c r="H80" s="1304"/>
      <c r="I80" s="1018"/>
      <c r="J80" s="1048"/>
      <c r="K80" s="1049"/>
      <c r="L80" s="1920"/>
      <c r="M80" s="1921"/>
      <c r="N80" s="1921"/>
      <c r="O80" s="1921"/>
      <c r="P80" s="1922"/>
      <c r="Q80" s="532" t="s">
        <v>100</v>
      </c>
      <c r="R80" s="976"/>
      <c r="S80" s="977"/>
      <c r="T80" s="1259"/>
      <c r="U80" s="1340"/>
      <c r="V80" s="72">
        <f>IF(AND(Q80="ja",R80=""),1,0)</f>
        <v>0</v>
      </c>
      <c r="W80" s="77"/>
      <c r="X80" s="74"/>
      <c r="Y80" s="72"/>
      <c r="Z80" s="77"/>
      <c r="AA80" s="77"/>
      <c r="AB80" s="72">
        <f t="shared" si="1"/>
        <v>0</v>
      </c>
      <c r="AC80" s="72"/>
      <c r="AD80" s="72"/>
      <c r="AE80" s="68"/>
      <c r="AF80" s="68"/>
      <c r="AG80" s="544"/>
    </row>
    <row r="81" spans="1:33" ht="15.2" thickBot="1" x14ac:dyDescent="0.35">
      <c r="A81" s="1516"/>
      <c r="B81" s="1082" t="s">
        <v>684</v>
      </c>
      <c r="C81" s="1083"/>
      <c r="D81" s="1083"/>
      <c r="E81" s="1083"/>
      <c r="F81" s="1083"/>
      <c r="G81" s="1084"/>
      <c r="H81" s="144"/>
      <c r="I81" s="1361"/>
      <c r="J81" s="1362"/>
      <c r="K81" s="1576"/>
      <c r="L81" s="1180">
        <f>SUM(R66:S80)</f>
        <v>0</v>
      </c>
      <c r="M81" s="1927"/>
      <c r="N81" s="1927"/>
      <c r="O81" s="1927"/>
      <c r="P81" s="1927"/>
      <c r="Q81" s="212"/>
      <c r="R81" s="1181"/>
      <c r="S81" s="1272"/>
      <c r="T81" s="39"/>
      <c r="U81" s="335" t="s">
        <v>157</v>
      </c>
      <c r="V81" s="72"/>
      <c r="W81" s="74">
        <f>SUM(W66:W79)</f>
        <v>0</v>
      </c>
      <c r="X81" s="150"/>
      <c r="Y81" s="150"/>
      <c r="Z81" s="150"/>
      <c r="AA81" s="72"/>
      <c r="AB81" s="72">
        <f t="shared" si="1"/>
        <v>0</v>
      </c>
      <c r="AC81" s="72"/>
      <c r="AD81" s="72"/>
      <c r="AE81" s="68"/>
      <c r="AF81" s="68"/>
      <c r="AG81" s="544"/>
    </row>
    <row r="82" spans="1:33" x14ac:dyDescent="0.3">
      <c r="A82" s="1516"/>
      <c r="B82" s="1497" t="s">
        <v>685</v>
      </c>
      <c r="C82" s="1498"/>
      <c r="D82" s="1498"/>
      <c r="E82" s="1498"/>
      <c r="F82" s="1498"/>
      <c r="G82" s="1499"/>
      <c r="H82" s="1194" t="s">
        <v>100</v>
      </c>
      <c r="I82" s="1016">
        <f>W89</f>
        <v>0</v>
      </c>
      <c r="J82" s="1044">
        <f>I82*I32</f>
        <v>0</v>
      </c>
      <c r="K82" s="1045"/>
      <c r="L82" s="1170"/>
      <c r="M82" s="1171"/>
      <c r="N82" s="1171"/>
      <c r="O82" s="1171"/>
      <c r="P82" s="1171"/>
      <c r="Q82" s="1775" t="s">
        <v>100</v>
      </c>
      <c r="R82" s="972"/>
      <c r="S82" s="973"/>
      <c r="T82" s="1257" t="str">
        <f>IFERROR(IF((VLOOKUP(U82,Überblick!$M$125:$N$133,2))="ja","ja","nein"),"")</f>
        <v/>
      </c>
      <c r="U82" s="1338"/>
      <c r="V82" s="72">
        <f>IF(AND(Q82="ja",R82=""),1,0)</f>
        <v>0</v>
      </c>
      <c r="W82" s="77">
        <f>IF(H82="ja",$X$82,0)</f>
        <v>0</v>
      </c>
      <c r="X82" s="74">
        <f>10%/3</f>
        <v>3.3333333333333333E-2</v>
      </c>
      <c r="Y82" s="72"/>
      <c r="Z82" s="348"/>
      <c r="AA82" s="72"/>
      <c r="AB82" s="72">
        <f t="shared" si="1"/>
        <v>0</v>
      </c>
      <c r="AC82" s="72"/>
      <c r="AD82" s="72"/>
      <c r="AE82" s="68"/>
      <c r="AF82" s="68"/>
      <c r="AG82" s="544"/>
    </row>
    <row r="83" spans="1:33" x14ac:dyDescent="0.3">
      <c r="A83" s="1516"/>
      <c r="B83" s="1493"/>
      <c r="C83" s="1317"/>
      <c r="D83" s="1317"/>
      <c r="E83" s="1317"/>
      <c r="F83" s="1317"/>
      <c r="G83" s="1494"/>
      <c r="H83" s="983"/>
      <c r="I83" s="1017"/>
      <c r="J83" s="1046"/>
      <c r="K83" s="1047"/>
      <c r="L83" s="1170"/>
      <c r="M83" s="1171"/>
      <c r="N83" s="1171"/>
      <c r="O83" s="1171"/>
      <c r="P83" s="1171"/>
      <c r="Q83" s="1775"/>
      <c r="R83" s="972"/>
      <c r="S83" s="973"/>
      <c r="T83" s="1258"/>
      <c r="U83" s="1339"/>
      <c r="V83" s="72"/>
      <c r="W83" s="72"/>
      <c r="X83" s="74"/>
      <c r="Y83" s="72"/>
      <c r="Z83" s="72"/>
      <c r="AA83" s="72"/>
      <c r="AB83" s="72">
        <f t="shared" si="1"/>
        <v>0</v>
      </c>
      <c r="AC83" s="72"/>
      <c r="AD83" s="72"/>
      <c r="AE83" s="68"/>
      <c r="AF83" s="68"/>
      <c r="AG83" s="544"/>
    </row>
    <row r="84" spans="1:33" x14ac:dyDescent="0.3">
      <c r="A84" s="1516"/>
      <c r="B84" s="1487" t="s">
        <v>686</v>
      </c>
      <c r="C84" s="1488"/>
      <c r="D84" s="1488"/>
      <c r="E84" s="1488"/>
      <c r="F84" s="1488"/>
      <c r="G84" s="1489"/>
      <c r="H84" s="981" t="s">
        <v>100</v>
      </c>
      <c r="I84" s="1017"/>
      <c r="J84" s="1046"/>
      <c r="K84" s="1047"/>
      <c r="L84" s="1170"/>
      <c r="M84" s="1171"/>
      <c r="N84" s="1171"/>
      <c r="O84" s="1171"/>
      <c r="P84" s="1171"/>
      <c r="Q84" s="1775" t="s">
        <v>100</v>
      </c>
      <c r="R84" s="972"/>
      <c r="S84" s="973"/>
      <c r="T84" s="1258"/>
      <c r="U84" s="1339"/>
      <c r="V84" s="72">
        <f>IF(AND(Q84="ja",R84=""),1,0)</f>
        <v>0</v>
      </c>
      <c r="W84" s="77">
        <f>IF(H84="ja",$X$82,0)</f>
        <v>0</v>
      </c>
      <c r="X84" s="74"/>
      <c r="Y84" s="72"/>
      <c r="Z84" s="72"/>
      <c r="AA84" s="72"/>
      <c r="AB84" s="72">
        <f t="shared" si="1"/>
        <v>0</v>
      </c>
      <c r="AC84" s="72"/>
      <c r="AD84" s="72"/>
      <c r="AE84" s="68"/>
      <c r="AF84" s="68"/>
      <c r="AG84" s="544"/>
    </row>
    <row r="85" spans="1:33" x14ac:dyDescent="0.3">
      <c r="A85" s="1516"/>
      <c r="B85" s="1490"/>
      <c r="C85" s="1491"/>
      <c r="D85" s="1491"/>
      <c r="E85" s="1491"/>
      <c r="F85" s="1491"/>
      <c r="G85" s="1492"/>
      <c r="H85" s="983"/>
      <c r="I85" s="1017"/>
      <c r="J85" s="1046"/>
      <c r="K85" s="1047"/>
      <c r="L85" s="1170"/>
      <c r="M85" s="1171"/>
      <c r="N85" s="1171"/>
      <c r="O85" s="1171"/>
      <c r="P85" s="1171"/>
      <c r="Q85" s="1775"/>
      <c r="R85" s="972"/>
      <c r="S85" s="973"/>
      <c r="T85" s="1258"/>
      <c r="U85" s="1339"/>
      <c r="V85" s="72"/>
      <c r="W85" s="72"/>
      <c r="X85" s="74"/>
      <c r="Y85" s="72"/>
      <c r="Z85" s="72"/>
      <c r="AA85" s="72"/>
      <c r="AB85" s="72">
        <f t="shared" si="1"/>
        <v>0</v>
      </c>
      <c r="AC85" s="72"/>
      <c r="AD85" s="72"/>
      <c r="AE85" s="68"/>
      <c r="AF85" s="68"/>
      <c r="AG85" s="544"/>
    </row>
    <row r="86" spans="1:33" x14ac:dyDescent="0.3">
      <c r="A86" s="1516"/>
      <c r="B86" s="1784" t="s">
        <v>687</v>
      </c>
      <c r="C86" s="1785"/>
      <c r="D86" s="1785"/>
      <c r="E86" s="1785"/>
      <c r="F86" s="1785"/>
      <c r="G86" s="1786"/>
      <c r="H86" s="981" t="s">
        <v>100</v>
      </c>
      <c r="I86" s="1017"/>
      <c r="J86" s="1046"/>
      <c r="K86" s="1047"/>
      <c r="L86" s="1170"/>
      <c r="M86" s="1171"/>
      <c r="N86" s="1171"/>
      <c r="O86" s="1171"/>
      <c r="P86" s="1171"/>
      <c r="Q86" s="1775" t="s">
        <v>100</v>
      </c>
      <c r="R86" s="972"/>
      <c r="S86" s="973"/>
      <c r="T86" s="1258"/>
      <c r="U86" s="1339"/>
      <c r="V86" s="72">
        <f>IF(AND(Q86="ja",R86=""),1,0)</f>
        <v>0</v>
      </c>
      <c r="W86" s="77">
        <f>IF(H86="ja",$X$82,0)</f>
        <v>0</v>
      </c>
      <c r="X86" s="74"/>
      <c r="Y86" s="72"/>
      <c r="Z86" s="72"/>
      <c r="AA86" s="72"/>
      <c r="AB86" s="72">
        <f t="shared" si="1"/>
        <v>0</v>
      </c>
      <c r="AC86" s="72"/>
      <c r="AD86" s="72"/>
      <c r="AE86" s="68"/>
      <c r="AF86" s="68"/>
      <c r="AG86" s="544"/>
    </row>
    <row r="87" spans="1:33" x14ac:dyDescent="0.3">
      <c r="A87" s="1516"/>
      <c r="B87" s="1784"/>
      <c r="C87" s="1785"/>
      <c r="D87" s="1785"/>
      <c r="E87" s="1785"/>
      <c r="F87" s="1785"/>
      <c r="G87" s="1786"/>
      <c r="H87" s="982"/>
      <c r="I87" s="1017"/>
      <c r="J87" s="1046"/>
      <c r="K87" s="1047"/>
      <c r="L87" s="1170"/>
      <c r="M87" s="1171"/>
      <c r="N87" s="1171"/>
      <c r="O87" s="1171"/>
      <c r="P87" s="1171"/>
      <c r="Q87" s="1775"/>
      <c r="R87" s="972"/>
      <c r="S87" s="973"/>
      <c r="T87" s="1258"/>
      <c r="U87" s="1339"/>
      <c r="V87" s="72"/>
      <c r="W87" s="72"/>
      <c r="X87" s="74"/>
      <c r="Y87" s="72"/>
      <c r="Z87" s="72"/>
      <c r="AA87" s="72"/>
      <c r="AB87" s="72">
        <f t="shared" si="1"/>
        <v>0</v>
      </c>
      <c r="AC87" s="72"/>
      <c r="AD87" s="72"/>
      <c r="AE87" s="68"/>
      <c r="AF87" s="68"/>
      <c r="AG87" s="544"/>
    </row>
    <row r="88" spans="1:33" ht="15.2" thickBot="1" x14ac:dyDescent="0.35">
      <c r="A88" s="1516"/>
      <c r="B88" s="1787"/>
      <c r="C88" s="1788"/>
      <c r="D88" s="1788"/>
      <c r="E88" s="1788"/>
      <c r="F88" s="1788"/>
      <c r="G88" s="1789"/>
      <c r="H88" s="983"/>
      <c r="I88" s="1017"/>
      <c r="J88" s="1046"/>
      <c r="K88" s="1047"/>
      <c r="L88" s="1920"/>
      <c r="M88" s="1921"/>
      <c r="N88" s="1921"/>
      <c r="O88" s="1921"/>
      <c r="P88" s="1922"/>
      <c r="Q88" s="532" t="s">
        <v>100</v>
      </c>
      <c r="R88" s="976"/>
      <c r="S88" s="977"/>
      <c r="T88" s="1258"/>
      <c r="U88" s="1339"/>
      <c r="V88" s="72">
        <f>IF(AND(Q88="ja",R88=""),1,0)</f>
        <v>0</v>
      </c>
      <c r="W88" s="72"/>
      <c r="X88" s="74"/>
      <c r="Y88" s="72"/>
      <c r="Z88" s="72"/>
      <c r="AA88" s="72"/>
      <c r="AB88" s="72">
        <f t="shared" si="1"/>
        <v>0</v>
      </c>
      <c r="AC88" s="72"/>
      <c r="AD88" s="72"/>
      <c r="AE88" s="68"/>
      <c r="AF88" s="68"/>
      <c r="AG88" s="544"/>
    </row>
    <row r="89" spans="1:33" ht="15.2" thickBot="1" x14ac:dyDescent="0.35">
      <c r="A89" s="1516"/>
      <c r="B89" s="1502" t="s">
        <v>277</v>
      </c>
      <c r="C89" s="1503"/>
      <c r="D89" s="1503"/>
      <c r="E89" s="1503"/>
      <c r="F89" s="1503"/>
      <c r="G89" s="1503"/>
      <c r="H89" s="1503"/>
      <c r="I89" s="1500">
        <f>I36+I66+I82</f>
        <v>0</v>
      </c>
      <c r="J89" s="1506">
        <f>J82+J66+J36</f>
        <v>0</v>
      </c>
      <c r="K89" s="1161"/>
      <c r="L89" s="1928">
        <f>SUM(R82:S88)</f>
        <v>0</v>
      </c>
      <c r="M89" s="1928"/>
      <c r="N89" s="1928"/>
      <c r="O89" s="1928"/>
      <c r="P89" s="1561"/>
      <c r="Q89" s="1329"/>
      <c r="R89" s="1036">
        <f>SUM(R82:S88)+SUM(R66:S80)+SUM(R36:S64)</f>
        <v>0</v>
      </c>
      <c r="S89" s="1037"/>
      <c r="T89" s="1371"/>
      <c r="U89" s="1773"/>
      <c r="V89" s="72"/>
      <c r="W89" s="74">
        <f>SUM(W82:W88)</f>
        <v>0</v>
      </c>
      <c r="X89" s="78"/>
      <c r="Y89" s="78"/>
      <c r="Z89" s="78"/>
      <c r="AA89" s="72"/>
      <c r="AB89" s="72"/>
      <c r="AC89" s="72"/>
      <c r="AD89" s="72"/>
      <c r="AE89" s="68"/>
      <c r="AF89" s="68"/>
      <c r="AG89" s="544"/>
    </row>
    <row r="90" spans="1:33" ht="15.2" thickBot="1" x14ac:dyDescent="0.35">
      <c r="A90" s="1516"/>
      <c r="B90" s="1504"/>
      <c r="C90" s="1505"/>
      <c r="D90" s="1505"/>
      <c r="E90" s="1505"/>
      <c r="F90" s="1505"/>
      <c r="G90" s="1505"/>
      <c r="H90" s="1505"/>
      <c r="I90" s="1501"/>
      <c r="J90" s="1507"/>
      <c r="K90" s="1163"/>
      <c r="L90" s="1929"/>
      <c r="M90" s="1929"/>
      <c r="N90" s="1929"/>
      <c r="O90" s="1929"/>
      <c r="P90" s="1565"/>
      <c r="Q90" s="1330"/>
      <c r="R90" s="1042"/>
      <c r="S90" s="1043"/>
      <c r="T90" s="1371"/>
      <c r="U90" s="1774"/>
      <c r="V90" s="206">
        <f>SUM(V36:V88)+R20</f>
        <v>0</v>
      </c>
      <c r="W90" s="207"/>
      <c r="X90" s="207"/>
      <c r="Y90" s="72"/>
      <c r="Z90" s="72"/>
      <c r="AA90" s="72"/>
      <c r="AB90" s="72">
        <f>SUM(AB36:AB88)</f>
        <v>0</v>
      </c>
      <c r="AC90" s="72"/>
      <c r="AD90" s="72"/>
      <c r="AE90" s="68"/>
      <c r="AF90" s="68"/>
      <c r="AG90" s="544"/>
    </row>
    <row r="91" spans="1:33" x14ac:dyDescent="0.3">
      <c r="A91" s="491"/>
      <c r="B91" s="136"/>
      <c r="C91" s="136"/>
      <c r="D91" s="136"/>
      <c r="E91" s="136"/>
      <c r="F91" s="136"/>
      <c r="G91" s="136"/>
      <c r="H91" s="136"/>
      <c r="I91" s="137"/>
      <c r="J91" s="138"/>
      <c r="K91" s="138"/>
      <c r="L91" s="139"/>
      <c r="M91" s="137"/>
      <c r="N91" s="137"/>
      <c r="O91" s="137"/>
      <c r="P91" s="138"/>
      <c r="Q91" s="138"/>
      <c r="R91" s="140"/>
      <c r="S91" s="79"/>
      <c r="T91" s="80"/>
      <c r="U91" s="195"/>
      <c r="V91" s="68"/>
      <c r="W91" s="68"/>
      <c r="X91" s="68"/>
      <c r="Y91" s="68"/>
      <c r="Z91" s="68"/>
      <c r="AA91" s="68"/>
      <c r="AB91" s="68"/>
      <c r="AC91" s="68"/>
      <c r="AD91" s="68"/>
      <c r="AE91" s="68"/>
      <c r="AF91" s="68"/>
      <c r="AG91" s="544"/>
    </row>
    <row r="92" spans="1:33" x14ac:dyDescent="0.3">
      <c r="A92" s="491"/>
      <c r="B92" s="1317"/>
      <c r="C92" s="1318"/>
      <c r="D92" s="1318"/>
      <c r="E92" s="1318"/>
      <c r="F92" s="1318"/>
      <c r="G92" s="1318"/>
      <c r="H92" s="1318"/>
      <c r="I92" s="1318"/>
      <c r="J92" s="1318"/>
      <c r="K92" s="1318"/>
      <c r="L92" s="1318"/>
      <c r="M92" s="1318"/>
      <c r="N92" s="1318"/>
      <c r="O92" s="1318"/>
      <c r="P92" s="1318"/>
      <c r="Q92" s="1318"/>
      <c r="R92" s="1318"/>
      <c r="S92" s="79"/>
      <c r="T92" s="80"/>
      <c r="U92" s="195"/>
      <c r="V92" s="68"/>
      <c r="W92" s="68"/>
      <c r="X92" s="68"/>
      <c r="Y92" s="68"/>
      <c r="Z92" s="68"/>
      <c r="AA92" s="68"/>
      <c r="AB92" s="68"/>
      <c r="AC92" s="68"/>
      <c r="AD92" s="68"/>
      <c r="AE92" s="68"/>
      <c r="AF92" s="68"/>
      <c r="AG92" s="544"/>
    </row>
    <row r="93" spans="1:33" x14ac:dyDescent="0.3">
      <c r="A93" s="491"/>
      <c r="B93" s="1318"/>
      <c r="C93" s="1318"/>
      <c r="D93" s="1318"/>
      <c r="E93" s="1318"/>
      <c r="F93" s="1318"/>
      <c r="G93" s="1318"/>
      <c r="H93" s="1318"/>
      <c r="I93" s="1318"/>
      <c r="J93" s="1318"/>
      <c r="K93" s="1318"/>
      <c r="L93" s="1318"/>
      <c r="M93" s="1318"/>
      <c r="N93" s="1318"/>
      <c r="O93" s="1318"/>
      <c r="P93" s="1318"/>
      <c r="Q93" s="1318"/>
      <c r="R93" s="1318"/>
      <c r="S93" s="79"/>
      <c r="T93" s="80"/>
      <c r="U93" s="80"/>
      <c r="V93" s="68"/>
      <c r="W93" s="68"/>
      <c r="X93" s="68"/>
      <c r="Y93" s="68"/>
      <c r="Z93" s="68"/>
      <c r="AA93" s="68"/>
      <c r="AB93" s="68"/>
      <c r="AC93" s="68"/>
      <c r="AD93" s="68"/>
      <c r="AE93" s="68"/>
      <c r="AF93" s="68"/>
      <c r="AG93" s="544"/>
    </row>
    <row r="94" spans="1:33" x14ac:dyDescent="0.3">
      <c r="A94" s="491"/>
      <c r="B94" s="327"/>
      <c r="C94" s="327"/>
      <c r="D94" s="327"/>
      <c r="E94" s="327"/>
      <c r="F94" s="327"/>
      <c r="G94" s="327"/>
      <c r="H94" s="327"/>
      <c r="I94" s="327"/>
      <c r="J94" s="327"/>
      <c r="K94" s="327"/>
      <c r="L94" s="327"/>
      <c r="M94" s="327"/>
      <c r="N94" s="327"/>
      <c r="O94" s="327"/>
      <c r="P94" s="327"/>
      <c r="Q94" s="327"/>
      <c r="R94" s="327"/>
      <c r="S94" s="79"/>
      <c r="T94" s="80"/>
      <c r="U94" s="80"/>
      <c r="V94" s="68"/>
      <c r="W94" s="68"/>
      <c r="X94" s="68"/>
      <c r="Y94" s="68"/>
      <c r="Z94" s="68"/>
      <c r="AA94" s="68"/>
      <c r="AB94" s="68"/>
      <c r="AC94" s="68"/>
      <c r="AD94" s="68"/>
      <c r="AE94" s="68"/>
      <c r="AF94" s="68"/>
      <c r="AG94" s="544"/>
    </row>
    <row r="95" spans="1:33" x14ac:dyDescent="0.3">
      <c r="A95" s="491"/>
      <c r="B95" s="39"/>
      <c r="C95" s="39"/>
      <c r="D95" s="39"/>
      <c r="E95" s="39"/>
      <c r="F95" s="39"/>
      <c r="G95" s="39"/>
      <c r="H95" s="39"/>
      <c r="I95" s="39"/>
      <c r="J95" s="39"/>
      <c r="K95" s="39"/>
      <c r="L95" s="39"/>
      <c r="M95" s="39"/>
      <c r="N95" s="39"/>
      <c r="O95" s="39"/>
      <c r="P95" s="39"/>
      <c r="Q95" s="39"/>
      <c r="R95" s="39"/>
      <c r="S95" s="39"/>
      <c r="T95" s="39"/>
      <c r="U95" s="39"/>
      <c r="V95" s="68"/>
      <c r="W95" s="68"/>
      <c r="X95" s="68"/>
      <c r="Y95" s="68"/>
      <c r="Z95" s="68"/>
      <c r="AA95" s="68"/>
      <c r="AB95" s="68"/>
      <c r="AC95" s="68"/>
      <c r="AD95" s="68"/>
      <c r="AE95" s="68"/>
      <c r="AF95" s="68"/>
      <c r="AG95" s="544"/>
    </row>
    <row r="96" spans="1:33" x14ac:dyDescent="0.3">
      <c r="A96" s="491" t="s">
        <v>279</v>
      </c>
      <c r="B96" s="40" t="str">
        <f>IF(B1=V2,"Honorarvereinbarung für die zunächst beauftragten und für die optionalen Leistungen ","Honorarangebot für die zunächst beauftragten und für die optionalen Leistungen")</f>
        <v>Honorarangebot für die zunächst beauftragten und für die optionalen Leistungen</v>
      </c>
      <c r="C96" s="39"/>
      <c r="D96" s="39"/>
      <c r="E96" s="39"/>
      <c r="F96" s="39"/>
      <c r="G96" s="39"/>
      <c r="H96" s="39"/>
      <c r="I96" s="39"/>
      <c r="J96" s="39"/>
      <c r="K96" s="39"/>
      <c r="L96" s="39"/>
      <c r="M96" s="39"/>
      <c r="N96" s="39"/>
      <c r="O96" s="39"/>
      <c r="P96" s="39"/>
      <c r="Q96" s="40"/>
      <c r="R96" s="39"/>
      <c r="S96" s="39"/>
      <c r="T96" s="39"/>
      <c r="U96" s="39"/>
      <c r="V96" s="72"/>
      <c r="W96" s="72"/>
      <c r="X96" s="72"/>
      <c r="Y96" s="72"/>
      <c r="Z96" s="72"/>
      <c r="AA96" s="151"/>
      <c r="AB96" s="72"/>
      <c r="AC96" s="72"/>
      <c r="AD96" s="68"/>
      <c r="AE96" s="68"/>
      <c r="AF96" s="68"/>
    </row>
    <row r="97" spans="1:32" ht="15.2" thickBot="1" x14ac:dyDescent="0.35">
      <c r="A97" s="491"/>
      <c r="B97" s="39"/>
      <c r="C97" s="39"/>
      <c r="D97" s="39"/>
      <c r="E97" s="39"/>
      <c r="F97" s="39"/>
      <c r="G97" s="39"/>
      <c r="H97" s="39"/>
      <c r="I97" s="39"/>
      <c r="J97" s="39"/>
      <c r="K97" s="39"/>
      <c r="L97" s="39"/>
      <c r="M97" s="39"/>
      <c r="N97" s="39"/>
      <c r="O97" s="39"/>
      <c r="P97" s="39"/>
      <c r="Q97" s="39"/>
      <c r="R97" s="39"/>
      <c r="S97" s="39"/>
      <c r="T97" s="39"/>
      <c r="U97" s="39"/>
      <c r="V97" s="72"/>
      <c r="W97" s="72"/>
      <c r="X97" s="72"/>
      <c r="Y97" s="72"/>
      <c r="Z97" s="72"/>
      <c r="AA97" s="72"/>
      <c r="AB97" s="72"/>
      <c r="AC97" s="72"/>
      <c r="AD97" s="68"/>
      <c r="AE97" s="68"/>
      <c r="AF97" s="68"/>
    </row>
    <row r="98" spans="1:32" x14ac:dyDescent="0.3">
      <c r="A98" s="491"/>
      <c r="B98" s="941" t="s">
        <v>55</v>
      </c>
      <c r="C98" s="942"/>
      <c r="D98" s="942"/>
      <c r="E98" s="942"/>
      <c r="F98" s="943"/>
      <c r="G98" s="99"/>
      <c r="H98" s="944">
        <f>J89</f>
        <v>0</v>
      </c>
      <c r="I98" s="944"/>
      <c r="J98" s="945"/>
      <c r="K98" s="39"/>
      <c r="L98" s="39"/>
      <c r="M98" s="39"/>
      <c r="N98" s="39"/>
      <c r="O98" s="39"/>
      <c r="P98" s="39"/>
      <c r="Q98" s="39"/>
      <c r="R98" s="39"/>
      <c r="S98" s="39"/>
      <c r="T98" s="39"/>
      <c r="U98" s="39"/>
      <c r="V98" s="72"/>
      <c r="W98" s="72"/>
      <c r="X98" s="72"/>
      <c r="Y98" s="72"/>
      <c r="Z98" s="72"/>
      <c r="AA98" s="72"/>
      <c r="AB98" s="72"/>
      <c r="AC98" s="72"/>
      <c r="AD98" s="68"/>
      <c r="AE98" s="68"/>
      <c r="AF98" s="68"/>
    </row>
    <row r="99" spans="1:32" x14ac:dyDescent="0.3">
      <c r="A99" s="491"/>
      <c r="B99" s="301"/>
      <c r="C99" s="41"/>
      <c r="D99" s="41"/>
      <c r="E99" s="41"/>
      <c r="F99" s="302"/>
      <c r="G99" s="101"/>
      <c r="H99" s="303"/>
      <c r="I99" s="303"/>
      <c r="J99" s="304"/>
      <c r="K99" s="39"/>
      <c r="L99" s="39"/>
      <c r="M99" s="39"/>
      <c r="N99" s="39"/>
      <c r="O99" s="39"/>
      <c r="P99" s="39"/>
      <c r="Q99" s="39"/>
      <c r="R99" s="39"/>
      <c r="S99" s="39"/>
      <c r="T99" s="39"/>
      <c r="U99" s="39"/>
      <c r="V99" s="72"/>
      <c r="W99" s="72"/>
      <c r="X99" s="72"/>
      <c r="Y99" s="72"/>
      <c r="Z99" s="72"/>
      <c r="AA99" s="72"/>
      <c r="AB99" s="72"/>
      <c r="AC99" s="72"/>
      <c r="AD99" s="68"/>
      <c r="AE99" s="68"/>
      <c r="AF99" s="68"/>
    </row>
    <row r="100" spans="1:32" ht="15.2" thickBot="1" x14ac:dyDescent="0.35">
      <c r="A100" s="491"/>
      <c r="B100" s="1298" t="s">
        <v>280</v>
      </c>
      <c r="C100" s="1299"/>
      <c r="D100" s="1299"/>
      <c r="E100" s="1299"/>
      <c r="F100" s="1300"/>
      <c r="G100" s="102">
        <f>F20</f>
        <v>0</v>
      </c>
      <c r="H100" s="956">
        <f>H98*G100</f>
        <v>0</v>
      </c>
      <c r="I100" s="956"/>
      <c r="J100" s="957"/>
      <c r="K100" s="539"/>
      <c r="L100" s="39"/>
      <c r="M100" s="39"/>
      <c r="N100" s="39"/>
      <c r="O100" s="39"/>
      <c r="P100" s="39"/>
      <c r="Q100" s="39"/>
      <c r="R100" s="39"/>
      <c r="S100" s="39"/>
      <c r="T100" s="39"/>
      <c r="U100" s="39"/>
      <c r="V100" s="72"/>
      <c r="W100" s="72"/>
      <c r="X100" s="72"/>
      <c r="Y100" s="72"/>
      <c r="Z100" s="72"/>
      <c r="AA100" s="72"/>
      <c r="AB100" s="72"/>
      <c r="AC100" s="72"/>
      <c r="AD100" s="68"/>
      <c r="AE100" s="68"/>
      <c r="AF100" s="68"/>
    </row>
    <row r="101" spans="1:32" x14ac:dyDescent="0.3">
      <c r="A101" s="491"/>
      <c r="B101" s="90"/>
      <c r="C101" s="91"/>
      <c r="D101" s="91"/>
      <c r="E101" s="91"/>
      <c r="F101" s="92"/>
      <c r="G101" s="88"/>
      <c r="H101" s="39"/>
      <c r="I101" s="39"/>
      <c r="J101" s="89"/>
      <c r="K101" s="39"/>
      <c r="L101" s="39"/>
      <c r="M101" s="39"/>
      <c r="N101" s="39"/>
      <c r="O101" s="39"/>
      <c r="P101" s="39"/>
      <c r="Q101" s="39"/>
      <c r="R101" s="39"/>
      <c r="S101" s="39"/>
      <c r="T101" s="39"/>
      <c r="U101" s="39"/>
      <c r="V101" s="72"/>
      <c r="W101" s="72"/>
      <c r="X101" s="72"/>
      <c r="Y101" s="72"/>
      <c r="Z101" s="72"/>
      <c r="AA101" s="72"/>
      <c r="AB101" s="72"/>
      <c r="AC101" s="72"/>
      <c r="AD101" s="68"/>
      <c r="AE101" s="68"/>
      <c r="AF101" s="68"/>
    </row>
    <row r="102" spans="1:32" x14ac:dyDescent="0.3">
      <c r="A102" s="491"/>
      <c r="B102" s="926" t="s">
        <v>57</v>
      </c>
      <c r="C102" s="927"/>
      <c r="D102" s="927"/>
      <c r="E102" s="927"/>
      <c r="F102" s="928"/>
      <c r="G102" s="101"/>
      <c r="H102" s="954">
        <f>R89</f>
        <v>0</v>
      </c>
      <c r="I102" s="954"/>
      <c r="J102" s="955"/>
      <c r="K102" s="39"/>
      <c r="L102" s="39"/>
      <c r="M102" s="39"/>
      <c r="N102" s="39"/>
      <c r="O102" s="39"/>
      <c r="P102" s="39"/>
      <c r="Q102" s="39"/>
      <c r="R102" s="39"/>
      <c r="S102" s="39"/>
      <c r="T102" s="39"/>
      <c r="U102" s="39"/>
      <c r="V102" s="72"/>
      <c r="W102" s="72"/>
      <c r="X102" s="72"/>
      <c r="Y102" s="72"/>
      <c r="Z102" s="72"/>
      <c r="AA102" s="72"/>
      <c r="AB102" s="72"/>
      <c r="AC102" s="72"/>
      <c r="AD102" s="68"/>
      <c r="AE102" s="68"/>
      <c r="AF102" s="68"/>
    </row>
    <row r="103" spans="1:32" ht="15.2" thickBot="1" x14ac:dyDescent="0.35">
      <c r="A103" s="491"/>
      <c r="B103" s="296"/>
      <c r="C103" s="297"/>
      <c r="D103" s="297"/>
      <c r="E103" s="297"/>
      <c r="F103" s="298"/>
      <c r="G103" s="1333"/>
      <c r="H103" s="1334"/>
      <c r="I103" s="1334"/>
      <c r="J103" s="1335"/>
      <c r="K103" s="39"/>
      <c r="L103" s="39"/>
      <c r="M103" s="39"/>
      <c r="N103" s="39"/>
      <c r="O103" s="39"/>
      <c r="P103" s="39"/>
      <c r="Q103" s="39"/>
      <c r="R103" s="39"/>
      <c r="S103" s="39"/>
      <c r="T103" s="39"/>
      <c r="U103" s="39"/>
      <c r="V103" s="72"/>
      <c r="W103" s="72"/>
      <c r="X103" s="72"/>
      <c r="Y103" s="72"/>
      <c r="Z103" s="72"/>
      <c r="AA103" s="72"/>
      <c r="AB103" s="72"/>
      <c r="AC103" s="72"/>
      <c r="AD103" s="68"/>
      <c r="AE103" s="68"/>
      <c r="AF103" s="68"/>
    </row>
    <row r="104" spans="1:32" ht="15.2" thickBot="1" x14ac:dyDescent="0.35">
      <c r="A104" s="491"/>
      <c r="B104" s="929" t="s">
        <v>59</v>
      </c>
      <c r="C104" s="930"/>
      <c r="D104" s="930"/>
      <c r="E104" s="930"/>
      <c r="F104" s="931"/>
      <c r="G104" s="107"/>
      <c r="H104" s="935">
        <f>SUM(H98:J102)</f>
        <v>0</v>
      </c>
      <c r="I104" s="935"/>
      <c r="J104" s="936"/>
      <c r="K104" s="39"/>
      <c r="L104" s="39"/>
      <c r="M104" s="39"/>
      <c r="N104" s="39"/>
      <c r="O104" s="39"/>
      <c r="P104" s="39"/>
      <c r="Q104" s="39"/>
      <c r="R104" s="39"/>
      <c r="S104" s="39"/>
      <c r="T104" s="39"/>
      <c r="U104" s="39"/>
      <c r="V104" s="72"/>
      <c r="W104" s="72"/>
      <c r="X104" s="72"/>
      <c r="Y104" s="72"/>
      <c r="Z104" s="72"/>
      <c r="AA104" s="72"/>
      <c r="AB104" s="72"/>
      <c r="AC104" s="72"/>
      <c r="AD104" s="68"/>
      <c r="AE104" s="68"/>
      <c r="AF104" s="68"/>
    </row>
    <row r="105" spans="1:32" x14ac:dyDescent="0.3">
      <c r="A105" s="491"/>
      <c r="B105" s="320"/>
      <c r="C105" s="321"/>
      <c r="D105" s="321"/>
      <c r="E105" s="321"/>
      <c r="F105" s="322"/>
      <c r="G105" s="45"/>
      <c r="H105" s="93"/>
      <c r="I105" s="93"/>
      <c r="J105" s="94"/>
      <c r="K105" s="39"/>
      <c r="L105" s="39"/>
      <c r="M105" s="39"/>
      <c r="N105" s="39"/>
      <c r="O105" s="39"/>
      <c r="P105" s="39"/>
      <c r="Q105" s="39"/>
      <c r="R105" s="39"/>
      <c r="S105" s="39"/>
      <c r="T105" s="39"/>
      <c r="U105" s="39"/>
      <c r="V105" s="72"/>
      <c r="W105" s="72"/>
      <c r="X105" s="72"/>
      <c r="Y105" s="72"/>
      <c r="Z105" s="72"/>
      <c r="AA105" s="72"/>
      <c r="AB105" s="72"/>
      <c r="AC105" s="72"/>
      <c r="AD105" s="68"/>
      <c r="AE105" s="68"/>
      <c r="AF105" s="68"/>
    </row>
    <row r="106" spans="1:32" x14ac:dyDescent="0.3">
      <c r="A106" s="491"/>
      <c r="B106" s="917" t="s">
        <v>60</v>
      </c>
      <c r="C106" s="918"/>
      <c r="D106" s="918"/>
      <c r="E106" s="918"/>
      <c r="F106" s="919"/>
      <c r="G106" s="100">
        <f>Überblick!$G$94</f>
        <v>0</v>
      </c>
      <c r="H106" s="954">
        <f>H104*G106</f>
        <v>0</v>
      </c>
      <c r="I106" s="954"/>
      <c r="J106" s="955"/>
      <c r="K106" s="39"/>
      <c r="L106" s="39"/>
      <c r="M106" s="39"/>
      <c r="N106" s="39"/>
      <c r="O106" s="39"/>
      <c r="P106" s="39"/>
      <c r="Q106" s="39"/>
      <c r="R106" s="39"/>
      <c r="S106" s="39"/>
      <c r="T106" s="39"/>
      <c r="U106" s="39"/>
      <c r="V106" s="72"/>
      <c r="W106" s="72"/>
      <c r="X106" s="72"/>
      <c r="Y106" s="72"/>
      <c r="Z106" s="72"/>
      <c r="AA106" s="72"/>
      <c r="AB106" s="72"/>
      <c r="AC106" s="72"/>
      <c r="AD106" s="68"/>
      <c r="AE106" s="68"/>
      <c r="AF106" s="68"/>
    </row>
    <row r="107" spans="1:32" ht="15.2" thickBot="1" x14ac:dyDescent="0.35">
      <c r="A107" s="491"/>
      <c r="B107" s="305"/>
      <c r="C107" s="306"/>
      <c r="D107" s="306"/>
      <c r="E107" s="306"/>
      <c r="F107" s="307"/>
      <c r="G107" s="102"/>
      <c r="H107" s="299"/>
      <c r="I107" s="299"/>
      <c r="J107" s="300"/>
      <c r="K107" s="39"/>
      <c r="L107" s="39"/>
      <c r="M107" s="39"/>
      <c r="N107" s="39"/>
      <c r="O107" s="39"/>
      <c r="P107" s="39"/>
      <c r="Q107" s="39"/>
      <c r="R107" s="39"/>
      <c r="S107" s="39"/>
      <c r="T107" s="39"/>
      <c r="U107" s="39"/>
      <c r="V107" s="72"/>
      <c r="W107" s="72"/>
      <c r="X107" s="72"/>
      <c r="Y107" s="72"/>
      <c r="Z107" s="72"/>
      <c r="AA107" s="72"/>
      <c r="AB107" s="72"/>
      <c r="AC107" s="72"/>
      <c r="AD107" s="68"/>
      <c r="AE107" s="68"/>
      <c r="AF107" s="68"/>
    </row>
    <row r="108" spans="1:32" x14ac:dyDescent="0.3">
      <c r="A108" s="491"/>
      <c r="B108" s="1930" t="s">
        <v>688</v>
      </c>
      <c r="C108" s="1931"/>
      <c r="D108" s="1931"/>
      <c r="E108" s="1931"/>
      <c r="F108" s="1932"/>
      <c r="G108" s="97"/>
      <c r="H108" s="937">
        <f>H104+H106</f>
        <v>0</v>
      </c>
      <c r="I108" s="937"/>
      <c r="J108" s="938"/>
      <c r="K108" s="39"/>
      <c r="L108" s="39"/>
      <c r="M108" s="39"/>
      <c r="N108" s="39"/>
      <c r="O108" s="39"/>
      <c r="P108" s="39"/>
      <c r="Q108" s="39"/>
      <c r="R108" s="39"/>
      <c r="S108" s="39"/>
      <c r="T108" s="39"/>
      <c r="U108" s="39"/>
      <c r="V108" s="72"/>
      <c r="W108" s="72"/>
      <c r="X108" s="72"/>
      <c r="Y108" s="72"/>
      <c r="Z108" s="72"/>
      <c r="AA108" s="72"/>
      <c r="AB108" s="72"/>
      <c r="AC108" s="72"/>
      <c r="AD108" s="68"/>
      <c r="AE108" s="68"/>
      <c r="AF108" s="68"/>
    </row>
    <row r="109" spans="1:32" ht="15.2" thickBot="1" x14ac:dyDescent="0.35">
      <c r="A109" s="491"/>
      <c r="B109" s="1933"/>
      <c r="C109" s="1934"/>
      <c r="D109" s="1934"/>
      <c r="E109" s="1934"/>
      <c r="F109" s="1935"/>
      <c r="G109" s="98"/>
      <c r="H109" s="939"/>
      <c r="I109" s="939"/>
      <c r="J109" s="940"/>
      <c r="K109" s="39"/>
      <c r="L109" s="39"/>
      <c r="M109" s="39"/>
      <c r="N109" s="39"/>
      <c r="O109" s="39"/>
      <c r="P109" s="39"/>
      <c r="Q109" s="39"/>
      <c r="R109" s="39"/>
      <c r="S109" s="39"/>
      <c r="T109" s="39"/>
      <c r="U109" s="39"/>
      <c r="V109" s="72"/>
      <c r="W109" s="72"/>
      <c r="X109" s="72"/>
      <c r="Y109" s="72"/>
      <c r="Z109" s="72"/>
      <c r="AA109" s="72"/>
      <c r="AB109" s="72"/>
      <c r="AC109" s="72"/>
      <c r="AD109" s="68"/>
      <c r="AE109" s="68"/>
      <c r="AF109" s="68"/>
    </row>
    <row r="110" spans="1:32" x14ac:dyDescent="0.3">
      <c r="V110" s="72"/>
      <c r="W110" s="72"/>
      <c r="X110" s="72"/>
      <c r="Y110" s="72"/>
      <c r="Z110" s="72"/>
      <c r="AA110" s="72"/>
      <c r="AB110" s="72"/>
      <c r="AC110" s="72"/>
      <c r="AD110" s="68"/>
      <c r="AE110" s="68"/>
      <c r="AF110" s="68"/>
    </row>
    <row r="111" spans="1:32" x14ac:dyDescent="0.3">
      <c r="A111" s="491" t="s">
        <v>282</v>
      </c>
      <c r="B111" s="60" t="str">
        <f>IF(B1=V2,"Honorarvereinbarung für die zunächst beauftragenden Leistungen","Honorangebot für die zunächst beauftragenden Leistungen ")</f>
        <v xml:space="preserve">Honorangebot für die zunächst beauftragenden Leistungen </v>
      </c>
      <c r="C111" s="60"/>
      <c r="D111" s="60"/>
      <c r="E111" s="60"/>
      <c r="F111" s="65"/>
      <c r="G111" s="65"/>
      <c r="H111" s="65"/>
      <c r="I111" s="66"/>
      <c r="J111" s="66"/>
      <c r="V111" s="72"/>
      <c r="W111" s="72"/>
      <c r="X111" s="72"/>
      <c r="Y111" s="72"/>
      <c r="Z111" s="461"/>
      <c r="AA111" s="72"/>
      <c r="AB111" s="72"/>
      <c r="AC111" s="72"/>
      <c r="AD111" s="68"/>
      <c r="AE111" s="68"/>
      <c r="AF111" s="68"/>
    </row>
    <row r="112" spans="1:32" ht="15.2" thickBot="1" x14ac:dyDescent="0.35">
      <c r="A112" s="491"/>
      <c r="B112" s="60"/>
      <c r="C112" s="60"/>
      <c r="D112" s="60"/>
      <c r="E112" s="60"/>
      <c r="F112" s="65"/>
      <c r="G112" s="65"/>
      <c r="H112" s="65"/>
      <c r="I112" s="66"/>
      <c r="J112" s="66"/>
      <c r="V112" s="72"/>
      <c r="W112" s="72"/>
      <c r="X112" s="72"/>
      <c r="Y112" s="72"/>
      <c r="Z112" s="72"/>
      <c r="AA112" s="72"/>
      <c r="AB112" s="72"/>
      <c r="AC112" s="72"/>
      <c r="AD112" s="68"/>
      <c r="AE112" s="68"/>
      <c r="AF112" s="68"/>
    </row>
    <row r="113" spans="1:32" x14ac:dyDescent="0.3">
      <c r="A113" s="491"/>
      <c r="B113" s="941" t="s">
        <v>55</v>
      </c>
      <c r="C113" s="942"/>
      <c r="D113" s="942"/>
      <c r="E113" s="942"/>
      <c r="F113" s="943"/>
      <c r="G113" s="99"/>
      <c r="H113" s="944">
        <f>'Berechnung - Bebauungsplan'!H97</f>
        <v>0</v>
      </c>
      <c r="I113" s="944"/>
      <c r="J113" s="945"/>
      <c r="V113" s="72"/>
      <c r="W113" s="72"/>
      <c r="X113" s="72"/>
      <c r="Y113" s="72"/>
      <c r="Z113" s="72"/>
      <c r="AA113" s="72"/>
      <c r="AB113" s="72"/>
      <c r="AC113" s="72"/>
      <c r="AD113" s="68"/>
      <c r="AE113" s="68"/>
      <c r="AF113" s="68"/>
    </row>
    <row r="114" spans="1:32" x14ac:dyDescent="0.3">
      <c r="A114" s="491"/>
      <c r="B114" s="301"/>
      <c r="C114" s="41"/>
      <c r="D114" s="41"/>
      <c r="E114" s="41"/>
      <c r="F114" s="302"/>
      <c r="G114" s="101"/>
      <c r="H114" s="303"/>
      <c r="I114" s="303"/>
      <c r="J114" s="304"/>
      <c r="V114" s="72"/>
      <c r="W114" s="72"/>
      <c r="X114" s="72"/>
      <c r="Y114" s="72"/>
      <c r="Z114" s="72"/>
      <c r="AA114" s="72"/>
      <c r="AB114" s="72"/>
      <c r="AC114" s="72"/>
      <c r="AD114" s="68"/>
      <c r="AE114" s="68"/>
      <c r="AF114" s="68"/>
    </row>
    <row r="115" spans="1:32" ht="15.2" thickBot="1" x14ac:dyDescent="0.35">
      <c r="A115" s="491"/>
      <c r="B115" s="1298" t="s">
        <v>280</v>
      </c>
      <c r="C115" s="1299"/>
      <c r="D115" s="1299"/>
      <c r="E115" s="1299"/>
      <c r="F115" s="1300"/>
      <c r="G115" s="102">
        <f>F20</f>
        <v>0</v>
      </c>
      <c r="H115" s="956">
        <f>H113*G115</f>
        <v>0</v>
      </c>
      <c r="I115" s="956"/>
      <c r="J115" s="957"/>
      <c r="V115" s="72"/>
      <c r="W115" s="72"/>
      <c r="X115" s="72"/>
      <c r="Y115" s="72"/>
      <c r="Z115" s="72"/>
      <c r="AA115" s="72"/>
      <c r="AB115" s="72"/>
      <c r="AC115" s="72"/>
      <c r="AD115" s="68"/>
      <c r="AE115" s="68"/>
      <c r="AF115" s="68"/>
    </row>
    <row r="116" spans="1:32" x14ac:dyDescent="0.3">
      <c r="A116" s="491"/>
      <c r="B116" s="90"/>
      <c r="C116" s="91"/>
      <c r="D116" s="91"/>
      <c r="E116" s="91"/>
      <c r="F116" s="92"/>
      <c r="G116" s="45"/>
      <c r="H116" s="46"/>
      <c r="I116" s="46"/>
      <c r="J116" s="105"/>
      <c r="V116" s="72"/>
      <c r="W116" s="72"/>
      <c r="X116" s="72"/>
      <c r="Y116" s="72"/>
      <c r="Z116" s="72"/>
      <c r="AA116" s="72"/>
      <c r="AB116" s="72"/>
      <c r="AC116" s="72"/>
      <c r="AD116" s="68"/>
      <c r="AE116" s="68"/>
      <c r="AF116" s="68"/>
    </row>
    <row r="117" spans="1:32" x14ac:dyDescent="0.3">
      <c r="A117" s="491"/>
      <c r="B117" s="926" t="s">
        <v>57</v>
      </c>
      <c r="C117" s="927"/>
      <c r="D117" s="927"/>
      <c r="E117" s="927"/>
      <c r="F117" s="928"/>
      <c r="G117" s="101"/>
      <c r="H117" s="954">
        <f>'Berechnung - Bebauungsplan'!J97</f>
        <v>0</v>
      </c>
      <c r="I117" s="954"/>
      <c r="J117" s="955"/>
      <c r="V117" s="72"/>
      <c r="W117" s="72"/>
      <c r="X117" s="72"/>
      <c r="Y117" s="72"/>
      <c r="Z117" s="72"/>
      <c r="AA117" s="72"/>
      <c r="AB117" s="72"/>
      <c r="AC117" s="72"/>
      <c r="AD117" s="68"/>
      <c r="AE117" s="68"/>
      <c r="AF117" s="68"/>
    </row>
    <row r="118" spans="1:32" ht="15.2" thickBot="1" x14ac:dyDescent="0.35">
      <c r="A118" s="491"/>
      <c r="B118" s="90"/>
      <c r="C118" s="91"/>
      <c r="D118" s="91"/>
      <c r="E118" s="91"/>
      <c r="F118" s="92"/>
      <c r="G118" s="1333"/>
      <c r="H118" s="1334"/>
      <c r="I118" s="1334"/>
      <c r="J118" s="1335"/>
      <c r="V118" s="72"/>
      <c r="W118" s="72"/>
      <c r="X118" s="72"/>
      <c r="Y118" s="72"/>
      <c r="Z118" s="72"/>
      <c r="AA118" s="72"/>
      <c r="AB118" s="72"/>
      <c r="AC118" s="72"/>
      <c r="AD118" s="68"/>
      <c r="AE118" s="68"/>
      <c r="AF118" s="68"/>
    </row>
    <row r="119" spans="1:32" ht="15.2" thickBot="1" x14ac:dyDescent="0.35">
      <c r="A119" s="491"/>
      <c r="B119" s="929" t="s">
        <v>59</v>
      </c>
      <c r="C119" s="930"/>
      <c r="D119" s="930"/>
      <c r="E119" s="930"/>
      <c r="F119" s="931"/>
      <c r="G119" s="107"/>
      <c r="H119" s="935">
        <f>SUM(H113:J117)</f>
        <v>0</v>
      </c>
      <c r="I119" s="935"/>
      <c r="J119" s="936"/>
      <c r="V119" s="72"/>
      <c r="W119" s="72"/>
      <c r="X119" s="72"/>
      <c r="Y119" s="72"/>
      <c r="Z119" s="72"/>
      <c r="AA119" s="72"/>
      <c r="AB119" s="72"/>
      <c r="AC119" s="72"/>
      <c r="AD119" s="68"/>
      <c r="AE119" s="68"/>
      <c r="AF119" s="68"/>
    </row>
    <row r="120" spans="1:32" x14ac:dyDescent="0.3">
      <c r="A120" s="491"/>
      <c r="B120" s="320"/>
      <c r="C120" s="321"/>
      <c r="D120" s="321"/>
      <c r="E120" s="321"/>
      <c r="F120" s="322"/>
      <c r="G120" s="45"/>
      <c r="H120" s="93"/>
      <c r="I120" s="93"/>
      <c r="J120" s="94"/>
      <c r="V120" s="72"/>
      <c r="W120" s="72"/>
      <c r="X120" s="72"/>
      <c r="Y120" s="72"/>
      <c r="Z120" s="72"/>
      <c r="AA120" s="72"/>
      <c r="AB120" s="72"/>
      <c r="AC120" s="72"/>
      <c r="AD120" s="68"/>
      <c r="AE120" s="68"/>
      <c r="AF120" s="68"/>
    </row>
    <row r="121" spans="1:32" x14ac:dyDescent="0.3">
      <c r="A121" s="491"/>
      <c r="B121" s="917" t="s">
        <v>94</v>
      </c>
      <c r="C121" s="918"/>
      <c r="D121" s="918"/>
      <c r="E121" s="918"/>
      <c r="F121" s="919"/>
      <c r="G121" s="100">
        <f>Überblick!$G$94</f>
        <v>0</v>
      </c>
      <c r="H121" s="954">
        <f>H119*G121</f>
        <v>0</v>
      </c>
      <c r="I121" s="954"/>
      <c r="J121" s="955"/>
      <c r="V121" s="72"/>
      <c r="W121" s="72"/>
      <c r="X121" s="72"/>
      <c r="Y121" s="72"/>
      <c r="Z121" s="72"/>
      <c r="AA121" s="72"/>
      <c r="AB121" s="72"/>
      <c r="AC121" s="72"/>
      <c r="AD121" s="68"/>
      <c r="AE121" s="68"/>
      <c r="AF121" s="68"/>
    </row>
    <row r="122" spans="1:32" ht="15.2" thickBot="1" x14ac:dyDescent="0.35">
      <c r="A122" s="491"/>
      <c r="B122" s="305"/>
      <c r="C122" s="306"/>
      <c r="D122" s="306"/>
      <c r="E122" s="306"/>
      <c r="F122" s="307"/>
      <c r="G122" s="102"/>
      <c r="H122" s="299"/>
      <c r="I122" s="299"/>
      <c r="J122" s="300"/>
      <c r="V122" s="72"/>
      <c r="W122" s="72"/>
      <c r="X122" s="72"/>
      <c r="Y122" s="72"/>
      <c r="Z122" s="72"/>
      <c r="AA122" s="72"/>
      <c r="AB122" s="72"/>
      <c r="AC122" s="72"/>
      <c r="AD122" s="68"/>
      <c r="AE122" s="68"/>
      <c r="AF122" s="68"/>
    </row>
    <row r="123" spans="1:32" x14ac:dyDescent="0.3">
      <c r="A123" s="491"/>
      <c r="B123" s="1930" t="s">
        <v>98</v>
      </c>
      <c r="C123" s="1931"/>
      <c r="D123" s="1931"/>
      <c r="E123" s="1931"/>
      <c r="F123" s="1932"/>
      <c r="G123" s="172"/>
      <c r="H123" s="937">
        <f>H119+H121</f>
        <v>0</v>
      </c>
      <c r="I123" s="937"/>
      <c r="J123" s="938"/>
      <c r="V123" s="72"/>
      <c r="W123" s="72"/>
      <c r="X123" s="72"/>
      <c r="Y123" s="72"/>
      <c r="Z123" s="72"/>
      <c r="AA123" s="72"/>
      <c r="AB123" s="72"/>
      <c r="AC123" s="72"/>
      <c r="AD123" s="68"/>
      <c r="AE123" s="68"/>
      <c r="AF123" s="68"/>
    </row>
    <row r="124" spans="1:32" ht="15.2" thickBot="1" x14ac:dyDescent="0.35">
      <c r="A124" s="491"/>
      <c r="B124" s="1933"/>
      <c r="C124" s="1934"/>
      <c r="D124" s="1934"/>
      <c r="E124" s="1934"/>
      <c r="F124" s="1935"/>
      <c r="G124" s="98"/>
      <c r="H124" s="939"/>
      <c r="I124" s="939"/>
      <c r="J124" s="940"/>
      <c r="V124" s="72"/>
      <c r="W124" s="72"/>
      <c r="X124" s="72"/>
      <c r="Y124" s="72"/>
      <c r="Z124" s="72"/>
      <c r="AA124" s="72"/>
      <c r="AB124" s="72"/>
      <c r="AC124" s="72"/>
      <c r="AD124" s="68"/>
      <c r="AE124" s="68"/>
      <c r="AF124" s="68"/>
    </row>
    <row r="125" spans="1:32" x14ac:dyDescent="0.3">
      <c r="A125" s="491"/>
      <c r="B125" s="60"/>
      <c r="C125" s="60"/>
      <c r="D125" s="60"/>
      <c r="E125" s="60"/>
      <c r="F125" s="65"/>
      <c r="G125" s="65"/>
      <c r="H125" s="65"/>
      <c r="I125" s="66"/>
      <c r="J125" s="66"/>
      <c r="V125" s="72"/>
      <c r="W125" s="72"/>
      <c r="X125" s="72"/>
      <c r="Y125" s="72"/>
      <c r="Z125" s="72"/>
      <c r="AA125" s="72"/>
      <c r="AB125" s="72"/>
      <c r="AC125" s="72"/>
      <c r="AD125" s="68"/>
      <c r="AE125" s="68"/>
      <c r="AF125" s="68"/>
    </row>
    <row r="126" spans="1:32" x14ac:dyDescent="0.3">
      <c r="A126" s="491" t="s">
        <v>284</v>
      </c>
      <c r="B126" s="40" t="str">
        <f>IF(B1=V2,"Gemäß der Honorarvereinbarung werden die Stufen wie folgt vergütet (netto): ","Gemäß des Honorarangebotes werden die Stufen wie folgt vergütet (netto): ")</f>
        <v xml:space="preserve">Gemäß des Honorarangebotes werden die Stufen wie folgt vergütet (netto): </v>
      </c>
      <c r="C126" s="40"/>
      <c r="D126" s="40"/>
      <c r="E126" s="40"/>
      <c r="F126" s="40"/>
      <c r="G126" s="40"/>
      <c r="H126" s="40"/>
      <c r="I126" s="40"/>
      <c r="J126" s="40"/>
      <c r="V126" s="72"/>
      <c r="W126" s="72"/>
      <c r="X126" s="72"/>
      <c r="Y126" s="72"/>
      <c r="Z126" s="72"/>
      <c r="AA126" s="72"/>
      <c r="AB126" s="72"/>
      <c r="AC126" s="72"/>
      <c r="AD126" s="68"/>
      <c r="AE126" s="68"/>
      <c r="AF126" s="68"/>
    </row>
    <row r="127" spans="1:32" ht="15.2" thickBot="1" x14ac:dyDescent="0.35">
      <c r="A127" s="491"/>
      <c r="B127" s="60"/>
      <c r="C127" s="60"/>
      <c r="D127" s="60"/>
      <c r="E127" s="60"/>
      <c r="F127" s="65"/>
      <c r="G127" s="65"/>
      <c r="H127" s="65"/>
      <c r="I127" s="66"/>
      <c r="J127" s="66"/>
    </row>
    <row r="128" spans="1:32" ht="15.8" thickTop="1" thickBot="1" x14ac:dyDescent="0.35">
      <c r="A128" s="491"/>
      <c r="B128" s="357" t="s">
        <v>105</v>
      </c>
      <c r="C128" s="358" t="s">
        <v>285</v>
      </c>
      <c r="D128" s="359" t="s">
        <v>286</v>
      </c>
      <c r="E128" s="360" t="s">
        <v>287</v>
      </c>
      <c r="F128" s="540"/>
      <c r="G128" s="541"/>
      <c r="H128" s="541"/>
      <c r="I128" s="542"/>
      <c r="J128" s="542"/>
    </row>
    <row r="129" spans="1:10" x14ac:dyDescent="0.3">
      <c r="A129" s="492"/>
      <c r="B129" s="153" t="str">
        <f>IF(Überblick!$H$53&gt;=1,"1:",0)</f>
        <v>1:</v>
      </c>
      <c r="C129" s="481">
        <f>'Berechnung - Bebauungsplan'!C102</f>
        <v>0</v>
      </c>
      <c r="D129" s="481">
        <f>'Berechnung - Bebauungsplan'!D102</f>
        <v>0</v>
      </c>
      <c r="E129" s="481">
        <f>'Berechnung - Bebauungsplan'!E102</f>
        <v>0</v>
      </c>
      <c r="F129" s="481">
        <f>'Berechnung - Raumakustik'!F106</f>
        <v>0</v>
      </c>
      <c r="G129" s="481">
        <f>'Berechnung - Raumakustik'!G106</f>
        <v>0</v>
      </c>
      <c r="H129" s="481">
        <f>'Berechnung - Raumakustik'!H106</f>
        <v>0</v>
      </c>
      <c r="I129" s="481">
        <f>'Berechnung - Raumakustik'!M106</f>
        <v>0</v>
      </c>
      <c r="J129" s="481">
        <f>'Berechnung - Raumakustik'!N106</f>
        <v>0</v>
      </c>
    </row>
    <row r="130" spans="1:10" x14ac:dyDescent="0.3">
      <c r="A130" s="492"/>
      <c r="B130" s="153" t="str">
        <f>IF(Überblick!$H$53&gt;=2,"2:",0)</f>
        <v>2:</v>
      </c>
      <c r="C130" s="481">
        <f>'Berechnung - Bebauungsplan'!C103</f>
        <v>0</v>
      </c>
      <c r="D130" s="481">
        <f>'Berechnung - Bebauungsplan'!D103</f>
        <v>0</v>
      </c>
      <c r="E130" s="481">
        <f>'Berechnung - Bebauungsplan'!E103</f>
        <v>0</v>
      </c>
      <c r="F130" s="481">
        <f>'Berechnung - Raumakustik'!F107</f>
        <v>0</v>
      </c>
      <c r="G130" s="481">
        <f>'Berechnung - Raumakustik'!G107</f>
        <v>0</v>
      </c>
      <c r="H130" s="481">
        <f>'Berechnung - Raumakustik'!H107</f>
        <v>0</v>
      </c>
      <c r="I130" s="481">
        <f>'Berechnung - Raumakustik'!M107</f>
        <v>0</v>
      </c>
      <c r="J130" s="481">
        <f>'Berechnung - Raumakustik'!N107</f>
        <v>0</v>
      </c>
    </row>
    <row r="131" spans="1:10" x14ac:dyDescent="0.3">
      <c r="A131" s="59"/>
      <c r="B131" s="153" t="str">
        <f>IF(Überblick!$H$53&gt;=3,"3:",0)</f>
        <v>3:</v>
      </c>
      <c r="C131" s="481">
        <f>'Berechnung - Bebauungsplan'!C104</f>
        <v>0</v>
      </c>
      <c r="D131" s="481">
        <f>'Berechnung - Bebauungsplan'!D104</f>
        <v>0</v>
      </c>
      <c r="E131" s="481">
        <f>'Berechnung - Bebauungsplan'!E104</f>
        <v>0</v>
      </c>
      <c r="F131" s="481">
        <f>'Berechnung - Raumakustik'!F108</f>
        <v>0</v>
      </c>
      <c r="G131" s="481">
        <f>'Berechnung - Raumakustik'!G108</f>
        <v>0</v>
      </c>
      <c r="H131" s="481">
        <f>'Berechnung - Raumakustik'!H108</f>
        <v>0</v>
      </c>
      <c r="I131" s="481">
        <f>'Berechnung - Raumakustik'!M108</f>
        <v>0</v>
      </c>
      <c r="J131" s="481">
        <f>'Berechnung - Raumakustik'!N108</f>
        <v>0</v>
      </c>
    </row>
    <row r="132" spans="1:10" x14ac:dyDescent="0.3">
      <c r="A132" s="491"/>
      <c r="B132" s="153" t="str">
        <f>IF(Überblick!$H$53&gt;=4,"4:",0)</f>
        <v>4:</v>
      </c>
      <c r="C132" s="481">
        <f>'Berechnung - Bebauungsplan'!C105</f>
        <v>0</v>
      </c>
      <c r="D132" s="481">
        <f>'Berechnung - Bebauungsplan'!D105</f>
        <v>0</v>
      </c>
      <c r="E132" s="481">
        <f>'Berechnung - Bebauungsplan'!E105</f>
        <v>0</v>
      </c>
      <c r="F132" s="481">
        <f>'Berechnung - Raumakustik'!F109</f>
        <v>0</v>
      </c>
      <c r="G132" s="481">
        <f>'Berechnung - Raumakustik'!G109</f>
        <v>0</v>
      </c>
      <c r="H132" s="481">
        <f>'Berechnung - Raumakustik'!H109</f>
        <v>0</v>
      </c>
      <c r="I132" s="481">
        <f>'Berechnung - Raumakustik'!M109</f>
        <v>0</v>
      </c>
      <c r="J132" s="481">
        <f>'Berechnung - Raumakustik'!N109</f>
        <v>0</v>
      </c>
    </row>
    <row r="133" spans="1:10" x14ac:dyDescent="0.3">
      <c r="A133" s="491"/>
      <c r="B133" s="153" t="str">
        <f>IF(Überblick!$H$53&gt;=5,"5:",0)</f>
        <v>5:</v>
      </c>
      <c r="C133" s="481">
        <f>'Berechnung - Bebauungsplan'!C106</f>
        <v>0</v>
      </c>
      <c r="D133" s="481">
        <f>'Berechnung - Bebauungsplan'!D106</f>
        <v>0</v>
      </c>
      <c r="E133" s="481">
        <f>'Berechnung - Bebauungsplan'!E106</f>
        <v>0</v>
      </c>
      <c r="F133" s="481">
        <f>'Berechnung - Raumakustik'!F110</f>
        <v>0</v>
      </c>
      <c r="G133" s="481">
        <f>'Berechnung - Raumakustik'!G110</f>
        <v>0</v>
      </c>
      <c r="H133" s="481">
        <f>'Berechnung - Raumakustik'!H110</f>
        <v>0</v>
      </c>
      <c r="I133" s="481">
        <f>'Berechnung - Raumakustik'!M110</f>
        <v>0</v>
      </c>
      <c r="J133" s="481">
        <f>'Berechnung - Raumakustik'!N110</f>
        <v>0</v>
      </c>
    </row>
    <row r="134" spans="1:10" x14ac:dyDescent="0.3">
      <c r="A134" s="491"/>
      <c r="B134" s="153" t="str">
        <f>IF(Überblick!$H$53&gt;=6,"6:",0)</f>
        <v>6:</v>
      </c>
      <c r="C134" s="481">
        <f>'Berechnung - Bebauungsplan'!C107</f>
        <v>0</v>
      </c>
      <c r="D134" s="481">
        <f>'Berechnung - Bebauungsplan'!D107</f>
        <v>0</v>
      </c>
      <c r="E134" s="481">
        <f>'Berechnung - Bebauungsplan'!E107</f>
        <v>0</v>
      </c>
      <c r="F134" s="481">
        <f>'Berechnung - Raumakustik'!F111</f>
        <v>0</v>
      </c>
      <c r="G134" s="481">
        <f>'Berechnung - Raumakustik'!G111</f>
        <v>0</v>
      </c>
      <c r="H134" s="481">
        <f>'Berechnung - Raumakustik'!H111</f>
        <v>0</v>
      </c>
      <c r="I134" s="481">
        <f>'Berechnung - Raumakustik'!M111</f>
        <v>0</v>
      </c>
      <c r="J134" s="481">
        <f>'Berechnung - Raumakustik'!N111</f>
        <v>0</v>
      </c>
    </row>
    <row r="135" spans="1:10" x14ac:dyDescent="0.3">
      <c r="A135" s="491"/>
      <c r="B135" s="153">
        <f>IF(Überblick!$H$53&gt;=7,"7:",0)</f>
        <v>0</v>
      </c>
      <c r="C135" s="481">
        <f>'Berechnung - Bebauungsplan'!C108</f>
        <v>0</v>
      </c>
      <c r="D135" s="481">
        <f>'Berechnung - Bebauungsplan'!D108</f>
        <v>0</v>
      </c>
      <c r="E135" s="481">
        <f>'Berechnung - Bebauungsplan'!E108</f>
        <v>0</v>
      </c>
      <c r="F135" s="481">
        <f>'Berechnung - Raumakustik'!F112</f>
        <v>0</v>
      </c>
      <c r="G135" s="481">
        <f>'Berechnung - Raumakustik'!G112</f>
        <v>0</v>
      </c>
      <c r="H135" s="481">
        <f>'Berechnung - Raumakustik'!H112</f>
        <v>0</v>
      </c>
      <c r="I135" s="481">
        <f>'Berechnung - Raumakustik'!M112</f>
        <v>0</v>
      </c>
      <c r="J135" s="481">
        <f>'Berechnung - Raumakustik'!N112</f>
        <v>0</v>
      </c>
    </row>
    <row r="136" spans="1:10" x14ac:dyDescent="0.3">
      <c r="A136" s="491"/>
      <c r="B136" s="153">
        <f>IF(Überblick!$H$53&gt;=8,"8:",0)</f>
        <v>0</v>
      </c>
      <c r="C136" s="481">
        <f>'Berechnung - Bebauungsplan'!C109</f>
        <v>0</v>
      </c>
      <c r="D136" s="481">
        <f>'Berechnung - Bebauungsplan'!D109</f>
        <v>0</v>
      </c>
      <c r="E136" s="481">
        <f>'Berechnung - Bebauungsplan'!E109</f>
        <v>0</v>
      </c>
      <c r="F136" s="481">
        <f>'Berechnung - Raumakustik'!F113</f>
        <v>0</v>
      </c>
      <c r="G136" s="481">
        <f>'Berechnung - Raumakustik'!G113</f>
        <v>0</v>
      </c>
      <c r="H136" s="481">
        <f>'Berechnung - Raumakustik'!H113</f>
        <v>0</v>
      </c>
      <c r="I136" s="481">
        <f>'Berechnung - Raumakustik'!M113</f>
        <v>0</v>
      </c>
      <c r="J136" s="481">
        <f>'Berechnung - Raumakustik'!N113</f>
        <v>0</v>
      </c>
    </row>
    <row r="137" spans="1:10" x14ac:dyDescent="0.3">
      <c r="A137" s="491"/>
      <c r="B137" s="153">
        <f>IF(Überblick!$H$53&gt;=9,"9:",0)</f>
        <v>0</v>
      </c>
      <c r="C137" s="481">
        <f>'Berechnung - Bebauungsplan'!C110</f>
        <v>0</v>
      </c>
      <c r="D137" s="481">
        <f>'Berechnung - Bebauungsplan'!D110</f>
        <v>0</v>
      </c>
      <c r="E137" s="481">
        <f>'Berechnung - Bebauungsplan'!E110</f>
        <v>0</v>
      </c>
      <c r="F137" s="481">
        <f>'Berechnung - Raumakustik'!F114</f>
        <v>0</v>
      </c>
      <c r="G137" s="481">
        <f>'Berechnung - Raumakustik'!G114</f>
        <v>0</v>
      </c>
      <c r="H137" s="481">
        <f>'Berechnung - Raumakustik'!H114</f>
        <v>0</v>
      </c>
      <c r="I137" s="481">
        <f>'Berechnung - Raumakustik'!M114</f>
        <v>0</v>
      </c>
      <c r="J137" s="481">
        <f>'Berechnung - Raumakustik'!N114</f>
        <v>0</v>
      </c>
    </row>
    <row r="138" spans="1:10" x14ac:dyDescent="0.3">
      <c r="A138" s="491"/>
      <c r="B138" s="140"/>
      <c r="C138" s="140"/>
      <c r="D138" s="140"/>
      <c r="E138" s="140"/>
      <c r="F138" s="140"/>
      <c r="G138" s="140"/>
      <c r="H138" s="140"/>
      <c r="I138" s="140"/>
      <c r="J138" s="140"/>
    </row>
  </sheetData>
  <sheetProtection algorithmName="SHA-512" hashValue="szA/heOd80oqiXIzbnpeIgpc1oxEy5ZKwwKBthXt7tp6iylJpgwsUWGNrz4CikqhRN2lTzfp1cyvxrV5iXGM5A==" saltValue="YZSmHmLFa4liCYmWJ65MyQ==" spinCount="100000" sheet="1" objects="1" scenarios="1"/>
  <mergeCells count="219">
    <mergeCell ref="B121:F121"/>
    <mergeCell ref="H121:J121"/>
    <mergeCell ref="B123:F124"/>
    <mergeCell ref="H123:J124"/>
    <mergeCell ref="B115:F115"/>
    <mergeCell ref="H115:J115"/>
    <mergeCell ref="B117:F117"/>
    <mergeCell ref="H117:J117"/>
    <mergeCell ref="G118:J118"/>
    <mergeCell ref="B119:F119"/>
    <mergeCell ref="H119:J119"/>
    <mergeCell ref="B106:F106"/>
    <mergeCell ref="H106:J106"/>
    <mergeCell ref="B108:F109"/>
    <mergeCell ref="H108:J109"/>
    <mergeCell ref="B113:F113"/>
    <mergeCell ref="H113:J113"/>
    <mergeCell ref="B100:F100"/>
    <mergeCell ref="H100:J100"/>
    <mergeCell ref="B102:F102"/>
    <mergeCell ref="H102:J102"/>
    <mergeCell ref="G103:J103"/>
    <mergeCell ref="B104:F104"/>
    <mergeCell ref="H104:J104"/>
    <mergeCell ref="T82:T88"/>
    <mergeCell ref="R89:S90"/>
    <mergeCell ref="T89:T90"/>
    <mergeCell ref="U89:U90"/>
    <mergeCell ref="B92:R93"/>
    <mergeCell ref="B98:F98"/>
    <mergeCell ref="H98:J98"/>
    <mergeCell ref="A89:A90"/>
    <mergeCell ref="B89:H90"/>
    <mergeCell ref="I89:I90"/>
    <mergeCell ref="J89:K90"/>
    <mergeCell ref="L89:P90"/>
    <mergeCell ref="Q89:Q90"/>
    <mergeCell ref="U82:U88"/>
    <mergeCell ref="B84:G85"/>
    <mergeCell ref="H84:H85"/>
    <mergeCell ref="L84:P85"/>
    <mergeCell ref="Q84:Q85"/>
    <mergeCell ref="R84:S85"/>
    <mergeCell ref="B86:G88"/>
    <mergeCell ref="A29:A88"/>
    <mergeCell ref="B29:G31"/>
    <mergeCell ref="H29:H31"/>
    <mergeCell ref="B81:G81"/>
    <mergeCell ref="I81:K81"/>
    <mergeCell ref="L81:P81"/>
    <mergeCell ref="R81:S81"/>
    <mergeCell ref="B82:G83"/>
    <mergeCell ref="H82:H83"/>
    <mergeCell ref="I82:I88"/>
    <mergeCell ref="J82:K88"/>
    <mergeCell ref="L82:P83"/>
    <mergeCell ref="H86:H88"/>
    <mergeCell ref="L86:P87"/>
    <mergeCell ref="Q86:Q87"/>
    <mergeCell ref="R86:S87"/>
    <mergeCell ref="L88:P88"/>
    <mergeCell ref="R88:S88"/>
    <mergeCell ref="Q82:Q83"/>
    <mergeCell ref="R82:S83"/>
    <mergeCell ref="L76:P77"/>
    <mergeCell ref="Q76:Q77"/>
    <mergeCell ref="R76:S77"/>
    <mergeCell ref="B77:G78"/>
    <mergeCell ref="H77:H78"/>
    <mergeCell ref="L78:P79"/>
    <mergeCell ref="Q78:Q79"/>
    <mergeCell ref="R78:S79"/>
    <mergeCell ref="B79:G80"/>
    <mergeCell ref="H79:H80"/>
    <mergeCell ref="L80:P80"/>
    <mergeCell ref="R80:S80"/>
    <mergeCell ref="L66:P67"/>
    <mergeCell ref="Q66:Q67"/>
    <mergeCell ref="B69:G70"/>
    <mergeCell ref="H69:H70"/>
    <mergeCell ref="B71:G72"/>
    <mergeCell ref="H71:H72"/>
    <mergeCell ref="R66:S67"/>
    <mergeCell ref="T66:T80"/>
    <mergeCell ref="U66:U80"/>
    <mergeCell ref="L68:P69"/>
    <mergeCell ref="Q68:Q69"/>
    <mergeCell ref="R68:S69"/>
    <mergeCell ref="L70:P71"/>
    <mergeCell ref="Q70:Q71"/>
    <mergeCell ref="R70:S71"/>
    <mergeCell ref="L72:P73"/>
    <mergeCell ref="Q72:Q73"/>
    <mergeCell ref="R72:S73"/>
    <mergeCell ref="B73:G74"/>
    <mergeCell ref="H73:H74"/>
    <mergeCell ref="L74:P75"/>
    <mergeCell ref="Q74:Q75"/>
    <mergeCell ref="R74:S75"/>
    <mergeCell ref="B75:G76"/>
    <mergeCell ref="Q58:Q59"/>
    <mergeCell ref="R58:S59"/>
    <mergeCell ref="B59:G60"/>
    <mergeCell ref="H59:H60"/>
    <mergeCell ref="L64:P64"/>
    <mergeCell ref="R64:S64"/>
    <mergeCell ref="B65:G65"/>
    <mergeCell ref="I65:K65"/>
    <mergeCell ref="L65:P65"/>
    <mergeCell ref="R65:S65"/>
    <mergeCell ref="L60:P61"/>
    <mergeCell ref="Q60:Q61"/>
    <mergeCell ref="R60:S61"/>
    <mergeCell ref="B61:G62"/>
    <mergeCell ref="H61:H62"/>
    <mergeCell ref="L62:P63"/>
    <mergeCell ref="Q62:Q63"/>
    <mergeCell ref="R62:S63"/>
    <mergeCell ref="B63:G64"/>
    <mergeCell ref="H63:H64"/>
    <mergeCell ref="B48:G49"/>
    <mergeCell ref="H48:H49"/>
    <mergeCell ref="L48:P49"/>
    <mergeCell ref="Q48:Q49"/>
    <mergeCell ref="R48:S49"/>
    <mergeCell ref="L50:P51"/>
    <mergeCell ref="Q50:Q51"/>
    <mergeCell ref="R50:S51"/>
    <mergeCell ref="L52:P53"/>
    <mergeCell ref="Q52:Q53"/>
    <mergeCell ref="R52:S53"/>
    <mergeCell ref="B53:G54"/>
    <mergeCell ref="H53:H54"/>
    <mergeCell ref="L54:P55"/>
    <mergeCell ref="Q54:Q55"/>
    <mergeCell ref="R54:S55"/>
    <mergeCell ref="B55:G56"/>
    <mergeCell ref="H55:H56"/>
    <mergeCell ref="L56:P57"/>
    <mergeCell ref="Q56:Q57"/>
    <mergeCell ref="R56:S57"/>
    <mergeCell ref="B57:G58"/>
    <mergeCell ref="H57:H58"/>
    <mergeCell ref="L58:P59"/>
    <mergeCell ref="R46:S47"/>
    <mergeCell ref="B42:G44"/>
    <mergeCell ref="H42:H44"/>
    <mergeCell ref="L42:P43"/>
    <mergeCell ref="Q42:Q43"/>
    <mergeCell ref="R42:S43"/>
    <mergeCell ref="L44:P45"/>
    <mergeCell ref="Q44:Q45"/>
    <mergeCell ref="R44:S45"/>
    <mergeCell ref="B45:G47"/>
    <mergeCell ref="H45:H47"/>
    <mergeCell ref="R32:S34"/>
    <mergeCell ref="T32:T34"/>
    <mergeCell ref="U32:U34"/>
    <mergeCell ref="B35:G35"/>
    <mergeCell ref="I35:K35"/>
    <mergeCell ref="L35:P35"/>
    <mergeCell ref="R35:S35"/>
    <mergeCell ref="U36:U64"/>
    <mergeCell ref="B38:G39"/>
    <mergeCell ref="H38:H39"/>
    <mergeCell ref="L38:P39"/>
    <mergeCell ref="Q38:Q39"/>
    <mergeCell ref="R38:S39"/>
    <mergeCell ref="B40:G41"/>
    <mergeCell ref="H40:H41"/>
    <mergeCell ref="L40:P41"/>
    <mergeCell ref="Q40:Q41"/>
    <mergeCell ref="I36:I64"/>
    <mergeCell ref="J36:K64"/>
    <mergeCell ref="L36:P37"/>
    <mergeCell ref="Q36:Q37"/>
    <mergeCell ref="R36:S37"/>
    <mergeCell ref="T36:T64"/>
    <mergeCell ref="R40:S41"/>
    <mergeCell ref="B66:G68"/>
    <mergeCell ref="H66:H68"/>
    <mergeCell ref="I66:I80"/>
    <mergeCell ref="J66:K80"/>
    <mergeCell ref="H75:H76"/>
    <mergeCell ref="N14:Q15"/>
    <mergeCell ref="F16:I16"/>
    <mergeCell ref="J16:M16"/>
    <mergeCell ref="N16:Q16"/>
    <mergeCell ref="B20:E20"/>
    <mergeCell ref="F20:Q20"/>
    <mergeCell ref="I29:I31"/>
    <mergeCell ref="J29:K31"/>
    <mergeCell ref="B32:G34"/>
    <mergeCell ref="H32:H34"/>
    <mergeCell ref="I32:K34"/>
    <mergeCell ref="B36:G37"/>
    <mergeCell ref="H36:H37"/>
    <mergeCell ref="B50:G52"/>
    <mergeCell ref="H50:H52"/>
    <mergeCell ref="L32:P34"/>
    <mergeCell ref="Q32:Q34"/>
    <mergeCell ref="L46:P47"/>
    <mergeCell ref="Q46:Q47"/>
    <mergeCell ref="B12:E12"/>
    <mergeCell ref="F12:I12"/>
    <mergeCell ref="B13:E13"/>
    <mergeCell ref="F13:I13"/>
    <mergeCell ref="F14:I15"/>
    <mergeCell ref="J14:M15"/>
    <mergeCell ref="S1:T1"/>
    <mergeCell ref="S2:U2"/>
    <mergeCell ref="S3:U3"/>
    <mergeCell ref="B5:E5"/>
    <mergeCell ref="B6:E6"/>
    <mergeCell ref="B7:E7"/>
    <mergeCell ref="J7:K7"/>
    <mergeCell ref="L7:M7"/>
    <mergeCell ref="N7:O7"/>
    <mergeCell ref="P7:Q7"/>
  </mergeCells>
  <conditionalFormatting sqref="T82">
    <cfRule type="cellIs" dxfId="616" priority="19" operator="equal">
      <formula>"ja"</formula>
    </cfRule>
  </conditionalFormatting>
  <conditionalFormatting sqref="T36">
    <cfRule type="expression" dxfId="615" priority="20">
      <formula>$T$36="JA"</formula>
    </cfRule>
  </conditionalFormatting>
  <conditionalFormatting sqref="F20:Q20">
    <cfRule type="expression" dxfId="614" priority="18">
      <formula>$R$7&gt;0</formula>
    </cfRule>
  </conditionalFormatting>
  <conditionalFormatting sqref="R64">
    <cfRule type="expression" dxfId="613" priority="17">
      <formula>Q64="ja"</formula>
    </cfRule>
  </conditionalFormatting>
  <conditionalFormatting sqref="R36 R40 R44 R48 R52 R56 R60">
    <cfRule type="expression" dxfId="612" priority="16">
      <formula>Q36="ja"</formula>
    </cfRule>
  </conditionalFormatting>
  <conditionalFormatting sqref="R38 R42 R46 R50 R54 R58 R62">
    <cfRule type="expression" dxfId="611" priority="15">
      <formula>Q38="ja"</formula>
    </cfRule>
  </conditionalFormatting>
  <conditionalFormatting sqref="R78">
    <cfRule type="expression" dxfId="610" priority="12">
      <formula>Q78="ja"</formula>
    </cfRule>
  </conditionalFormatting>
  <conditionalFormatting sqref="R66 R70 R74">
    <cfRule type="expression" dxfId="609" priority="14">
      <formula>Q66="ja"</formula>
    </cfRule>
  </conditionalFormatting>
  <conditionalFormatting sqref="R68 R72">
    <cfRule type="expression" dxfId="608" priority="13">
      <formula>Q68="ja"</formula>
    </cfRule>
  </conditionalFormatting>
  <conditionalFormatting sqref="R76">
    <cfRule type="expression" dxfId="607" priority="11">
      <formula>Q76="ja"</formula>
    </cfRule>
  </conditionalFormatting>
  <conditionalFormatting sqref="R80">
    <cfRule type="expression" dxfId="606" priority="10">
      <formula>Q80="ja"</formula>
    </cfRule>
  </conditionalFormatting>
  <conditionalFormatting sqref="T66">
    <cfRule type="expression" dxfId="605" priority="21">
      <formula>$T$66="ja"</formula>
    </cfRule>
  </conditionalFormatting>
  <conditionalFormatting sqref="R82 R86">
    <cfRule type="expression" dxfId="604" priority="9">
      <formula>Q82="ja"</formula>
    </cfRule>
  </conditionalFormatting>
  <conditionalFormatting sqref="R84">
    <cfRule type="expression" dxfId="603" priority="8">
      <formula>Q84="ja"</formula>
    </cfRule>
  </conditionalFormatting>
  <conditionalFormatting sqref="R88">
    <cfRule type="expression" dxfId="602" priority="7">
      <formula>Q88="ja"</formula>
    </cfRule>
  </conditionalFormatting>
  <conditionalFormatting sqref="B129:B136">
    <cfRule type="cellIs" dxfId="601" priority="6" operator="greaterThan">
      <formula>0</formula>
    </cfRule>
  </conditionalFormatting>
  <conditionalFormatting sqref="C130:E137">
    <cfRule type="expression" dxfId="600" priority="4">
      <formula>$B130&gt;=1</formula>
    </cfRule>
  </conditionalFormatting>
  <conditionalFormatting sqref="B137">
    <cfRule type="cellIs" dxfId="599" priority="2" operator="greaterThan">
      <formula>0</formula>
    </cfRule>
  </conditionalFormatting>
  <conditionalFormatting sqref="C129:E137">
    <cfRule type="cellIs" dxfId="598" priority="3" operator="greaterThan">
      <formula>0</formula>
    </cfRule>
    <cfRule type="expression" dxfId="597" priority="5">
      <formula>$B129&gt;=1</formula>
    </cfRule>
  </conditionalFormatting>
  <conditionalFormatting sqref="Z68">
    <cfRule type="containsText" dxfId="596" priority="1" operator="containsText" text="Ja">
      <formula>NOT(ISERROR(SEARCH("Ja",Z68)))</formula>
    </cfRule>
  </conditionalFormatting>
  <dataValidations disablePrompts="1" count="2">
    <dataValidation type="list" allowBlank="1" showInputMessage="1" showErrorMessage="1" sqref="H75 H84 H86 H82 Q76 H38 Q74 Q58 Q86 Q80 Q62 Q68 Q36 H71:H73 H36 H77 H40 H42 H45 H48 H50 H53 H55 H57 H59 H61 H63 H66 H69 H79 Q38 Q64 Q40 Q44 Q48 Q52 Q56 Q60 Q42 Q46 Q50 Q54 Q72 Q66 Q70 Q78 Q84 Q82 Q88" xr:uid="{9687A157-0AC3-4DF1-BD38-48B8CC6E397A}">
      <formula1>$V$26:$V$28</formula1>
    </dataValidation>
    <dataValidation type="list" allowBlank="1" showInputMessage="1" showErrorMessage="1" sqref="F12 J12:Q12" xr:uid="{C538B489-1C30-44D9-A294-1303E6BFC964}">
      <formula1>$V$12:$V$14</formula1>
    </dataValidation>
  </dataValidations>
  <pageMargins left="0.25" right="0.25" top="0.75" bottom="0.75" header="0.3" footer="0.3"/>
  <pageSetup paperSize="9" scale="40" orientation="portrait" r:id="rId1"/>
  <rowBreaks count="1" manualBreakCount="1">
    <brk id="11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8C9E-B360-46E3-B05B-9BFA8B51DD5D}">
  <sheetPr>
    <tabColor rgb="FFFFC000"/>
  </sheetPr>
  <dimension ref="A1:AF138"/>
  <sheetViews>
    <sheetView workbookViewId="0"/>
  </sheetViews>
  <sheetFormatPr baseColWidth="10" defaultColWidth="11.44140625" defaultRowHeight="14.55" x14ac:dyDescent="0.3"/>
  <sheetData>
    <row r="1" spans="1:21" x14ac:dyDescent="0.3">
      <c r="A1" s="1"/>
      <c r="B1" s="1"/>
      <c r="C1" s="1"/>
      <c r="D1" s="1"/>
      <c r="E1" s="1"/>
      <c r="F1" s="1"/>
      <c r="G1" s="1"/>
      <c r="H1" s="1"/>
      <c r="I1" s="1"/>
      <c r="J1" s="1"/>
      <c r="K1" s="1"/>
      <c r="L1" s="1"/>
      <c r="M1" s="1"/>
      <c r="N1" s="1"/>
      <c r="O1" s="1"/>
      <c r="P1" s="1"/>
      <c r="Q1" s="1"/>
      <c r="R1" s="1"/>
      <c r="S1" s="1"/>
      <c r="T1" s="1"/>
      <c r="U1" s="1"/>
    </row>
    <row r="2" spans="1:21" x14ac:dyDescent="0.3">
      <c r="A2" s="1"/>
      <c r="B2" s="9" t="s">
        <v>547</v>
      </c>
      <c r="C2" s="1"/>
      <c r="D2" s="1"/>
      <c r="E2" s="1"/>
      <c r="F2" s="1"/>
      <c r="G2" s="1"/>
      <c r="H2" s="1"/>
      <c r="I2" s="1"/>
      <c r="J2" s="1"/>
      <c r="K2" s="1"/>
      <c r="L2" s="1"/>
      <c r="M2" s="1"/>
      <c r="N2" s="1"/>
      <c r="O2" s="1"/>
      <c r="P2" s="1"/>
      <c r="Q2" s="1"/>
      <c r="R2" s="1"/>
      <c r="S2" s="1"/>
      <c r="T2" s="1"/>
      <c r="U2" s="1"/>
    </row>
    <row r="3" spans="1:21" ht="15.2" thickBot="1" x14ac:dyDescent="0.35">
      <c r="A3" s="1"/>
      <c r="B3" s="1"/>
      <c r="C3" s="1"/>
      <c r="D3" s="1"/>
      <c r="E3" s="1"/>
      <c r="F3" s="1"/>
      <c r="G3" s="1"/>
      <c r="H3" s="1"/>
      <c r="I3" s="1"/>
      <c r="J3" s="1"/>
      <c r="K3" s="1"/>
      <c r="L3" s="1"/>
      <c r="M3" s="1"/>
      <c r="N3" s="1"/>
      <c r="O3" s="1"/>
      <c r="P3" s="1"/>
      <c r="Q3" s="1"/>
      <c r="R3" s="1"/>
      <c r="S3" s="1"/>
      <c r="T3" s="1"/>
      <c r="U3" s="1"/>
    </row>
    <row r="4" spans="1:21" x14ac:dyDescent="0.3">
      <c r="A4" s="3"/>
      <c r="B4" s="1939" t="s">
        <v>689</v>
      </c>
      <c r="C4" s="554"/>
      <c r="D4" s="1942" t="s">
        <v>301</v>
      </c>
      <c r="E4" s="1943"/>
      <c r="F4" s="554"/>
      <c r="G4" s="1942" t="s">
        <v>302</v>
      </c>
      <c r="H4" s="1943"/>
      <c r="I4" s="554"/>
      <c r="J4" s="1942" t="s">
        <v>303</v>
      </c>
      <c r="K4" s="1943"/>
      <c r="L4" s="584"/>
      <c r="M4" s="1936"/>
      <c r="N4" s="1936"/>
      <c r="O4" s="585"/>
      <c r="P4" s="1936"/>
      <c r="Q4" s="1936"/>
      <c r="R4" s="1"/>
      <c r="S4" s="1"/>
      <c r="T4" s="1"/>
      <c r="U4" s="1"/>
    </row>
    <row r="5" spans="1:21" x14ac:dyDescent="0.3">
      <c r="A5" s="3"/>
      <c r="B5" s="1940"/>
      <c r="C5" s="554"/>
      <c r="D5" s="1937" t="s">
        <v>306</v>
      </c>
      <c r="E5" s="1938"/>
      <c r="F5" s="554"/>
      <c r="G5" s="1937" t="s">
        <v>307</v>
      </c>
      <c r="H5" s="1938"/>
      <c r="I5" s="554"/>
      <c r="J5" s="1937" t="s">
        <v>308</v>
      </c>
      <c r="K5" s="1938"/>
      <c r="L5" s="584"/>
      <c r="M5" s="1936"/>
      <c r="N5" s="1936"/>
      <c r="O5" s="585"/>
      <c r="P5" s="1936"/>
      <c r="Q5" s="1936"/>
      <c r="R5" s="1"/>
      <c r="S5" s="1"/>
      <c r="T5" s="1"/>
      <c r="U5" s="1"/>
    </row>
    <row r="6" spans="1:21" x14ac:dyDescent="0.3">
      <c r="A6" s="3"/>
      <c r="B6" s="1940"/>
      <c r="C6" s="554"/>
      <c r="D6" s="552" t="s">
        <v>311</v>
      </c>
      <c r="E6" s="553" t="s">
        <v>312</v>
      </c>
      <c r="F6" s="554"/>
      <c r="G6" s="552" t="s">
        <v>311</v>
      </c>
      <c r="H6" s="553" t="s">
        <v>312</v>
      </c>
      <c r="I6" s="554"/>
      <c r="J6" s="552" t="s">
        <v>311</v>
      </c>
      <c r="K6" s="553" t="s">
        <v>312</v>
      </c>
      <c r="L6" s="584"/>
      <c r="M6" s="585"/>
      <c r="N6" s="585"/>
      <c r="O6" s="585"/>
      <c r="P6" s="585"/>
      <c r="Q6" s="585"/>
      <c r="R6" s="1"/>
      <c r="S6" s="1"/>
      <c r="T6" s="1"/>
      <c r="U6" s="1"/>
    </row>
    <row r="7" spans="1:21" ht="15.2" thickBot="1" x14ac:dyDescent="0.35">
      <c r="A7" s="3"/>
      <c r="B7" s="1941"/>
      <c r="C7" s="554"/>
      <c r="D7" s="1945" t="s">
        <v>3</v>
      </c>
      <c r="E7" s="1946"/>
      <c r="F7" s="554"/>
      <c r="G7" s="1945" t="s">
        <v>3</v>
      </c>
      <c r="H7" s="1946"/>
      <c r="I7" s="554"/>
      <c r="J7" s="1945" t="s">
        <v>3</v>
      </c>
      <c r="K7" s="1946"/>
      <c r="L7" s="584"/>
      <c r="M7" s="1936"/>
      <c r="N7" s="1936"/>
      <c r="O7" s="585"/>
      <c r="P7" s="1936"/>
      <c r="Q7" s="1936"/>
      <c r="R7" s="1"/>
      <c r="S7" s="1"/>
      <c r="T7" s="1"/>
      <c r="U7" s="1"/>
    </row>
    <row r="8" spans="1:21" x14ac:dyDescent="0.3">
      <c r="A8" s="3"/>
      <c r="B8" s="563">
        <v>0.5</v>
      </c>
      <c r="C8" s="564"/>
      <c r="D8" s="565">
        <v>5000</v>
      </c>
      <c r="E8" s="566">
        <v>5335</v>
      </c>
      <c r="F8" s="564"/>
      <c r="G8" s="565">
        <f>E8</f>
        <v>5335</v>
      </c>
      <c r="H8" s="566">
        <v>7838</v>
      </c>
      <c r="I8" s="564"/>
      <c r="J8" s="565">
        <f>H8</f>
        <v>7838</v>
      </c>
      <c r="K8" s="566">
        <v>10341</v>
      </c>
      <c r="L8" s="577"/>
      <c r="M8" s="586"/>
      <c r="N8" s="586"/>
      <c r="O8" s="586"/>
      <c r="P8" s="586"/>
      <c r="Q8" s="586"/>
      <c r="R8" s="1"/>
      <c r="S8" s="1"/>
      <c r="T8" s="1"/>
      <c r="U8" s="1"/>
    </row>
    <row r="9" spans="1:21" x14ac:dyDescent="0.3">
      <c r="A9" s="3"/>
      <c r="B9" s="568">
        <v>1</v>
      </c>
      <c r="C9" s="564"/>
      <c r="D9" s="569">
        <v>5000</v>
      </c>
      <c r="E9" s="570">
        <v>8799</v>
      </c>
      <c r="F9" s="564"/>
      <c r="G9" s="569">
        <f t="shared" ref="G9:G26" si="0">E9</f>
        <v>8799</v>
      </c>
      <c r="H9" s="570">
        <v>12926</v>
      </c>
      <c r="I9" s="564"/>
      <c r="J9" s="569">
        <f t="shared" ref="J9:J27" si="1">H9</f>
        <v>12926</v>
      </c>
      <c r="K9" s="570">
        <v>17054</v>
      </c>
      <c r="L9" s="577"/>
      <c r="M9" s="586"/>
      <c r="N9" s="586"/>
      <c r="O9" s="586"/>
      <c r="P9" s="586"/>
      <c r="Q9" s="586"/>
      <c r="R9" s="1"/>
      <c r="S9" s="1"/>
      <c r="T9" s="1"/>
      <c r="U9" s="1"/>
    </row>
    <row r="10" spans="1:21" x14ac:dyDescent="0.3">
      <c r="A10" s="3"/>
      <c r="B10" s="568">
        <v>2</v>
      </c>
      <c r="C10" s="564"/>
      <c r="D10" s="569">
        <v>7699</v>
      </c>
      <c r="E10" s="570">
        <v>14502</v>
      </c>
      <c r="F10" s="564"/>
      <c r="G10" s="569">
        <f t="shared" si="0"/>
        <v>14502</v>
      </c>
      <c r="H10" s="570">
        <v>21305</v>
      </c>
      <c r="I10" s="564"/>
      <c r="J10" s="569">
        <f t="shared" si="1"/>
        <v>21305</v>
      </c>
      <c r="K10" s="570">
        <v>28109</v>
      </c>
      <c r="L10" s="577"/>
      <c r="M10" s="586"/>
      <c r="N10" s="586"/>
      <c r="O10" s="586"/>
      <c r="P10" s="586"/>
      <c r="Q10" s="586"/>
      <c r="R10" s="1"/>
      <c r="S10" s="1"/>
      <c r="T10" s="1"/>
      <c r="U10" s="1"/>
    </row>
    <row r="11" spans="1:21" x14ac:dyDescent="0.3">
      <c r="A11" s="3"/>
      <c r="B11" s="572">
        <v>3</v>
      </c>
      <c r="C11" s="564"/>
      <c r="D11" s="569">
        <v>10306</v>
      </c>
      <c r="E11" s="570">
        <v>19413</v>
      </c>
      <c r="F11" s="564"/>
      <c r="G11" s="569">
        <f t="shared" si="0"/>
        <v>19413</v>
      </c>
      <c r="H11" s="570">
        <v>28521</v>
      </c>
      <c r="I11" s="564"/>
      <c r="J11" s="569">
        <f t="shared" si="1"/>
        <v>28521</v>
      </c>
      <c r="K11" s="570">
        <v>37628</v>
      </c>
      <c r="L11" s="577"/>
      <c r="M11" s="586"/>
      <c r="N11" s="586"/>
      <c r="O11" s="586"/>
      <c r="P11" s="586"/>
      <c r="Q11" s="586"/>
      <c r="R11" s="1"/>
      <c r="S11" s="1"/>
      <c r="T11" s="1"/>
      <c r="U11" s="1"/>
    </row>
    <row r="12" spans="1:21" ht="15.2" thickBot="1" x14ac:dyDescent="0.35">
      <c r="A12" s="3"/>
      <c r="B12" s="573">
        <v>4</v>
      </c>
      <c r="C12" s="564"/>
      <c r="D12" s="574">
        <v>12669</v>
      </c>
      <c r="E12" s="575">
        <v>23866</v>
      </c>
      <c r="F12" s="564"/>
      <c r="G12" s="574">
        <f t="shared" si="0"/>
        <v>23866</v>
      </c>
      <c r="H12" s="575">
        <v>35062</v>
      </c>
      <c r="I12" s="564"/>
      <c r="J12" s="574">
        <f t="shared" si="1"/>
        <v>35062</v>
      </c>
      <c r="K12" s="575">
        <v>46258</v>
      </c>
      <c r="L12" s="577"/>
      <c r="M12" s="586"/>
      <c r="N12" s="586"/>
      <c r="O12" s="586"/>
      <c r="P12" s="586"/>
      <c r="Q12" s="586"/>
      <c r="R12" s="1"/>
      <c r="S12" s="1"/>
      <c r="T12" s="1"/>
      <c r="U12" s="1"/>
    </row>
    <row r="13" spans="1:21" x14ac:dyDescent="0.3">
      <c r="A13" s="3"/>
      <c r="B13" s="579">
        <v>5</v>
      </c>
      <c r="C13" s="564"/>
      <c r="D13" s="463">
        <v>14864</v>
      </c>
      <c r="E13" s="464">
        <v>28000</v>
      </c>
      <c r="F13" s="564"/>
      <c r="G13" s="463">
        <f t="shared" si="0"/>
        <v>28000</v>
      </c>
      <c r="H13" s="464">
        <v>41135</v>
      </c>
      <c r="I13" s="564"/>
      <c r="J13" s="463">
        <f t="shared" si="1"/>
        <v>41135</v>
      </c>
      <c r="K13" s="464">
        <v>54271</v>
      </c>
      <c r="L13" s="577"/>
      <c r="M13" s="586"/>
      <c r="N13" s="586"/>
      <c r="O13" s="586"/>
      <c r="P13" s="586"/>
      <c r="Q13" s="586"/>
      <c r="R13" s="1"/>
      <c r="S13" s="1"/>
      <c r="T13" s="1"/>
      <c r="U13" s="1"/>
    </row>
    <row r="14" spans="1:21" x14ac:dyDescent="0.3">
      <c r="A14" s="3"/>
      <c r="B14" s="572">
        <v>6</v>
      </c>
      <c r="C14" s="564"/>
      <c r="D14" s="569">
        <v>16931</v>
      </c>
      <c r="E14" s="570">
        <v>31893</v>
      </c>
      <c r="F14" s="564"/>
      <c r="G14" s="569">
        <f t="shared" si="0"/>
        <v>31893</v>
      </c>
      <c r="H14" s="570">
        <v>46856</v>
      </c>
      <c r="I14" s="564"/>
      <c r="J14" s="569">
        <f t="shared" si="1"/>
        <v>46856</v>
      </c>
      <c r="K14" s="570">
        <v>61818</v>
      </c>
      <c r="L14" s="577"/>
      <c r="M14" s="586"/>
      <c r="N14" s="586"/>
      <c r="O14" s="586"/>
      <c r="P14" s="586"/>
      <c r="Q14" s="586"/>
      <c r="R14" s="1"/>
      <c r="S14" s="1"/>
      <c r="T14" s="1"/>
      <c r="U14" s="1"/>
    </row>
    <row r="15" spans="1:21" x14ac:dyDescent="0.3">
      <c r="A15" s="3"/>
      <c r="B15" s="572">
        <v>7</v>
      </c>
      <c r="C15" s="564"/>
      <c r="D15" s="569">
        <v>18896</v>
      </c>
      <c r="E15" s="570">
        <v>35595</v>
      </c>
      <c r="F15" s="564"/>
      <c r="G15" s="569">
        <f t="shared" si="0"/>
        <v>35595</v>
      </c>
      <c r="H15" s="570">
        <v>52294</v>
      </c>
      <c r="I15" s="564"/>
      <c r="J15" s="569">
        <f t="shared" si="1"/>
        <v>52294</v>
      </c>
      <c r="K15" s="570">
        <v>68992</v>
      </c>
      <c r="L15" s="577"/>
      <c r="M15" s="586"/>
      <c r="N15" s="586"/>
      <c r="O15" s="586"/>
      <c r="P15" s="586"/>
      <c r="Q15" s="586"/>
      <c r="R15" s="1"/>
      <c r="S15" s="1"/>
      <c r="T15" s="1"/>
      <c r="U15" s="1"/>
    </row>
    <row r="16" spans="1:21" x14ac:dyDescent="0.3">
      <c r="A16" s="3"/>
      <c r="B16" s="572">
        <v>8</v>
      </c>
      <c r="C16" s="564"/>
      <c r="D16" s="569">
        <v>20776</v>
      </c>
      <c r="E16" s="570">
        <v>39137</v>
      </c>
      <c r="F16" s="564"/>
      <c r="G16" s="569">
        <f t="shared" si="0"/>
        <v>39137</v>
      </c>
      <c r="H16" s="570">
        <v>57498</v>
      </c>
      <c r="I16" s="564"/>
      <c r="J16" s="569">
        <f t="shared" si="1"/>
        <v>57498</v>
      </c>
      <c r="K16" s="570">
        <v>75857</v>
      </c>
      <c r="L16" s="577"/>
      <c r="M16" s="586"/>
      <c r="N16" s="586"/>
      <c r="O16" s="586"/>
      <c r="P16" s="586"/>
      <c r="Q16" s="586"/>
      <c r="R16" s="1"/>
      <c r="S16" s="1"/>
      <c r="T16" s="1"/>
      <c r="U16" s="1"/>
    </row>
    <row r="17" spans="1:21" ht="15.2" thickBot="1" x14ac:dyDescent="0.35">
      <c r="A17" s="3"/>
      <c r="B17" s="573">
        <v>9</v>
      </c>
      <c r="C17" s="564"/>
      <c r="D17" s="574">
        <v>22584</v>
      </c>
      <c r="E17" s="575">
        <v>42542</v>
      </c>
      <c r="F17" s="564"/>
      <c r="G17" s="574">
        <f t="shared" si="0"/>
        <v>42542</v>
      </c>
      <c r="H17" s="575">
        <v>62501</v>
      </c>
      <c r="I17" s="564"/>
      <c r="J17" s="574">
        <f t="shared" si="1"/>
        <v>62501</v>
      </c>
      <c r="K17" s="575">
        <v>82459</v>
      </c>
      <c r="L17" s="577"/>
      <c r="M17" s="586"/>
      <c r="N17" s="586"/>
      <c r="O17" s="586"/>
      <c r="P17" s="586"/>
      <c r="Q17" s="586"/>
      <c r="R17" s="1"/>
      <c r="S17" s="1"/>
      <c r="T17" s="1"/>
      <c r="U17" s="1"/>
    </row>
    <row r="18" spans="1:21" x14ac:dyDescent="0.3">
      <c r="A18" s="3"/>
      <c r="B18" s="579">
        <v>10</v>
      </c>
      <c r="C18" s="564"/>
      <c r="D18" s="463">
        <v>24330</v>
      </c>
      <c r="E18" s="464">
        <v>45830</v>
      </c>
      <c r="F18" s="564"/>
      <c r="G18" s="463">
        <f t="shared" si="0"/>
        <v>45830</v>
      </c>
      <c r="H18" s="464">
        <v>67331</v>
      </c>
      <c r="I18" s="564"/>
      <c r="J18" s="463">
        <f t="shared" si="1"/>
        <v>67331</v>
      </c>
      <c r="K18" s="464">
        <v>88831</v>
      </c>
      <c r="L18" s="577"/>
      <c r="M18" s="586"/>
      <c r="N18" s="586"/>
      <c r="O18" s="586"/>
      <c r="P18" s="586"/>
      <c r="Q18" s="586"/>
      <c r="R18" s="1"/>
      <c r="S18" s="1"/>
      <c r="T18" s="1"/>
      <c r="U18" s="1"/>
    </row>
    <row r="19" spans="1:21" x14ac:dyDescent="0.3">
      <c r="A19" s="3"/>
      <c r="B19" s="572">
        <v>15</v>
      </c>
      <c r="C19" s="564"/>
      <c r="D19" s="569">
        <v>32325</v>
      </c>
      <c r="E19" s="570">
        <v>60892</v>
      </c>
      <c r="F19" s="564"/>
      <c r="G19" s="569">
        <f t="shared" si="0"/>
        <v>60892</v>
      </c>
      <c r="H19" s="570">
        <v>89458</v>
      </c>
      <c r="I19" s="564"/>
      <c r="J19" s="569">
        <f t="shared" si="1"/>
        <v>89458</v>
      </c>
      <c r="K19" s="570">
        <v>118025</v>
      </c>
      <c r="L19" s="577"/>
      <c r="M19" s="586"/>
      <c r="N19" s="586"/>
      <c r="O19" s="586"/>
      <c r="P19" s="586"/>
      <c r="Q19" s="586"/>
      <c r="R19" s="1"/>
      <c r="S19" s="1"/>
      <c r="T19" s="1"/>
      <c r="U19" s="1"/>
    </row>
    <row r="20" spans="1:21" x14ac:dyDescent="0.3">
      <c r="A20" s="3"/>
      <c r="B20" s="572">
        <v>20</v>
      </c>
      <c r="C20" s="564"/>
      <c r="D20" s="569">
        <v>39428</v>
      </c>
      <c r="E20" s="570">
        <v>74270</v>
      </c>
      <c r="F20" s="564"/>
      <c r="G20" s="569">
        <f t="shared" si="0"/>
        <v>74270</v>
      </c>
      <c r="H20" s="570">
        <v>109113</v>
      </c>
      <c r="I20" s="564"/>
      <c r="J20" s="569">
        <f t="shared" si="1"/>
        <v>109113</v>
      </c>
      <c r="K20" s="570">
        <v>143956</v>
      </c>
      <c r="L20" s="577"/>
      <c r="M20" s="586"/>
      <c r="N20" s="586"/>
      <c r="O20" s="586"/>
      <c r="P20" s="586"/>
      <c r="Q20" s="586"/>
      <c r="R20" s="1"/>
      <c r="S20" s="1"/>
      <c r="T20" s="1"/>
      <c r="U20" s="1"/>
    </row>
    <row r="21" spans="1:21" x14ac:dyDescent="0.3">
      <c r="A21" s="3"/>
      <c r="B21" s="572">
        <v>25</v>
      </c>
      <c r="C21" s="564"/>
      <c r="D21" s="569">
        <v>46385</v>
      </c>
      <c r="E21" s="570">
        <v>87376</v>
      </c>
      <c r="F21" s="564"/>
      <c r="G21" s="569">
        <f t="shared" si="0"/>
        <v>87376</v>
      </c>
      <c r="H21" s="570">
        <v>128366</v>
      </c>
      <c r="I21" s="564"/>
      <c r="J21" s="569">
        <f t="shared" si="1"/>
        <v>128366</v>
      </c>
      <c r="K21" s="570">
        <v>169357</v>
      </c>
      <c r="L21" s="577"/>
      <c r="M21" s="586"/>
      <c r="N21" s="586"/>
      <c r="O21" s="586"/>
      <c r="P21" s="586"/>
      <c r="Q21" s="586"/>
      <c r="R21" s="1"/>
      <c r="S21" s="1"/>
      <c r="T21" s="1"/>
      <c r="U21" s="1"/>
    </row>
    <row r="22" spans="1:21" ht="15.2" thickBot="1" x14ac:dyDescent="0.35">
      <c r="A22" s="3"/>
      <c r="B22" s="573">
        <v>30</v>
      </c>
      <c r="C22" s="564"/>
      <c r="D22" s="574">
        <v>52975</v>
      </c>
      <c r="E22" s="575">
        <v>99791</v>
      </c>
      <c r="F22" s="564"/>
      <c r="G22" s="574">
        <f t="shared" si="0"/>
        <v>99791</v>
      </c>
      <c r="H22" s="575">
        <v>146606</v>
      </c>
      <c r="I22" s="564"/>
      <c r="J22" s="574">
        <f t="shared" si="1"/>
        <v>146606</v>
      </c>
      <c r="K22" s="575">
        <v>193422</v>
      </c>
      <c r="L22" s="577"/>
      <c r="M22" s="586"/>
      <c r="N22" s="586"/>
      <c r="O22" s="586"/>
      <c r="P22" s="586"/>
      <c r="Q22" s="586"/>
      <c r="R22" s="1"/>
      <c r="S22" s="1"/>
      <c r="T22" s="1"/>
      <c r="U22" s="1"/>
    </row>
    <row r="23" spans="1:21" x14ac:dyDescent="0.3">
      <c r="A23" s="3"/>
      <c r="B23" s="579">
        <v>40</v>
      </c>
      <c r="C23" s="564"/>
      <c r="D23" s="463">
        <v>65342</v>
      </c>
      <c r="E23" s="464">
        <v>123086</v>
      </c>
      <c r="F23" s="564"/>
      <c r="G23" s="463">
        <f t="shared" si="0"/>
        <v>123086</v>
      </c>
      <c r="H23" s="464">
        <v>180830</v>
      </c>
      <c r="I23" s="564"/>
      <c r="J23" s="463">
        <f t="shared" si="1"/>
        <v>180830</v>
      </c>
      <c r="K23" s="464">
        <v>238574</v>
      </c>
      <c r="L23" s="577"/>
      <c r="M23" s="586"/>
      <c r="N23" s="586"/>
      <c r="O23" s="586"/>
      <c r="P23" s="586"/>
      <c r="Q23" s="586"/>
      <c r="R23" s="1"/>
      <c r="S23" s="1"/>
      <c r="T23" s="1"/>
      <c r="U23" s="1"/>
    </row>
    <row r="24" spans="1:21" x14ac:dyDescent="0.3">
      <c r="A24" s="3"/>
      <c r="B24" s="572">
        <v>50</v>
      </c>
      <c r="C24" s="564"/>
      <c r="D24" s="569">
        <v>76901</v>
      </c>
      <c r="E24" s="570">
        <v>144860</v>
      </c>
      <c r="F24" s="564"/>
      <c r="G24" s="569">
        <f t="shared" si="0"/>
        <v>144860</v>
      </c>
      <c r="H24" s="570">
        <v>212819</v>
      </c>
      <c r="I24" s="564"/>
      <c r="J24" s="569">
        <f t="shared" si="1"/>
        <v>212819</v>
      </c>
      <c r="K24" s="570">
        <v>280778</v>
      </c>
      <c r="L24" s="577"/>
      <c r="M24" s="586"/>
      <c r="N24" s="586"/>
      <c r="O24" s="586"/>
      <c r="P24" s="586"/>
      <c r="Q24" s="586"/>
      <c r="R24" s="1"/>
      <c r="S24" s="1"/>
      <c r="T24" s="1"/>
      <c r="U24" s="1"/>
    </row>
    <row r="25" spans="1:21" x14ac:dyDescent="0.3">
      <c r="A25" s="3"/>
      <c r="B25" s="572">
        <v>60</v>
      </c>
      <c r="C25" s="564"/>
      <c r="D25" s="569">
        <v>87599</v>
      </c>
      <c r="E25" s="570">
        <v>165012</v>
      </c>
      <c r="F25" s="564"/>
      <c r="G25" s="569">
        <f t="shared" si="0"/>
        <v>165012</v>
      </c>
      <c r="H25" s="570">
        <v>242425</v>
      </c>
      <c r="I25" s="564"/>
      <c r="J25" s="569">
        <f t="shared" si="1"/>
        <v>242425</v>
      </c>
      <c r="K25" s="570">
        <v>319838</v>
      </c>
      <c r="L25" s="577"/>
      <c r="M25" s="586"/>
      <c r="N25" s="586"/>
      <c r="O25" s="586"/>
      <c r="P25" s="586"/>
      <c r="Q25" s="586"/>
      <c r="R25" s="1"/>
      <c r="S25" s="1"/>
      <c r="T25" s="1"/>
      <c r="U25" s="1"/>
    </row>
    <row r="26" spans="1:21" x14ac:dyDescent="0.3">
      <c r="A26" s="3"/>
      <c r="B26" s="572">
        <v>80</v>
      </c>
      <c r="C26" s="564"/>
      <c r="D26" s="569">
        <v>107471</v>
      </c>
      <c r="E26" s="570">
        <v>202445</v>
      </c>
      <c r="F26" s="564"/>
      <c r="G26" s="569">
        <f t="shared" si="0"/>
        <v>202445</v>
      </c>
      <c r="H26" s="570">
        <v>297419</v>
      </c>
      <c r="I26" s="564"/>
      <c r="J26" s="569">
        <f t="shared" si="1"/>
        <v>297419</v>
      </c>
      <c r="K26" s="570">
        <v>392393</v>
      </c>
      <c r="L26" s="577"/>
      <c r="M26" s="586"/>
      <c r="N26" s="586"/>
      <c r="O26" s="586"/>
      <c r="P26" s="586"/>
      <c r="Q26" s="586"/>
      <c r="R26" s="1"/>
      <c r="S26" s="1"/>
      <c r="T26" s="1"/>
      <c r="U26" s="1"/>
    </row>
    <row r="27" spans="1:21" ht="15.2" thickBot="1" x14ac:dyDescent="0.35">
      <c r="A27" s="3"/>
      <c r="B27" s="581">
        <v>100</v>
      </c>
      <c r="C27" s="564"/>
      <c r="D27" s="582">
        <v>125791</v>
      </c>
      <c r="E27" s="583">
        <v>236955</v>
      </c>
      <c r="F27" s="564"/>
      <c r="G27" s="582">
        <f>E27</f>
        <v>236955</v>
      </c>
      <c r="H27" s="583">
        <v>348119</v>
      </c>
      <c r="I27" s="564"/>
      <c r="J27" s="582">
        <f t="shared" si="1"/>
        <v>348119</v>
      </c>
      <c r="K27" s="583">
        <v>459282</v>
      </c>
      <c r="L27" s="577"/>
      <c r="M27" s="586"/>
      <c r="N27" s="586"/>
      <c r="O27" s="586"/>
      <c r="P27" s="586"/>
      <c r="Q27" s="586"/>
      <c r="R27" s="1"/>
      <c r="S27" s="1"/>
      <c r="T27" s="1"/>
      <c r="U27" s="1"/>
    </row>
    <row r="28" spans="1:21" x14ac:dyDescent="0.3">
      <c r="A28" s="2"/>
      <c r="B28" s="2"/>
      <c r="C28" s="2"/>
      <c r="D28" s="2"/>
      <c r="E28" s="2"/>
      <c r="F28" s="2"/>
      <c r="G28" s="2"/>
      <c r="H28" s="2"/>
      <c r="I28" s="2"/>
      <c r="J28" s="2"/>
      <c r="K28" s="2"/>
      <c r="L28" s="2"/>
      <c r="M28" s="2"/>
      <c r="N28" s="2"/>
      <c r="O28" s="2"/>
      <c r="P28" s="2"/>
      <c r="Q28" s="2"/>
      <c r="R28" s="1"/>
      <c r="S28" s="1"/>
      <c r="T28" s="1"/>
      <c r="U28" s="1"/>
    </row>
    <row r="29" spans="1:21" x14ac:dyDescent="0.3">
      <c r="A29" s="2"/>
      <c r="B29" s="10" t="s">
        <v>538</v>
      </c>
      <c r="C29" s="2"/>
      <c r="D29" s="2"/>
      <c r="E29" s="8"/>
      <c r="F29" s="2"/>
      <c r="G29" s="2"/>
      <c r="H29" s="8"/>
      <c r="I29" s="2"/>
      <c r="J29" s="2"/>
      <c r="K29" s="2"/>
      <c r="L29" s="2"/>
      <c r="M29" s="2"/>
      <c r="N29" s="2"/>
      <c r="O29" s="2"/>
      <c r="P29" s="2"/>
      <c r="Q29" s="2"/>
      <c r="R29" s="1"/>
      <c r="S29" s="1"/>
      <c r="T29" s="1"/>
      <c r="U29" s="1"/>
    </row>
    <row r="30" spans="1:21" x14ac:dyDescent="0.3">
      <c r="A30" s="2"/>
      <c r="B30" s="2"/>
      <c r="C30" s="2"/>
      <c r="D30" s="2"/>
      <c r="E30" s="8"/>
      <c r="F30" s="2"/>
      <c r="G30" s="2"/>
      <c r="H30" s="8"/>
      <c r="I30" s="2"/>
      <c r="J30" s="2"/>
      <c r="K30" s="2"/>
      <c r="L30" s="2"/>
      <c r="M30" s="2"/>
      <c r="N30" s="2"/>
      <c r="O30" s="2"/>
      <c r="P30" s="2"/>
      <c r="Q30" s="2"/>
      <c r="R30" s="1"/>
      <c r="S30" s="1"/>
      <c r="T30" s="1"/>
      <c r="U30" s="1"/>
    </row>
    <row r="31" spans="1:21" x14ac:dyDescent="0.3">
      <c r="A31" s="2"/>
      <c r="B31" s="2"/>
      <c r="C31" s="2"/>
      <c r="D31" s="1947"/>
      <c r="E31" s="1947"/>
      <c r="F31" s="1947"/>
      <c r="G31" s="1947"/>
      <c r="H31" s="1947"/>
      <c r="I31" s="11"/>
      <c r="J31" s="17"/>
      <c r="K31" s="17"/>
      <c r="L31" s="17"/>
      <c r="M31" s="17"/>
      <c r="N31" s="17"/>
      <c r="O31" s="2"/>
      <c r="P31" s="2"/>
      <c r="Q31" s="2"/>
      <c r="R31" s="1"/>
      <c r="S31" s="1"/>
      <c r="T31" s="1"/>
      <c r="U31" s="1"/>
    </row>
    <row r="32" spans="1:21" x14ac:dyDescent="0.3">
      <c r="A32" s="2"/>
      <c r="B32" s="2"/>
      <c r="C32" s="2"/>
      <c r="D32" s="2"/>
      <c r="E32" s="8"/>
      <c r="F32" s="2"/>
      <c r="G32" s="2"/>
      <c r="H32" s="8"/>
      <c r="I32" s="2"/>
      <c r="J32" s="2"/>
      <c r="K32" s="2"/>
      <c r="L32" s="2"/>
      <c r="M32" s="2"/>
      <c r="N32" s="2"/>
      <c r="O32" s="2"/>
      <c r="P32" s="2"/>
      <c r="Q32" s="2"/>
      <c r="R32" s="1"/>
      <c r="S32" s="1"/>
      <c r="T32" s="1"/>
      <c r="U32" s="1"/>
    </row>
    <row r="33" spans="1:32" x14ac:dyDescent="0.3">
      <c r="A33" s="2"/>
      <c r="B33" s="113"/>
      <c r="C33" s="555"/>
      <c r="D33" s="1948" t="s">
        <v>316</v>
      </c>
      <c r="E33" s="551">
        <v>1</v>
      </c>
      <c r="F33" s="555"/>
      <c r="G33" s="1948" t="s">
        <v>317</v>
      </c>
      <c r="H33" s="551" t="s">
        <v>135</v>
      </c>
      <c r="I33" s="555"/>
      <c r="J33" s="113"/>
      <c r="K33" s="562"/>
      <c r="L33" s="555"/>
      <c r="M33" s="2"/>
      <c r="N33" s="18"/>
      <c r="O33" s="4"/>
      <c r="P33" s="3"/>
      <c r="Q33" s="3"/>
      <c r="R33" s="1"/>
      <c r="S33" s="1"/>
      <c r="T33" s="1"/>
      <c r="U33" s="1"/>
    </row>
    <row r="34" spans="1:32" x14ac:dyDescent="0.3">
      <c r="A34" s="2"/>
      <c r="B34" s="113"/>
      <c r="C34" s="555"/>
      <c r="D34" s="1948"/>
      <c r="E34" s="551">
        <v>2</v>
      </c>
      <c r="F34" s="555"/>
      <c r="G34" s="1948"/>
      <c r="H34" s="551" t="s">
        <v>318</v>
      </c>
      <c r="I34" s="555"/>
      <c r="J34" s="113"/>
      <c r="K34" s="562"/>
      <c r="L34" s="555"/>
      <c r="M34" s="2"/>
      <c r="N34" s="18"/>
      <c r="O34" s="4"/>
      <c r="P34" s="3"/>
      <c r="Q34" s="3"/>
      <c r="R34" s="1"/>
      <c r="S34" s="1"/>
      <c r="T34" s="1"/>
      <c r="U34" s="1"/>
    </row>
    <row r="35" spans="1:32" x14ac:dyDescent="0.3">
      <c r="A35" s="2"/>
      <c r="B35" s="113"/>
      <c r="C35" s="113"/>
      <c r="D35" s="1948"/>
      <c r="E35" s="551">
        <v>3</v>
      </c>
      <c r="F35" s="113"/>
      <c r="G35" s="1948"/>
      <c r="H35" s="551" t="s">
        <v>319</v>
      </c>
      <c r="I35" s="113"/>
      <c r="J35" s="113"/>
      <c r="K35" s="562"/>
      <c r="L35" s="113"/>
      <c r="M35" s="2"/>
      <c r="N35" s="18"/>
      <c r="O35" s="113"/>
      <c r="P35" s="2"/>
      <c r="Q35" s="2"/>
      <c r="R35" s="1"/>
      <c r="S35" s="1"/>
      <c r="T35" s="1"/>
      <c r="U35" s="1"/>
    </row>
    <row r="36" spans="1:32" x14ac:dyDescent="0.3">
      <c r="A36" s="2"/>
      <c r="B36" s="113"/>
      <c r="C36" s="113"/>
      <c r="D36" s="1948"/>
      <c r="E36" s="551">
        <v>4</v>
      </c>
      <c r="F36" s="113"/>
      <c r="G36" s="1948"/>
      <c r="H36" s="551" t="s">
        <v>320</v>
      </c>
      <c r="I36" s="113"/>
      <c r="J36" s="113"/>
      <c r="K36" s="562"/>
      <c r="L36" s="113"/>
      <c r="M36" s="2"/>
      <c r="N36" s="19"/>
      <c r="O36" s="113"/>
      <c r="P36" s="2"/>
      <c r="Q36" s="2"/>
      <c r="R36" s="1"/>
      <c r="S36" s="1"/>
      <c r="T36" s="1"/>
      <c r="U36" s="1"/>
      <c r="V36" s="112"/>
      <c r="W36" s="112"/>
      <c r="X36" s="112"/>
      <c r="Y36" s="112"/>
      <c r="Z36" s="112"/>
      <c r="AA36" s="112"/>
      <c r="AB36" s="112"/>
      <c r="AC36" s="112"/>
      <c r="AD36" s="112"/>
      <c r="AE36" s="112"/>
      <c r="AF36" s="112"/>
    </row>
    <row r="37" spans="1:32" x14ac:dyDescent="0.3">
      <c r="A37" s="2"/>
      <c r="B37" s="113"/>
      <c r="C37" s="113"/>
      <c r="D37" s="1948"/>
      <c r="E37" s="551">
        <v>5</v>
      </c>
      <c r="F37" s="113"/>
      <c r="G37" s="1948"/>
      <c r="H37" s="551" t="s">
        <v>321</v>
      </c>
      <c r="I37" s="113"/>
      <c r="J37" s="113"/>
      <c r="K37" s="562"/>
      <c r="L37" s="113"/>
      <c r="M37" s="2"/>
      <c r="N37" s="19"/>
      <c r="O37" s="113"/>
      <c r="P37" s="2"/>
      <c r="Q37" s="2"/>
      <c r="R37" s="1"/>
      <c r="S37" s="1"/>
      <c r="T37" s="1"/>
      <c r="U37" s="1"/>
      <c r="V37" s="112"/>
      <c r="W37" s="112"/>
      <c r="X37" s="112"/>
      <c r="Y37" s="112"/>
      <c r="Z37" s="112"/>
      <c r="AA37" s="112"/>
      <c r="AB37" s="112"/>
      <c r="AC37" s="112"/>
      <c r="AD37" s="112"/>
      <c r="AE37" s="112"/>
      <c r="AF37" s="112"/>
    </row>
    <row r="38" spans="1:32" ht="15.2" thickBot="1" x14ac:dyDescent="0.35">
      <c r="A38" s="1"/>
      <c r="B38" s="544"/>
      <c r="C38" s="544"/>
      <c r="D38" s="544"/>
      <c r="E38" s="544"/>
      <c r="F38" s="544"/>
      <c r="G38" s="1949" t="s">
        <v>690</v>
      </c>
      <c r="H38" s="1949"/>
      <c r="I38" s="1944"/>
      <c r="J38" s="1944"/>
      <c r="K38" s="1944"/>
      <c r="L38" s="1944"/>
      <c r="N38" s="1"/>
      <c r="O38" s="112"/>
      <c r="P38" s="1"/>
      <c r="Q38" s="1"/>
      <c r="R38" s="1"/>
      <c r="S38" s="1"/>
      <c r="T38" s="1"/>
      <c r="U38" s="1"/>
      <c r="V38" s="112"/>
      <c r="W38" s="112"/>
      <c r="X38" s="112"/>
      <c r="Y38" s="112"/>
      <c r="Z38" s="112"/>
      <c r="AA38" s="112"/>
      <c r="AB38" s="112"/>
      <c r="AC38" s="112"/>
      <c r="AD38" s="112"/>
      <c r="AE38" s="112"/>
      <c r="AF38" s="112"/>
    </row>
    <row r="39" spans="1:32" ht="15.2" thickBot="1" x14ac:dyDescent="0.35">
      <c r="A39" s="1"/>
      <c r="B39" s="1950" t="s">
        <v>325</v>
      </c>
      <c r="C39" s="1951"/>
      <c r="D39" s="1951"/>
      <c r="E39" s="1952"/>
      <c r="F39" s="113"/>
      <c r="G39" s="1953">
        <f>Bebauungsplan!B7</f>
        <v>0</v>
      </c>
      <c r="H39" s="1954"/>
      <c r="I39" s="1955">
        <f>'Bauphysik - Raumakustik'!L8</f>
        <v>0</v>
      </c>
      <c r="J39" s="1956"/>
      <c r="K39" s="1955">
        <f>'Bauphysik - Raumakustik'!P8</f>
        <v>0</v>
      </c>
      <c r="L39" s="1956"/>
      <c r="M39" s="20"/>
      <c r="N39" s="20"/>
      <c r="O39" s="112"/>
      <c r="P39" s="1"/>
      <c r="Q39" s="1"/>
      <c r="R39" s="1"/>
      <c r="S39" s="1"/>
      <c r="T39" s="1"/>
      <c r="U39" s="1"/>
      <c r="V39" s="112"/>
      <c r="W39" s="112"/>
      <c r="X39" s="112"/>
      <c r="Y39" s="112"/>
      <c r="Z39" s="112"/>
      <c r="AA39" s="112"/>
      <c r="AB39" s="112"/>
      <c r="AC39" s="112"/>
      <c r="AD39" s="112"/>
      <c r="AE39" s="112"/>
      <c r="AF39" s="112"/>
    </row>
    <row r="40" spans="1:32" x14ac:dyDescent="0.3">
      <c r="A40" s="1"/>
      <c r="B40" s="2"/>
      <c r="C40" s="2"/>
      <c r="D40" s="2"/>
      <c r="E40" s="2"/>
      <c r="F40" s="2"/>
      <c r="G40" s="2"/>
      <c r="H40" s="2"/>
      <c r="M40" s="2"/>
      <c r="N40" s="2"/>
      <c r="O40" s="112"/>
      <c r="P40" s="1"/>
      <c r="Q40" s="1"/>
      <c r="R40" s="1"/>
      <c r="S40" s="1"/>
      <c r="T40" s="1"/>
      <c r="U40" s="1"/>
      <c r="V40" s="112"/>
      <c r="W40" s="112"/>
      <c r="X40" s="112"/>
      <c r="Y40" s="112"/>
      <c r="Z40" s="112"/>
      <c r="AA40" s="112"/>
      <c r="AB40" s="112"/>
      <c r="AC40" s="112"/>
      <c r="AD40" s="112"/>
      <c r="AE40" s="112"/>
      <c r="AF40" s="112"/>
    </row>
    <row r="41" spans="1:32" x14ac:dyDescent="0.3">
      <c r="A41" s="1"/>
      <c r="B41" s="10"/>
      <c r="C41" s="2"/>
      <c r="D41" s="2"/>
      <c r="E41" s="2"/>
      <c r="F41" s="2"/>
      <c r="G41" s="2"/>
      <c r="H41" s="2"/>
      <c r="M41" s="2"/>
      <c r="N41" s="2"/>
      <c r="O41" s="112"/>
      <c r="P41" s="1"/>
      <c r="Q41" s="1"/>
      <c r="R41" s="1"/>
      <c r="S41" s="1"/>
      <c r="T41" s="1"/>
      <c r="U41" s="1"/>
      <c r="V41" s="112"/>
      <c r="W41" s="112"/>
      <c r="X41" s="112"/>
      <c r="Y41" s="112"/>
      <c r="Z41" s="112"/>
      <c r="AA41" s="112"/>
      <c r="AB41" s="112"/>
      <c r="AC41" s="112"/>
      <c r="AD41" s="112"/>
      <c r="AE41" s="112"/>
      <c r="AF41" s="112"/>
    </row>
    <row r="42" spans="1:32" x14ac:dyDescent="0.3">
      <c r="A42" s="1"/>
      <c r="B42" s="2"/>
      <c r="C42" s="2"/>
      <c r="D42" s="2"/>
      <c r="E42" s="2"/>
      <c r="F42" s="2"/>
      <c r="G42" s="2"/>
      <c r="H42" s="2"/>
      <c r="M42" s="2"/>
      <c r="N42" s="2"/>
      <c r="O42" s="112"/>
      <c r="P42" s="1"/>
      <c r="Q42" s="1"/>
      <c r="R42" s="1"/>
      <c r="S42" s="1"/>
      <c r="T42" s="1"/>
      <c r="U42" s="1"/>
      <c r="V42" s="112"/>
      <c r="W42" s="112"/>
      <c r="X42" s="112"/>
      <c r="Y42" s="112"/>
      <c r="Z42" s="112"/>
      <c r="AA42" s="112"/>
      <c r="AB42" s="112"/>
      <c r="AC42" s="112"/>
      <c r="AD42" s="112"/>
      <c r="AE42" s="112"/>
      <c r="AF42" s="112"/>
    </row>
    <row r="43" spans="1:32" x14ac:dyDescent="0.3">
      <c r="A43" s="1"/>
      <c r="B43" s="1957" t="s">
        <v>316</v>
      </c>
      <c r="C43" s="1958"/>
      <c r="D43" s="1958"/>
      <c r="E43" s="1959"/>
      <c r="F43" s="37"/>
      <c r="G43" s="1960">
        <f>Bebauungsplan!F12</f>
        <v>3</v>
      </c>
      <c r="H43" s="1961"/>
      <c r="K43" s="21"/>
      <c r="M43" s="121"/>
      <c r="N43" s="121"/>
      <c r="O43" s="112"/>
      <c r="P43" s="1"/>
      <c r="Q43" s="1"/>
      <c r="R43" s="1"/>
      <c r="S43" s="1"/>
      <c r="T43" s="1"/>
      <c r="U43" s="1"/>
      <c r="V43" s="112"/>
      <c r="W43" s="112"/>
      <c r="X43" s="112"/>
      <c r="Y43" s="112"/>
      <c r="Z43" s="112"/>
      <c r="AA43" s="112"/>
      <c r="AB43" s="112"/>
      <c r="AC43" s="112"/>
      <c r="AD43" s="112"/>
      <c r="AE43" s="112"/>
      <c r="AF43" s="112"/>
    </row>
    <row r="44" spans="1:32" x14ac:dyDescent="0.3">
      <c r="A44" s="1"/>
      <c r="B44" s="1957" t="s">
        <v>317</v>
      </c>
      <c r="C44" s="1958"/>
      <c r="D44" s="1958"/>
      <c r="E44" s="1959"/>
      <c r="F44" s="37"/>
      <c r="G44" s="1960" t="str">
        <f>Bebauungsplan!F13</f>
        <v>Oberer Honorarsatz</v>
      </c>
      <c r="H44" s="1961"/>
      <c r="M44" s="121"/>
      <c r="N44" s="121"/>
      <c r="O44" s="112"/>
      <c r="P44" s="1"/>
      <c r="Q44" s="1"/>
      <c r="R44" s="1"/>
      <c r="S44" s="1"/>
      <c r="T44" s="1"/>
      <c r="U44" s="1"/>
      <c r="V44" s="112"/>
      <c r="W44" s="112"/>
      <c r="X44" s="112"/>
      <c r="Y44" s="112"/>
      <c r="Z44" s="112"/>
      <c r="AA44" s="112"/>
      <c r="AB44" s="112"/>
      <c r="AC44" s="112"/>
      <c r="AD44" s="112"/>
      <c r="AE44" s="112"/>
      <c r="AF44" s="112"/>
    </row>
    <row r="45" spans="1:32" x14ac:dyDescent="0.3">
      <c r="A45" s="1"/>
      <c r="B45" s="2"/>
      <c r="C45" s="2"/>
      <c r="D45" s="2"/>
      <c r="E45" s="2"/>
      <c r="F45" s="2"/>
      <c r="G45" s="2"/>
      <c r="H45" s="2"/>
      <c r="N45" s="1"/>
      <c r="O45" s="112"/>
      <c r="P45" s="1"/>
      <c r="Q45" s="1"/>
      <c r="R45" s="1"/>
      <c r="S45" s="1"/>
      <c r="T45" s="1"/>
      <c r="U45" s="1"/>
      <c r="V45" s="112"/>
      <c r="W45" s="112"/>
      <c r="X45" s="112"/>
      <c r="Y45" s="112"/>
      <c r="Z45" s="112"/>
      <c r="AA45" s="112"/>
      <c r="AB45" s="112"/>
      <c r="AC45" s="112"/>
      <c r="AD45" s="112"/>
      <c r="AE45" s="112"/>
      <c r="AF45" s="112"/>
    </row>
    <row r="46" spans="1:32" x14ac:dyDescent="0.3">
      <c r="A46" s="1"/>
      <c r="B46" s="2"/>
      <c r="C46" s="2"/>
      <c r="D46" s="2"/>
      <c r="E46" s="2"/>
      <c r="F46" s="2"/>
      <c r="G46" s="2"/>
      <c r="H46" s="2"/>
      <c r="N46" s="1"/>
      <c r="O46" s="112"/>
      <c r="P46" s="1"/>
      <c r="Q46" s="1"/>
      <c r="R46" s="1"/>
      <c r="S46" s="1"/>
      <c r="T46" s="1"/>
      <c r="U46" s="1"/>
      <c r="V46" s="112"/>
      <c r="W46" s="112"/>
      <c r="X46" s="112"/>
      <c r="Y46" s="112"/>
      <c r="Z46" s="112"/>
      <c r="AA46" s="112"/>
      <c r="AB46" s="112"/>
      <c r="AC46" s="112"/>
      <c r="AD46" s="112"/>
      <c r="AE46" s="112"/>
      <c r="AF46" s="112"/>
    </row>
    <row r="47" spans="1:32" x14ac:dyDescent="0.3">
      <c r="A47" s="1"/>
      <c r="B47" s="10" t="s">
        <v>326</v>
      </c>
      <c r="C47" s="2"/>
      <c r="D47" s="2"/>
      <c r="E47" s="2"/>
      <c r="F47" s="2"/>
      <c r="G47" s="2"/>
      <c r="H47" s="2"/>
      <c r="N47" s="1"/>
      <c r="O47" s="112"/>
      <c r="P47" s="1"/>
      <c r="Q47" s="1"/>
      <c r="R47" s="1"/>
      <c r="S47" s="1"/>
      <c r="T47" s="1"/>
      <c r="U47" s="1"/>
      <c r="V47" s="112"/>
      <c r="W47" s="112"/>
      <c r="X47" s="112"/>
      <c r="Y47" s="112"/>
      <c r="Z47" s="112"/>
      <c r="AA47" s="112"/>
      <c r="AB47" s="112"/>
      <c r="AC47" s="112"/>
      <c r="AD47" s="112"/>
      <c r="AE47" s="112"/>
      <c r="AF47" s="112"/>
    </row>
    <row r="48" spans="1:32" x14ac:dyDescent="0.3">
      <c r="A48" s="1"/>
      <c r="B48" s="2"/>
      <c r="C48" s="2"/>
      <c r="D48" s="2"/>
      <c r="E48" s="2"/>
      <c r="F48" s="2"/>
      <c r="G48" s="1962" t="s">
        <v>322</v>
      </c>
      <c r="H48" s="1962"/>
      <c r="I48" s="1963" t="s">
        <v>323</v>
      </c>
      <c r="J48" s="1963"/>
      <c r="K48" s="1964" t="s">
        <v>324</v>
      </c>
      <c r="L48" s="1964"/>
      <c r="M48" s="1964"/>
      <c r="N48" s="1"/>
      <c r="O48" s="112"/>
      <c r="P48" s="1"/>
      <c r="Q48" s="1"/>
      <c r="R48" s="1"/>
      <c r="S48" s="1"/>
      <c r="T48" s="1"/>
      <c r="U48" s="1"/>
      <c r="V48" s="112"/>
      <c r="W48" s="112"/>
      <c r="X48" s="112"/>
      <c r="Y48" s="112"/>
      <c r="Z48" s="112"/>
      <c r="AA48" s="112"/>
      <c r="AB48" s="112"/>
      <c r="AC48" s="112"/>
      <c r="AD48" s="112"/>
      <c r="AE48" s="112"/>
      <c r="AF48" s="112"/>
    </row>
    <row r="49" spans="1:32" x14ac:dyDescent="0.3">
      <c r="A49" s="1"/>
      <c r="B49" s="1967" t="s">
        <v>327</v>
      </c>
      <c r="C49" s="1967"/>
      <c r="D49" s="1967"/>
      <c r="E49" s="1968" t="s">
        <v>316</v>
      </c>
      <c r="F49" s="5"/>
      <c r="G49" s="26" t="s">
        <v>328</v>
      </c>
      <c r="H49" s="27">
        <f>IF($G$39&lt;$B$8,0,IF($G$39&gt;$B$27,0,VLOOKUP($G$39,$B$8:$B$27,1)))</f>
        <v>0</v>
      </c>
      <c r="I49" s="30" t="s">
        <v>328</v>
      </c>
      <c r="J49" s="31">
        <f>IF($I$39&lt;$B$8,0,IF($I$39&gt;$B$27,0,VLOOKUP($I$39,$B$8:$B$27,1)))</f>
        <v>0</v>
      </c>
      <c r="K49" s="34" t="s">
        <v>328</v>
      </c>
      <c r="L49" s="1970">
        <f>IF($K$39&lt;$B$8,0,IF($K$39&gt;$B$27,0,VLOOKUP(K39,B8:B27,1)))</f>
        <v>0</v>
      </c>
      <c r="M49" s="1971"/>
      <c r="N49" s="5"/>
      <c r="O49" s="112"/>
      <c r="P49" s="1"/>
      <c r="Q49" s="1"/>
      <c r="R49" s="1"/>
      <c r="S49" s="1"/>
      <c r="T49" s="1"/>
      <c r="U49" s="1"/>
      <c r="V49" s="112"/>
      <c r="W49" s="112"/>
      <c r="X49" s="112"/>
      <c r="Y49" s="112"/>
      <c r="Z49" s="112"/>
      <c r="AA49" s="112"/>
      <c r="AB49" s="112"/>
      <c r="AC49" s="112"/>
      <c r="AD49" s="112"/>
      <c r="AE49" s="112"/>
      <c r="AF49" s="112"/>
    </row>
    <row r="50" spans="1:32" x14ac:dyDescent="0.3">
      <c r="A50" s="1"/>
      <c r="B50" s="1967"/>
      <c r="C50" s="1967"/>
      <c r="D50" s="1967"/>
      <c r="E50" s="1969"/>
      <c r="F50" s="2"/>
      <c r="G50" s="28" t="s">
        <v>135</v>
      </c>
      <c r="H50" s="29" t="s">
        <v>321</v>
      </c>
      <c r="I50" s="32" t="s">
        <v>135</v>
      </c>
      <c r="J50" s="33" t="s">
        <v>321</v>
      </c>
      <c r="K50" s="35" t="s">
        <v>135</v>
      </c>
      <c r="L50" s="1972" t="s">
        <v>321</v>
      </c>
      <c r="M50" s="1973"/>
      <c r="N50" s="3"/>
      <c r="O50" s="112"/>
      <c r="P50" s="1"/>
      <c r="Q50" s="1"/>
      <c r="R50" s="1"/>
      <c r="S50" s="1"/>
      <c r="T50" s="1"/>
      <c r="U50" s="1"/>
      <c r="V50" s="112"/>
      <c r="W50" s="112"/>
      <c r="X50" s="112"/>
      <c r="Y50" s="112"/>
      <c r="Z50" s="112"/>
      <c r="AA50" s="112"/>
      <c r="AB50" s="112"/>
      <c r="AC50" s="112"/>
      <c r="AD50" s="112"/>
      <c r="AE50" s="112"/>
      <c r="AF50" s="112"/>
    </row>
    <row r="51" spans="1:32" x14ac:dyDescent="0.3">
      <c r="A51" s="1"/>
      <c r="B51" s="1967"/>
      <c r="C51" s="1967"/>
      <c r="D51" s="1967"/>
      <c r="E51" s="551">
        <v>1</v>
      </c>
      <c r="F51" s="2"/>
      <c r="G51" s="122">
        <f>IF($G$39&lt;$B$8,0,IF($G$39&gt;$B$27,0,VLOOKUP($H$49,$B$8:$Q$27,3)))</f>
        <v>0</v>
      </c>
      <c r="H51" s="122">
        <f>IF($G$39&lt;$B$8,0,IF($G$39&gt;$B$27,0,VLOOKUP(G51,$D$8:$E$27,2)))</f>
        <v>0</v>
      </c>
      <c r="I51" s="122">
        <f>IF($I$39&lt;$B$8,0,IF($I$39&gt;$B$27,0,VLOOKUP($J$49,$B$8:$Q$27,6)))</f>
        <v>0</v>
      </c>
      <c r="J51" s="122">
        <f>IF($I$39&lt;$B$8,0,IF($I$39&gt;$B$27,0,VLOOKUP(I51,$D$8:$E$27,2)))</f>
        <v>0</v>
      </c>
      <c r="K51" s="122">
        <f>IF($K$39&lt;$B$8,0,IF($K$39&gt;$B$27,0,VLOOKUP($L$49,$B$8:$Q$27,3)))</f>
        <v>0</v>
      </c>
      <c r="L51" s="1965">
        <f>IF($K$39&lt;$B$8,0,IF($K$39&gt;$B$27,0,VLOOKUP(K51,$D$8:$E$27,2)))</f>
        <v>0</v>
      </c>
      <c r="M51" s="1966"/>
      <c r="N51" s="5"/>
      <c r="O51" s="112"/>
      <c r="P51" s="1"/>
      <c r="Q51" s="1"/>
      <c r="R51" s="1"/>
      <c r="S51" s="1"/>
      <c r="T51" s="1"/>
      <c r="U51" s="1"/>
      <c r="V51" s="112"/>
      <c r="W51" s="112"/>
      <c r="X51" s="112"/>
      <c r="Y51" s="112"/>
      <c r="Z51" s="112"/>
      <c r="AA51" s="112"/>
      <c r="AB51" s="112"/>
      <c r="AC51" s="112"/>
      <c r="AD51" s="112"/>
      <c r="AE51" s="112"/>
      <c r="AF51" s="112"/>
    </row>
    <row r="52" spans="1:32" x14ac:dyDescent="0.3">
      <c r="A52" s="1"/>
      <c r="B52" s="1967"/>
      <c r="C52" s="1967"/>
      <c r="D52" s="1967"/>
      <c r="E52" s="551">
        <v>2</v>
      </c>
      <c r="F52" s="2"/>
      <c r="G52" s="122">
        <f>IF($G$39&lt;$B$8,0,IF($G$39&gt;$B$27,0,VLOOKUP($H$49,$B$8:$Q$27,6)))</f>
        <v>0</v>
      </c>
      <c r="H52" s="122">
        <f>IF($G$39&lt;$B$8,0,IF($G$39&gt;$B$27,0,VLOOKUP(G52,$G$8:$H$27,2)))</f>
        <v>0</v>
      </c>
      <c r="I52" s="122">
        <f>IF($I$39&lt;$B$8,0,IF($I$39&gt;$B$27,0,VLOOKUP($J$49,$B$8:$Q$27,6)))</f>
        <v>0</v>
      </c>
      <c r="J52" s="122">
        <f>IF($I$39&lt;$B$8,0,IF($I$39&gt;$B$27,0,VLOOKUP(I52,$G$8:$H$27,2)))</f>
        <v>0</v>
      </c>
      <c r="K52" s="122">
        <f>IF($K$39&lt;$B$8,0,IF($K$39&gt;$B$27,0,VLOOKUP($L$49,$B$8:$Q$27,6)))</f>
        <v>0</v>
      </c>
      <c r="L52" s="1965">
        <f>IF($K$39&lt;$B$8,0,IF($K$39&gt;$B$27,0,VLOOKUP(K52,$G$8:$H$27,2)))</f>
        <v>0</v>
      </c>
      <c r="M52" s="1966"/>
      <c r="N52" s="5"/>
      <c r="O52" s="112"/>
      <c r="P52" s="1"/>
      <c r="Q52" s="1"/>
      <c r="R52" s="1"/>
      <c r="S52" s="1"/>
      <c r="T52" s="1"/>
      <c r="U52" s="1"/>
      <c r="V52" s="112"/>
      <c r="W52" s="112"/>
      <c r="X52" s="112"/>
      <c r="Y52" s="112"/>
      <c r="Z52" s="112"/>
      <c r="AA52" s="112"/>
      <c r="AB52" s="112"/>
      <c r="AC52" s="112"/>
      <c r="AD52" s="112"/>
      <c r="AE52" s="112"/>
      <c r="AF52" s="112"/>
    </row>
    <row r="53" spans="1:32" x14ac:dyDescent="0.3">
      <c r="A53" s="1"/>
      <c r="B53" s="1967"/>
      <c r="C53" s="1967"/>
      <c r="D53" s="1967"/>
      <c r="E53" s="551">
        <v>3</v>
      </c>
      <c r="F53" s="2"/>
      <c r="G53" s="122">
        <f>IF($G$39&lt;$B$8,0,IF($G$39&gt;$B$27,0,VLOOKUP($H$49,$B$8:$Q$27,9)))</f>
        <v>0</v>
      </c>
      <c r="H53" s="122">
        <f>IF($G$39&lt;$B$8,0,IF($G$39&gt;$B$27,0,VLOOKUP(G53,$J$8:$K$27,2)))</f>
        <v>0</v>
      </c>
      <c r="I53" s="122">
        <f>IF($I$39&lt;$B$8,0,IF($I$39&gt;$B$27,0,VLOOKUP($J$49,$B$8:$Q$27,9)))</f>
        <v>0</v>
      </c>
      <c r="J53" s="122">
        <f>IF($I$39&lt;$B$8,0,IF($I$39&gt;$B$27,0,VLOOKUP(I53,$J$8:$K$27,2)))</f>
        <v>0</v>
      </c>
      <c r="K53" s="122">
        <f>IF($K$39&lt;$B$8,0,IF($K$39&gt;$B$27,0,VLOOKUP($L$49,$B$8:$Q$27,9)))</f>
        <v>0</v>
      </c>
      <c r="L53" s="1965">
        <f>IF($K$39&lt;$B$8,0,IF($K$39&gt;$B$27,0,VLOOKUP(K53,$J$8:$K$27,2)))</f>
        <v>0</v>
      </c>
      <c r="M53" s="1966"/>
      <c r="N53" s="5"/>
      <c r="O53" s="112"/>
      <c r="P53" s="1"/>
      <c r="Q53" s="1"/>
      <c r="R53" s="1"/>
      <c r="S53" s="1"/>
      <c r="T53" s="1"/>
      <c r="U53" s="1"/>
      <c r="V53" s="112"/>
      <c r="W53" s="112"/>
      <c r="X53" s="112"/>
      <c r="Y53" s="112"/>
      <c r="Z53" s="112"/>
      <c r="AA53" s="112"/>
      <c r="AB53" s="112"/>
      <c r="AC53" s="112"/>
      <c r="AD53" s="112"/>
      <c r="AE53" s="112"/>
      <c r="AF53" s="112"/>
    </row>
    <row r="54" spans="1:32" x14ac:dyDescent="0.3">
      <c r="A54" s="1"/>
      <c r="B54" s="561"/>
      <c r="C54" s="561"/>
      <c r="D54" s="561"/>
      <c r="E54" s="113"/>
      <c r="F54" s="2"/>
      <c r="G54" s="7"/>
      <c r="H54" s="3"/>
      <c r="I54" s="1"/>
      <c r="J54" s="1"/>
      <c r="K54" s="1"/>
      <c r="L54" s="1"/>
      <c r="M54" s="1"/>
      <c r="N54" s="1"/>
      <c r="O54" s="112"/>
      <c r="P54" s="1"/>
      <c r="Q54" s="1"/>
      <c r="R54" s="1"/>
      <c r="S54" s="1"/>
      <c r="T54" s="1"/>
      <c r="U54" s="1"/>
      <c r="V54" s="112"/>
      <c r="W54" s="112"/>
      <c r="X54" s="112"/>
      <c r="Y54" s="112"/>
      <c r="Z54" s="112"/>
      <c r="AA54" s="112"/>
      <c r="AB54" s="112"/>
      <c r="AC54" s="112"/>
      <c r="AD54" s="112"/>
      <c r="AE54" s="112"/>
      <c r="AF54" s="112"/>
    </row>
    <row r="55" spans="1:32" x14ac:dyDescent="0.3">
      <c r="A55" s="1"/>
      <c r="B55" s="1967" t="s">
        <v>329</v>
      </c>
      <c r="C55" s="1967"/>
      <c r="D55" s="1967"/>
      <c r="E55" s="1968" t="s">
        <v>316</v>
      </c>
      <c r="F55" s="2"/>
      <c r="G55" s="130" t="s">
        <v>328</v>
      </c>
      <c r="H55" s="131" cm="1">
        <f t="array" ref="H55">IF($G$39&lt;$B$8,0,IF(G39&gt;B27,0,INDEX(B8:B27,MATCH(G39,B8:B27,1)+1,1)))</f>
        <v>0</v>
      </c>
      <c r="I55" s="514" t="s">
        <v>328</v>
      </c>
      <c r="J55" s="523">
        <f>IF(I39&lt;25000,0,IF(I39&gt;25000000,0,INDEX(B8:B27,MATCH(I39,B8:B27,1)+1,1)))</f>
        <v>0</v>
      </c>
      <c r="K55" s="132" t="s">
        <v>328</v>
      </c>
      <c r="L55" s="1970" cm="1">
        <f t="array" ref="L55">IF($K$39&lt;$B$8,0,IF($K$39&gt;$B$27,0,INDEX(B8:B27,MATCH(K39,B8:B27,1)+1,1)))</f>
        <v>0</v>
      </c>
      <c r="M55" s="1971"/>
      <c r="N55" s="5"/>
      <c r="O55" s="112"/>
      <c r="P55" s="1"/>
      <c r="Q55" s="1"/>
      <c r="R55" s="1"/>
      <c r="S55" s="1"/>
      <c r="T55" s="1"/>
      <c r="U55" s="1"/>
      <c r="V55" s="112"/>
      <c r="W55" s="112"/>
      <c r="X55" s="112"/>
      <c r="Y55" s="112"/>
      <c r="Z55" s="112"/>
      <c r="AA55" s="112"/>
      <c r="AB55" s="112"/>
      <c r="AC55" s="112"/>
      <c r="AD55" s="112"/>
      <c r="AE55" s="112"/>
      <c r="AF55" s="112"/>
    </row>
    <row r="56" spans="1:32" x14ac:dyDescent="0.3">
      <c r="A56" s="1"/>
      <c r="B56" s="1967"/>
      <c r="C56" s="1967"/>
      <c r="D56" s="1967"/>
      <c r="E56" s="1969"/>
      <c r="F56" s="2"/>
      <c r="G56" s="28" t="s">
        <v>135</v>
      </c>
      <c r="H56" s="29" t="s">
        <v>321</v>
      </c>
      <c r="I56" s="32" t="s">
        <v>135</v>
      </c>
      <c r="J56" s="33" t="s">
        <v>321</v>
      </c>
      <c r="K56" s="35" t="s">
        <v>135</v>
      </c>
      <c r="L56" s="1972" t="s">
        <v>321</v>
      </c>
      <c r="M56" s="1973"/>
      <c r="N56" s="3"/>
      <c r="O56" s="112"/>
      <c r="P56" s="1"/>
      <c r="Q56" s="1"/>
      <c r="R56" s="1"/>
      <c r="S56" s="1"/>
      <c r="T56" s="1"/>
      <c r="U56" s="1"/>
      <c r="V56" s="112"/>
      <c r="W56" s="112"/>
      <c r="X56" s="112"/>
      <c r="Y56" s="112"/>
      <c r="Z56" s="112"/>
      <c r="AA56" s="112"/>
      <c r="AB56" s="112"/>
      <c r="AC56" s="112"/>
      <c r="AD56" s="112"/>
      <c r="AE56" s="112"/>
      <c r="AF56" s="112"/>
    </row>
    <row r="57" spans="1:32" x14ac:dyDescent="0.3">
      <c r="A57" s="1"/>
      <c r="B57" s="1967"/>
      <c r="C57" s="1967"/>
      <c r="D57" s="1967"/>
      <c r="E57" s="551">
        <v>1</v>
      </c>
      <c r="F57" s="2"/>
      <c r="G57" s="122">
        <f>IF($G$39&lt;$B$8,0,IF($G$39&gt;$B$27,0,VLOOKUP($H$55,$B$8:$Q$27,3)))</f>
        <v>0</v>
      </c>
      <c r="H57" s="122">
        <f>IF($G$39&lt;$B$8,0,IF($G$39&gt;$B$27,0,VLOOKUP(G57,$D$8:$E$27,2)))</f>
        <v>0</v>
      </c>
      <c r="I57" s="122">
        <f>IF($I$39&lt;$B$8,0,IF($I$39&gt;$B$27,0,VLOOKUP($J$55,$B$8:$Q$27,3)))</f>
        <v>0</v>
      </c>
      <c r="J57" s="122">
        <f>IF($I$39&lt;$B$8,0,IF($I$39&gt;$B$27,0,VLOOKUP(I57,$D$8:$E$27,2)))</f>
        <v>0</v>
      </c>
      <c r="K57" s="122">
        <f>IF($K$39&lt;$B$8,0,IF($K$39&gt;$B$27,0,VLOOKUP($L$55,$B$8:$Q$27,3)))</f>
        <v>0</v>
      </c>
      <c r="L57" s="1965">
        <f>IF($K$39&lt;$B$8,0,IF($K$39&gt;$B$27,0,VLOOKUP(K57,$D$8:$E$27,2)))</f>
        <v>0</v>
      </c>
      <c r="M57" s="1966"/>
      <c r="N57" s="5"/>
      <c r="O57" s="112"/>
      <c r="P57" s="1"/>
      <c r="Q57" s="1"/>
      <c r="R57" s="1"/>
      <c r="S57" s="1"/>
      <c r="T57" s="1"/>
      <c r="U57" s="1"/>
      <c r="V57" s="112"/>
      <c r="W57" s="112"/>
      <c r="X57" s="112"/>
      <c r="Y57" s="112"/>
      <c r="Z57" s="112"/>
      <c r="AA57" s="112"/>
      <c r="AB57" s="112"/>
      <c r="AC57" s="112"/>
      <c r="AD57" s="112"/>
      <c r="AE57" s="112"/>
      <c r="AF57" s="112"/>
    </row>
    <row r="58" spans="1:32" x14ac:dyDescent="0.3">
      <c r="A58" s="1"/>
      <c r="B58" s="1967"/>
      <c r="C58" s="1967"/>
      <c r="D58" s="1967"/>
      <c r="E58" s="551">
        <v>2</v>
      </c>
      <c r="F58" s="2"/>
      <c r="G58" s="122">
        <f>IF($G$39&lt;$B$8,0,IF($G$39&gt;$B$27,0,VLOOKUP($H$55,$B$8:$Q$27,6)))</f>
        <v>0</v>
      </c>
      <c r="H58" s="122">
        <f>IF($G$39&lt;$B$8,0,IF($G$39&gt;$B$27,0,VLOOKUP(G58,$G$8:$H$27,2)))</f>
        <v>0</v>
      </c>
      <c r="I58" s="122">
        <f>IF($I$39&lt;$B$8,0,IF($I$39&gt;$B$27,0,VLOOKUP($J$55,$B$8:$Q$27,6)))</f>
        <v>0</v>
      </c>
      <c r="J58" s="122">
        <f>IF($I$39&lt;$B$8,0,IF($I$39&gt;$B$27,0,VLOOKUP(I58,$G$8:$H$27,2)))</f>
        <v>0</v>
      </c>
      <c r="K58" s="122">
        <f>IF($K$39&lt;$B$8,0,IF($K$39&gt;$B$27,0,VLOOKUP($L$55,$B$8:$Q$27,6)))</f>
        <v>0</v>
      </c>
      <c r="L58" s="1965">
        <f>IF($K$39&lt;$B$8,0,IF($K$39&gt;$B$27,0,VLOOKUP(K58,$G$8:$H$27,2)))</f>
        <v>0</v>
      </c>
      <c r="M58" s="1966"/>
      <c r="N58" s="5"/>
      <c r="O58" s="112"/>
      <c r="P58" s="1"/>
      <c r="Q58" s="1"/>
      <c r="R58" s="1"/>
      <c r="S58" s="1"/>
      <c r="T58" s="1"/>
      <c r="U58" s="1"/>
      <c r="V58" s="112"/>
      <c r="W58" s="112"/>
      <c r="X58" s="112"/>
      <c r="Y58" s="112"/>
      <c r="Z58" s="112"/>
      <c r="AA58" s="112"/>
      <c r="AB58" s="112"/>
      <c r="AC58" s="112"/>
      <c r="AD58" s="112"/>
      <c r="AE58" s="112"/>
      <c r="AF58" s="112"/>
    </row>
    <row r="59" spans="1:32" x14ac:dyDescent="0.3">
      <c r="A59" s="1"/>
      <c r="B59" s="1967"/>
      <c r="C59" s="1967"/>
      <c r="D59" s="1967"/>
      <c r="E59" s="551">
        <v>3</v>
      </c>
      <c r="F59" s="2"/>
      <c r="G59" s="122">
        <f>IF($G$39&lt;$B$8,0,IF($G$39&gt;$B$27,0,VLOOKUP($H$55,$B$8:$Q$27,9)))</f>
        <v>0</v>
      </c>
      <c r="H59" s="122">
        <f>IF($G$39&lt;$B$8,0,IF($G$39&gt;$B$27,0,VLOOKUP(G59,$J$8:$K$27,2)))</f>
        <v>0</v>
      </c>
      <c r="I59" s="122">
        <f>IF($I$39&lt;$B$8,0,IF($I$39&gt;$B$27,0,VLOOKUP($J$55,$B$8:$Q$27,9)))</f>
        <v>0</v>
      </c>
      <c r="J59" s="122">
        <f>IF($I$39&lt;$B$8,0,IF($I$39&gt;$B$27,0,VLOOKUP(I59,$J$8:$K$27,2)))</f>
        <v>0</v>
      </c>
      <c r="K59" s="122">
        <f>IF($K$39&lt;$B$8,0,IF($K$39&gt;$B$27,0,VLOOKUP($L$55,$B$8:$Q$27,9)))</f>
        <v>0</v>
      </c>
      <c r="L59" s="1965">
        <f>IF($K$39&lt;$B$8,0,IF($K$39&gt;$B$27,0,VLOOKUP(K59,$J$8:$K$27,2)))</f>
        <v>0</v>
      </c>
      <c r="M59" s="1966"/>
      <c r="N59" s="5"/>
      <c r="O59" s="112"/>
      <c r="P59" s="1"/>
      <c r="Q59" s="1"/>
      <c r="R59" s="1"/>
      <c r="S59" s="1"/>
      <c r="T59" s="1"/>
      <c r="U59" s="1"/>
      <c r="V59" s="112"/>
      <c r="W59" s="112"/>
      <c r="X59" s="112"/>
      <c r="Y59" s="112"/>
      <c r="Z59" s="112"/>
      <c r="AA59" s="112"/>
      <c r="AB59" s="112"/>
      <c r="AC59" s="112"/>
      <c r="AD59" s="112"/>
      <c r="AE59" s="112"/>
      <c r="AF59" s="112"/>
    </row>
    <row r="60" spans="1:32" x14ac:dyDescent="0.3">
      <c r="A60" s="1"/>
      <c r="B60" s="1"/>
      <c r="C60" s="1"/>
      <c r="D60" s="1"/>
      <c r="E60" s="1"/>
      <c r="F60" s="1"/>
      <c r="G60" s="1"/>
      <c r="H60" s="1"/>
      <c r="I60" s="1"/>
      <c r="J60" s="1"/>
      <c r="K60" s="1"/>
      <c r="L60" s="1"/>
      <c r="M60" s="1"/>
      <c r="N60" s="1"/>
      <c r="O60" s="112"/>
      <c r="P60" s="1"/>
      <c r="Q60" s="1"/>
      <c r="R60" s="1"/>
      <c r="S60" s="1"/>
      <c r="T60" s="1"/>
      <c r="U60" s="1"/>
      <c r="V60" s="112"/>
      <c r="W60" s="112"/>
      <c r="X60" s="112"/>
      <c r="Y60" s="112"/>
      <c r="Z60" s="112"/>
      <c r="AA60" s="112"/>
      <c r="AB60" s="112"/>
      <c r="AC60" s="112"/>
      <c r="AD60" s="112"/>
      <c r="AE60" s="112"/>
      <c r="AF60" s="112"/>
    </row>
    <row r="61" spans="1:32" x14ac:dyDescent="0.3">
      <c r="A61" s="1"/>
      <c r="B61" s="9" t="s">
        <v>330</v>
      </c>
      <c r="C61" s="1"/>
      <c r="D61" s="1"/>
      <c r="E61" s="1"/>
      <c r="F61" s="1"/>
      <c r="G61" s="1"/>
      <c r="H61" s="1"/>
      <c r="I61" s="1"/>
      <c r="J61" s="1"/>
      <c r="K61" s="1"/>
      <c r="L61" s="1"/>
      <c r="M61" s="1"/>
      <c r="N61" s="1"/>
      <c r="O61" s="112"/>
      <c r="P61" s="1"/>
      <c r="Q61" s="1"/>
      <c r="R61" s="1"/>
      <c r="S61" s="1"/>
      <c r="T61" s="1"/>
      <c r="U61" s="1"/>
      <c r="V61" s="112"/>
      <c r="W61" s="112"/>
      <c r="X61" s="112"/>
      <c r="Y61" s="112"/>
      <c r="Z61" s="112"/>
      <c r="AA61" s="112"/>
      <c r="AB61" s="112"/>
      <c r="AC61" s="112"/>
      <c r="AD61" s="112"/>
      <c r="AE61" s="112"/>
      <c r="AF61" s="112"/>
    </row>
    <row r="62" spans="1:32" x14ac:dyDescent="0.3">
      <c r="A62" s="1"/>
      <c r="B62" s="1"/>
      <c r="C62" s="1"/>
      <c r="D62" s="1"/>
      <c r="E62" s="1"/>
      <c r="F62" s="1"/>
      <c r="G62" s="1"/>
      <c r="H62" s="1"/>
      <c r="I62" s="1"/>
      <c r="J62" s="1"/>
      <c r="K62" s="1"/>
      <c r="L62" s="1"/>
      <c r="M62" s="1"/>
      <c r="N62" s="1"/>
      <c r="O62" s="112"/>
      <c r="P62" s="1"/>
      <c r="Q62" s="1"/>
      <c r="R62" s="1"/>
      <c r="S62" s="1"/>
      <c r="T62" s="1"/>
      <c r="U62" s="1"/>
      <c r="V62" s="112"/>
      <c r="W62" s="112"/>
      <c r="X62" s="112"/>
      <c r="Y62" s="112"/>
      <c r="Z62" s="112"/>
      <c r="AA62" s="112"/>
      <c r="AB62" s="112"/>
      <c r="AC62" s="112"/>
      <c r="AD62" s="112"/>
      <c r="AE62" s="112"/>
      <c r="AF62" s="112"/>
    </row>
    <row r="63" spans="1:32" x14ac:dyDescent="0.3">
      <c r="A63" s="1"/>
      <c r="B63" s="6"/>
      <c r="C63" s="6"/>
      <c r="D63" s="6"/>
      <c r="E63" s="2"/>
      <c r="F63" s="2"/>
      <c r="G63" s="28" t="s">
        <v>135</v>
      </c>
      <c r="H63" s="29" t="s">
        <v>321</v>
      </c>
      <c r="I63" s="32" t="s">
        <v>135</v>
      </c>
      <c r="J63" s="33" t="s">
        <v>321</v>
      </c>
      <c r="K63" s="35" t="s">
        <v>135</v>
      </c>
      <c r="L63" s="1976" t="s">
        <v>321</v>
      </c>
      <c r="M63" s="1976"/>
      <c r="N63" s="3"/>
      <c r="O63" s="112"/>
      <c r="P63" s="1"/>
      <c r="Q63" s="1"/>
      <c r="R63" s="1"/>
      <c r="S63" s="1"/>
      <c r="T63" s="1"/>
      <c r="U63" s="1"/>
      <c r="V63" s="112"/>
      <c r="W63" s="112"/>
      <c r="X63" s="112"/>
      <c r="Y63" s="112"/>
      <c r="Z63" s="112"/>
      <c r="AA63" s="112"/>
      <c r="AB63" s="112"/>
      <c r="AC63" s="112"/>
      <c r="AD63" s="112"/>
      <c r="AE63" s="112"/>
      <c r="AF63" s="112"/>
    </row>
    <row r="64" spans="1:32" x14ac:dyDescent="0.3">
      <c r="A64" s="1"/>
      <c r="B64" s="1974" t="s">
        <v>327</v>
      </c>
      <c r="C64" s="1974"/>
      <c r="D64" s="1974"/>
      <c r="E64" s="1974"/>
      <c r="F64" s="2"/>
      <c r="G64" s="123">
        <f>VLOOKUP($G$43,$E$51:$H$53,3)</f>
        <v>0</v>
      </c>
      <c r="H64" s="123">
        <f>VLOOKUP(G43,$E$51:$H$53,4)</f>
        <v>0</v>
      </c>
      <c r="I64" s="123">
        <f>VLOOKUP($G$43,$E$51:$J$53,5)</f>
        <v>0</v>
      </c>
      <c r="J64" s="123">
        <f>VLOOKUP(G43,$E$51:$J$53,6)</f>
        <v>0</v>
      </c>
      <c r="K64" s="123">
        <f>VLOOKUP($G$43,$E$51:$K$53,7)</f>
        <v>0</v>
      </c>
      <c r="L64" s="1975">
        <f>VLOOKUP(G43,$E$51:$M$53,8)</f>
        <v>0</v>
      </c>
      <c r="M64" s="1975"/>
      <c r="N64" s="22"/>
      <c r="O64" s="112"/>
      <c r="P64" s="1"/>
      <c r="Q64" s="1"/>
      <c r="R64" s="1"/>
      <c r="S64" s="1"/>
      <c r="T64" s="1"/>
      <c r="U64" s="1"/>
      <c r="V64" s="112"/>
      <c r="W64" s="112"/>
      <c r="X64" s="112"/>
      <c r="Y64" s="112"/>
      <c r="Z64" s="112"/>
      <c r="AA64" s="112"/>
      <c r="AB64" s="112"/>
      <c r="AC64" s="112"/>
      <c r="AD64" s="112"/>
      <c r="AE64" s="112"/>
      <c r="AF64" s="112"/>
    </row>
    <row r="65" spans="1:32" x14ac:dyDescent="0.3">
      <c r="A65" s="1"/>
      <c r="B65" s="1974" t="s">
        <v>329</v>
      </c>
      <c r="C65" s="1974"/>
      <c r="D65" s="1974"/>
      <c r="E65" s="1974"/>
      <c r="F65" s="2"/>
      <c r="G65" s="123">
        <f>VLOOKUP($G$43,$E$57:$H$59,3)</f>
        <v>0</v>
      </c>
      <c r="H65" s="123">
        <f>VLOOKUP(G43,$E$57:$H$59,4)</f>
        <v>0</v>
      </c>
      <c r="I65" s="123">
        <f>VLOOKUP($G$43,$E$57:$J$59,5)</f>
        <v>0</v>
      </c>
      <c r="J65" s="123">
        <f>VLOOKUP(G43,$E$57:$K$59,6)</f>
        <v>0</v>
      </c>
      <c r="K65" s="123">
        <f>VLOOKUP($G$43,$E$57:$K$59,7)</f>
        <v>0</v>
      </c>
      <c r="L65" s="1975">
        <f>VLOOKUP(G43,$E$57:$M$59,8)</f>
        <v>0</v>
      </c>
      <c r="M65" s="1975"/>
      <c r="N65" s="22"/>
      <c r="O65" s="112"/>
      <c r="P65" s="1"/>
      <c r="Q65" s="1"/>
      <c r="R65" s="1"/>
      <c r="S65" s="1"/>
      <c r="T65" s="1"/>
      <c r="U65" s="1"/>
      <c r="V65" s="112"/>
      <c r="W65" s="112"/>
      <c r="X65" s="112"/>
      <c r="Y65" s="112"/>
      <c r="Z65" s="112"/>
      <c r="AA65" s="112"/>
      <c r="AB65" s="112"/>
      <c r="AC65" s="112"/>
      <c r="AD65" s="112"/>
      <c r="AE65" s="112"/>
      <c r="AF65" s="112"/>
    </row>
    <row r="66" spans="1:32" x14ac:dyDescent="0.3">
      <c r="A66" s="1"/>
      <c r="B66" s="1977" t="s">
        <v>331</v>
      </c>
      <c r="C66" s="1978"/>
      <c r="D66" s="1978"/>
      <c r="E66" s="1979"/>
      <c r="F66" s="2"/>
      <c r="G66" s="513">
        <f t="shared" ref="G66:L66" si="2">G65-G64</f>
        <v>0</v>
      </c>
      <c r="H66" s="513">
        <f t="shared" si="2"/>
        <v>0</v>
      </c>
      <c r="I66" s="513">
        <f t="shared" si="2"/>
        <v>0</v>
      </c>
      <c r="J66" s="513">
        <f t="shared" si="2"/>
        <v>0</v>
      </c>
      <c r="K66" s="513">
        <f t="shared" si="2"/>
        <v>0</v>
      </c>
      <c r="L66" s="1980">
        <f t="shared" si="2"/>
        <v>0</v>
      </c>
      <c r="M66" s="1980"/>
      <c r="N66" s="23"/>
      <c r="O66" s="112"/>
      <c r="P66" s="1"/>
      <c r="Q66" s="1"/>
      <c r="R66" s="1"/>
      <c r="S66" s="1"/>
      <c r="T66" s="1" t="s">
        <v>99</v>
      </c>
      <c r="U66" s="1"/>
      <c r="V66" s="112"/>
      <c r="W66" s="112"/>
      <c r="X66" s="112"/>
      <c r="Y66" s="112"/>
      <c r="Z66" s="112"/>
      <c r="AA66" s="112"/>
      <c r="AB66" s="112"/>
      <c r="AC66" s="112"/>
      <c r="AD66" s="112"/>
      <c r="AE66" s="112"/>
      <c r="AF66" s="112"/>
    </row>
    <row r="67" spans="1:32" x14ac:dyDescent="0.3">
      <c r="A67" s="1"/>
      <c r="B67" s="1974" t="s">
        <v>332</v>
      </c>
      <c r="C67" s="1974"/>
      <c r="D67" s="1974"/>
      <c r="E67" s="1974"/>
      <c r="F67" s="2"/>
      <c r="G67" s="513">
        <f>G39-H49</f>
        <v>0</v>
      </c>
      <c r="H67" s="515">
        <f>G43</f>
        <v>3</v>
      </c>
      <c r="I67" s="513">
        <f>I39-J49</f>
        <v>0</v>
      </c>
      <c r="J67" s="516">
        <f>G43</f>
        <v>3</v>
      </c>
      <c r="K67" s="513">
        <f>K39-L49</f>
        <v>0</v>
      </c>
      <c r="L67" s="1981">
        <f>G43</f>
        <v>3</v>
      </c>
      <c r="M67" s="1981"/>
      <c r="N67" s="24"/>
      <c r="O67" s="112"/>
      <c r="P67" s="1"/>
      <c r="Q67" s="1"/>
      <c r="R67" s="1"/>
      <c r="S67" s="1"/>
      <c r="T67" s="1"/>
      <c r="U67" s="1"/>
      <c r="V67" s="112"/>
      <c r="W67" s="112"/>
      <c r="X67" s="112"/>
      <c r="Y67" s="112"/>
      <c r="Z67" s="112"/>
      <c r="AA67" s="112"/>
      <c r="AB67" s="112"/>
      <c r="AC67" s="112"/>
      <c r="AD67" s="112"/>
      <c r="AE67" s="112"/>
      <c r="AF67" s="112"/>
    </row>
    <row r="68" spans="1:32" x14ac:dyDescent="0.3">
      <c r="A68" s="1"/>
      <c r="B68" s="1"/>
      <c r="C68" s="1"/>
      <c r="D68" s="1"/>
      <c r="E68" s="1"/>
      <c r="F68" s="1"/>
      <c r="G68" s="1"/>
      <c r="H68" s="1"/>
      <c r="I68" s="1"/>
      <c r="J68" s="1"/>
      <c r="K68" s="1"/>
      <c r="L68" s="1"/>
      <c r="M68" s="1"/>
      <c r="N68" s="1"/>
      <c r="O68" s="112"/>
      <c r="P68" s="1"/>
      <c r="Q68" s="1"/>
      <c r="R68" s="1"/>
      <c r="S68" s="1"/>
      <c r="T68" s="1"/>
      <c r="U68" s="1"/>
      <c r="V68" s="112"/>
      <c r="W68" s="112"/>
      <c r="X68" s="112"/>
      <c r="Y68" s="112"/>
      <c r="Z68" s="112"/>
      <c r="AA68" s="112"/>
      <c r="AB68" s="112"/>
      <c r="AC68" s="112"/>
      <c r="AD68" s="112"/>
      <c r="AE68" s="112"/>
      <c r="AF68" s="112"/>
    </row>
    <row r="69" spans="1:32" x14ac:dyDescent="0.3">
      <c r="A69" s="1"/>
      <c r="B69" s="1"/>
      <c r="C69" s="1"/>
      <c r="D69" s="1"/>
      <c r="E69" s="1"/>
      <c r="F69" s="1"/>
      <c r="G69" s="1"/>
      <c r="H69" s="1"/>
      <c r="I69" s="1"/>
      <c r="J69" s="1"/>
      <c r="K69" s="1"/>
      <c r="L69" s="1"/>
      <c r="M69" s="1"/>
      <c r="N69" s="1"/>
      <c r="O69" s="112"/>
      <c r="P69" s="1"/>
      <c r="Q69" s="1"/>
      <c r="R69" s="1"/>
      <c r="S69" s="1"/>
      <c r="T69" s="1"/>
      <c r="U69" s="1"/>
      <c r="V69" s="112"/>
      <c r="W69" s="112"/>
      <c r="X69" s="112"/>
      <c r="Y69" s="112"/>
      <c r="Z69" s="112"/>
      <c r="AA69" s="112"/>
      <c r="AB69" s="112"/>
      <c r="AC69" s="112"/>
      <c r="AD69" s="112"/>
      <c r="AE69" s="112"/>
      <c r="AF69" s="112"/>
    </row>
    <row r="70" spans="1:32" x14ac:dyDescent="0.3">
      <c r="A70" s="1"/>
      <c r="B70" s="9" t="s">
        <v>333</v>
      </c>
      <c r="C70" s="1"/>
      <c r="D70" s="1"/>
      <c r="E70" s="1"/>
      <c r="F70" s="1"/>
      <c r="G70" s="1"/>
      <c r="H70" s="1"/>
      <c r="I70" s="1"/>
      <c r="J70" s="1"/>
      <c r="K70" s="1"/>
      <c r="L70" s="1"/>
      <c r="M70" s="1"/>
      <c r="N70" s="1"/>
      <c r="O70" s="112"/>
      <c r="P70" s="1"/>
      <c r="Q70" s="1"/>
      <c r="R70" s="1"/>
      <c r="S70" s="1"/>
      <c r="T70" s="1"/>
      <c r="U70" s="1"/>
      <c r="V70" s="112"/>
      <c r="W70" s="112"/>
      <c r="X70" s="112"/>
      <c r="Y70" s="112"/>
      <c r="Z70" s="112"/>
      <c r="AA70" s="112"/>
      <c r="AB70" s="112"/>
      <c r="AC70" s="112"/>
      <c r="AD70" s="112"/>
      <c r="AE70" s="112"/>
      <c r="AF70" s="112"/>
    </row>
    <row r="71" spans="1:32" x14ac:dyDescent="0.3">
      <c r="A71" s="1"/>
      <c r="B71" s="1"/>
      <c r="C71" s="1"/>
      <c r="D71" s="1"/>
      <c r="E71" s="1"/>
      <c r="F71" s="1"/>
      <c r="G71" s="1"/>
      <c r="H71" s="1"/>
      <c r="I71" s="1"/>
      <c r="J71" s="1"/>
      <c r="K71" s="1"/>
      <c r="L71" s="1"/>
      <c r="M71" s="1"/>
      <c r="N71" s="1"/>
      <c r="O71" s="112"/>
      <c r="P71" s="1"/>
      <c r="Q71" s="1"/>
      <c r="R71" s="1"/>
      <c r="S71" s="1"/>
      <c r="T71" s="1"/>
      <c r="U71" s="1"/>
      <c r="V71" s="112"/>
      <c r="W71" s="112"/>
      <c r="X71" s="112"/>
      <c r="Y71" s="112"/>
      <c r="Z71" s="112"/>
      <c r="AA71" s="112"/>
      <c r="AB71" s="112"/>
      <c r="AC71" s="112"/>
      <c r="AD71" s="112"/>
      <c r="AE71" s="112"/>
      <c r="AF71" s="112"/>
    </row>
    <row r="72" spans="1:32" x14ac:dyDescent="0.3">
      <c r="A72" s="1"/>
      <c r="B72" s="2"/>
      <c r="C72" s="2"/>
      <c r="D72" s="3"/>
      <c r="E72" s="2"/>
      <c r="F72" s="3"/>
      <c r="G72" s="28" t="s">
        <v>135</v>
      </c>
      <c r="H72" s="29" t="s">
        <v>321</v>
      </c>
      <c r="I72" s="32" t="s">
        <v>135</v>
      </c>
      <c r="J72" s="33" t="s">
        <v>321</v>
      </c>
      <c r="K72" s="35" t="s">
        <v>135</v>
      </c>
      <c r="L72" s="1976" t="s">
        <v>321</v>
      </c>
      <c r="M72" s="1976"/>
      <c r="N72" s="3"/>
      <c r="O72" s="112"/>
      <c r="P72" s="1"/>
      <c r="Q72" s="1"/>
      <c r="R72" s="1"/>
      <c r="S72" s="1"/>
      <c r="T72" s="1"/>
      <c r="U72" s="1"/>
      <c r="V72" s="112"/>
      <c r="W72" s="112"/>
      <c r="X72" s="112"/>
      <c r="Y72" s="112"/>
      <c r="Z72" s="112"/>
      <c r="AA72" s="112"/>
      <c r="AB72" s="112"/>
      <c r="AC72" s="112"/>
      <c r="AD72" s="112"/>
      <c r="AE72" s="112"/>
      <c r="AF72" s="112"/>
    </row>
    <row r="73" spans="1:32" x14ac:dyDescent="0.3">
      <c r="A73" s="1"/>
      <c r="B73" s="1974" t="s">
        <v>334</v>
      </c>
      <c r="C73" s="1974"/>
      <c r="D73" s="1974"/>
      <c r="E73" s="1974"/>
      <c r="F73" s="36"/>
      <c r="G73" s="123">
        <f t="shared" ref="G73:L73" si="3">G64</f>
        <v>0</v>
      </c>
      <c r="H73" s="123">
        <f t="shared" si="3"/>
        <v>0</v>
      </c>
      <c r="I73" s="123">
        <f t="shared" si="3"/>
        <v>0</v>
      </c>
      <c r="J73" s="123">
        <f t="shared" si="3"/>
        <v>0</v>
      </c>
      <c r="K73" s="123">
        <f t="shared" si="3"/>
        <v>0</v>
      </c>
      <c r="L73" s="1975">
        <f t="shared" si="3"/>
        <v>0</v>
      </c>
      <c r="M73" s="1975"/>
      <c r="N73" s="22"/>
      <c r="O73" s="112"/>
      <c r="P73" s="1"/>
      <c r="Q73" s="1"/>
      <c r="R73" s="1"/>
      <c r="S73" s="1"/>
      <c r="T73" s="1"/>
      <c r="U73" s="1"/>
      <c r="V73" s="112"/>
      <c r="W73" s="112"/>
      <c r="X73" s="112"/>
      <c r="Y73" s="112"/>
      <c r="Z73" s="112"/>
      <c r="AA73" s="112"/>
      <c r="AB73" s="112"/>
      <c r="AC73" s="112"/>
      <c r="AD73" s="112"/>
      <c r="AE73" s="112"/>
      <c r="AF73" s="112"/>
    </row>
    <row r="74" spans="1:32" x14ac:dyDescent="0.3">
      <c r="A74" s="1"/>
      <c r="B74" s="1974" t="s">
        <v>335</v>
      </c>
      <c r="C74" s="1974"/>
      <c r="D74" s="1974"/>
      <c r="E74" s="1974"/>
      <c r="F74" s="36"/>
      <c r="G74" s="123">
        <f>G67</f>
        <v>0</v>
      </c>
      <c r="H74" s="123">
        <f>G67</f>
        <v>0</v>
      </c>
      <c r="I74" s="123">
        <f>I67</f>
        <v>0</v>
      </c>
      <c r="J74" s="123">
        <f>I67</f>
        <v>0</v>
      </c>
      <c r="K74" s="123">
        <f>K67</f>
        <v>0</v>
      </c>
      <c r="L74" s="1975">
        <f>K67</f>
        <v>0</v>
      </c>
      <c r="M74" s="1975"/>
      <c r="N74" s="22"/>
      <c r="O74" s="112"/>
      <c r="P74" s="1"/>
      <c r="Q74" s="1"/>
      <c r="R74" s="1"/>
      <c r="S74" s="1"/>
      <c r="T74" s="1"/>
      <c r="U74" s="1"/>
      <c r="V74" s="112"/>
      <c r="W74" s="112"/>
      <c r="X74" s="112"/>
      <c r="Y74" s="112"/>
      <c r="Z74" s="112"/>
      <c r="AA74" s="112"/>
      <c r="AB74" s="112"/>
      <c r="AC74" s="112"/>
      <c r="AD74" s="112"/>
      <c r="AE74" s="112"/>
      <c r="AF74" s="112"/>
    </row>
    <row r="75" spans="1:32" x14ac:dyDescent="0.3">
      <c r="A75" s="1"/>
      <c r="B75" s="1974" t="s">
        <v>336</v>
      </c>
      <c r="C75" s="1974"/>
      <c r="D75" s="1974"/>
      <c r="E75" s="1974"/>
      <c r="F75" s="36"/>
      <c r="G75" s="123">
        <f t="shared" ref="G75:L75" si="4">G66</f>
        <v>0</v>
      </c>
      <c r="H75" s="123">
        <f t="shared" si="4"/>
        <v>0</v>
      </c>
      <c r="I75" s="123">
        <f t="shared" si="4"/>
        <v>0</v>
      </c>
      <c r="J75" s="123">
        <f t="shared" si="4"/>
        <v>0</v>
      </c>
      <c r="K75" s="123">
        <f t="shared" si="4"/>
        <v>0</v>
      </c>
      <c r="L75" s="1975">
        <f t="shared" si="4"/>
        <v>0</v>
      </c>
      <c r="M75" s="1975"/>
      <c r="N75" s="22"/>
      <c r="O75" s="112"/>
      <c r="P75" s="1"/>
      <c r="Q75" s="1"/>
      <c r="R75" s="1"/>
      <c r="S75" s="1"/>
      <c r="T75" s="1"/>
      <c r="U75" s="1"/>
      <c r="V75" s="112"/>
      <c r="W75" s="112"/>
      <c r="X75" s="112"/>
      <c r="Y75" s="112"/>
      <c r="Z75" s="112"/>
      <c r="AA75" s="112"/>
      <c r="AB75" s="112"/>
      <c r="AC75" s="112"/>
      <c r="AD75" s="112"/>
      <c r="AE75" s="112"/>
      <c r="AF75" s="112"/>
    </row>
    <row r="76" spans="1:32" x14ac:dyDescent="0.3">
      <c r="A76" s="1"/>
      <c r="B76" s="1974" t="s">
        <v>337</v>
      </c>
      <c r="C76" s="1974"/>
      <c r="D76" s="1974"/>
      <c r="E76" s="1974"/>
      <c r="F76" s="36"/>
      <c r="G76" s="123">
        <f>H55-H49</f>
        <v>0</v>
      </c>
      <c r="H76" s="123">
        <f>H55-H49</f>
        <v>0</v>
      </c>
      <c r="I76" s="123">
        <f>J55-J49</f>
        <v>0</v>
      </c>
      <c r="J76" s="123">
        <f>J55-J49</f>
        <v>0</v>
      </c>
      <c r="K76" s="123">
        <f>L55-L49</f>
        <v>0</v>
      </c>
      <c r="L76" s="1975">
        <f>L55-L49</f>
        <v>0</v>
      </c>
      <c r="M76" s="1975"/>
      <c r="N76" s="22"/>
      <c r="O76" s="112"/>
      <c r="P76" s="1"/>
      <c r="Q76" s="1"/>
      <c r="R76" s="1"/>
      <c r="S76" s="1"/>
      <c r="T76" s="1"/>
      <c r="U76" s="1"/>
      <c r="V76" s="112"/>
      <c r="W76" s="112"/>
      <c r="X76" s="112"/>
      <c r="Y76" s="112"/>
      <c r="Z76" s="112"/>
      <c r="AA76" s="112"/>
      <c r="AB76" s="112"/>
      <c r="AC76" s="112"/>
      <c r="AD76" s="112"/>
      <c r="AE76" s="112"/>
      <c r="AF76" s="112"/>
    </row>
    <row r="77" spans="1:32" ht="15.2" thickBot="1" x14ac:dyDescent="0.35">
      <c r="A77" s="1"/>
      <c r="B77" s="2"/>
      <c r="C77" s="2"/>
      <c r="D77" s="2"/>
      <c r="E77" s="5"/>
      <c r="F77" s="5"/>
      <c r="G77" s="124"/>
      <c r="H77" s="2"/>
      <c r="I77" s="1"/>
      <c r="J77" s="1"/>
      <c r="K77" s="1"/>
      <c r="L77" s="1"/>
      <c r="M77" s="1"/>
      <c r="N77" s="1"/>
      <c r="O77" s="112"/>
      <c r="P77" s="1"/>
      <c r="Q77" s="1"/>
      <c r="R77" s="1"/>
      <c r="S77" s="1"/>
      <c r="T77" s="1"/>
      <c r="U77" s="1"/>
      <c r="V77" s="112"/>
      <c r="W77" s="112"/>
      <c r="X77" s="112"/>
      <c r="Y77" s="112"/>
      <c r="Z77" s="112"/>
      <c r="AA77" s="112"/>
      <c r="AB77" s="112"/>
      <c r="AC77" s="112"/>
      <c r="AD77" s="112"/>
      <c r="AE77" s="112"/>
      <c r="AF77" s="112"/>
    </row>
    <row r="78" spans="1:32" x14ac:dyDescent="0.3">
      <c r="A78" s="1"/>
      <c r="B78" s="556"/>
      <c r="C78" s="1948"/>
      <c r="D78" s="551" t="s">
        <v>135</v>
      </c>
      <c r="E78" s="557"/>
      <c r="F78" s="22"/>
      <c r="G78" s="2"/>
      <c r="H78" s="133">
        <f>IF(G76=0,0,G73+((G74*G75)/G76))</f>
        <v>0</v>
      </c>
      <c r="I78" s="1"/>
      <c r="J78" s="517">
        <f>IF(I76=0,0,I73+((I74*I75)/I76))</f>
        <v>0</v>
      </c>
      <c r="K78" s="1"/>
      <c r="L78" s="1985">
        <f>IF(K76=0,0,K73+((K74*K75)/K76))</f>
        <v>0</v>
      </c>
      <c r="M78" s="1986"/>
      <c r="N78" s="22"/>
      <c r="O78" s="112"/>
      <c r="P78" s="1"/>
      <c r="Q78" s="1"/>
      <c r="R78" s="1"/>
      <c r="S78" s="1"/>
      <c r="T78" s="1"/>
      <c r="U78" s="1"/>
      <c r="V78" s="112"/>
      <c r="W78" s="112"/>
      <c r="X78" s="112"/>
      <c r="Y78" s="112"/>
      <c r="Z78" s="112"/>
      <c r="AA78" s="112"/>
      <c r="AB78" s="112"/>
      <c r="AC78" s="112"/>
      <c r="AD78" s="112"/>
      <c r="AE78" s="112"/>
      <c r="AF78" s="112"/>
    </row>
    <row r="79" spans="1:32" x14ac:dyDescent="0.3">
      <c r="A79" s="1"/>
      <c r="B79" s="558" t="s">
        <v>338</v>
      </c>
      <c r="C79" s="1948"/>
      <c r="D79" s="551" t="s">
        <v>318</v>
      </c>
      <c r="E79" s="557"/>
      <c r="F79" s="22"/>
      <c r="G79" s="2"/>
      <c r="H79" s="134">
        <f>((H82-H78)*0.25)+H78</f>
        <v>0</v>
      </c>
      <c r="I79" s="1"/>
      <c r="J79" s="518">
        <f>((J82-J78)*0.25)+J78</f>
        <v>0</v>
      </c>
      <c r="K79" s="1"/>
      <c r="L79" s="1987">
        <f>((L82-L78)*0.25)+L78</f>
        <v>0</v>
      </c>
      <c r="M79" s="1988"/>
      <c r="N79" s="22"/>
      <c r="O79" s="112"/>
      <c r="P79" s="1"/>
      <c r="Q79" s="1"/>
      <c r="R79" s="1"/>
      <c r="S79" s="1"/>
      <c r="T79" s="1"/>
      <c r="U79" s="1"/>
      <c r="V79" s="112"/>
      <c r="W79" s="112"/>
      <c r="X79" s="112"/>
      <c r="Y79" s="112"/>
      <c r="Z79" s="112"/>
      <c r="AA79" s="112"/>
      <c r="AB79" s="112"/>
      <c r="AC79" s="112"/>
      <c r="AD79" s="112"/>
      <c r="AE79" s="112"/>
      <c r="AF79" s="112"/>
    </row>
    <row r="80" spans="1:32" x14ac:dyDescent="0.3">
      <c r="A80" s="1"/>
      <c r="B80" s="558"/>
      <c r="C80" s="1948"/>
      <c r="D80" s="551" t="s">
        <v>319</v>
      </c>
      <c r="E80" s="557"/>
      <c r="F80" s="22"/>
      <c r="G80" s="2"/>
      <c r="H80" s="134">
        <f>(H82+H78)/2</f>
        <v>0</v>
      </c>
      <c r="I80" s="1"/>
      <c r="J80" s="518">
        <f>(J82+J78)/2</f>
        <v>0</v>
      </c>
      <c r="K80" s="1"/>
      <c r="L80" s="1987">
        <f>(L82+L78)/2</f>
        <v>0</v>
      </c>
      <c r="M80" s="1988"/>
      <c r="N80" s="22"/>
      <c r="O80" s="112"/>
      <c r="P80" s="1"/>
      <c r="Q80" s="1"/>
      <c r="R80" s="1"/>
      <c r="S80" s="1"/>
      <c r="T80" s="1"/>
      <c r="U80" s="1"/>
      <c r="V80" s="112"/>
      <c r="W80" s="112"/>
      <c r="X80" s="112"/>
      <c r="Y80" s="112"/>
      <c r="Z80" s="112"/>
      <c r="AA80" s="112"/>
      <c r="AB80" s="112"/>
      <c r="AC80" s="112"/>
      <c r="AD80" s="112"/>
      <c r="AE80" s="112"/>
      <c r="AF80" s="112"/>
    </row>
    <row r="81" spans="1:32" x14ac:dyDescent="0.3">
      <c r="A81" s="1"/>
      <c r="B81" s="558" t="s">
        <v>339</v>
      </c>
      <c r="C81" s="1948"/>
      <c r="D81" s="551" t="s">
        <v>320</v>
      </c>
      <c r="E81" s="557"/>
      <c r="F81" s="22"/>
      <c r="G81" s="2"/>
      <c r="H81" s="134">
        <f>((H82-H78)*0.75)+H78</f>
        <v>0</v>
      </c>
      <c r="I81" s="1"/>
      <c r="J81" s="518">
        <f>((J82-J78)*0.75)+J78</f>
        <v>0</v>
      </c>
      <c r="K81" s="1"/>
      <c r="L81" s="1987">
        <f>((L82-L78)*0.75)+L78</f>
        <v>0</v>
      </c>
      <c r="M81" s="1988"/>
      <c r="N81" s="22"/>
      <c r="O81" s="112"/>
      <c r="P81" s="1"/>
      <c r="Q81" s="1"/>
      <c r="R81" s="1"/>
      <c r="S81" s="1"/>
      <c r="T81" s="1"/>
      <c r="U81" s="1"/>
      <c r="V81" s="112"/>
      <c r="W81" s="112"/>
      <c r="X81" s="112"/>
      <c r="Y81" s="112"/>
      <c r="Z81" s="112"/>
      <c r="AA81" s="112"/>
      <c r="AB81" s="112"/>
      <c r="AC81" s="112"/>
      <c r="AD81" s="112"/>
      <c r="AE81" s="112"/>
      <c r="AF81" s="112"/>
    </row>
    <row r="82" spans="1:32" ht="15.2" thickBot="1" x14ac:dyDescent="0.35">
      <c r="A82" s="1"/>
      <c r="B82" s="559"/>
      <c r="C82" s="1948"/>
      <c r="D82" s="551" t="s">
        <v>321</v>
      </c>
      <c r="E82" s="557"/>
      <c r="F82" s="22"/>
      <c r="G82" s="2"/>
      <c r="H82" s="135">
        <f>IF(H76=0,0,H73+((H74*H75)/H76))</f>
        <v>0</v>
      </c>
      <c r="I82" s="1"/>
      <c r="J82" s="519">
        <f>IF(J76=0,0,J73+((J74*J75)/J76))</f>
        <v>0</v>
      </c>
      <c r="K82" s="1"/>
      <c r="L82" s="1989">
        <f>IF(L76=0,0,L73+((L74*L75)/L76))</f>
        <v>0</v>
      </c>
      <c r="M82" s="1990"/>
      <c r="N82" s="22"/>
      <c r="O82" s="112"/>
      <c r="P82" s="1"/>
      <c r="Q82" s="1"/>
      <c r="R82" s="1"/>
      <c r="S82" s="1"/>
      <c r="T82" s="1"/>
      <c r="U82" s="1"/>
      <c r="V82" s="112"/>
      <c r="W82" s="112"/>
      <c r="X82" s="112"/>
      <c r="Y82" s="112"/>
      <c r="Z82" s="112"/>
      <c r="AA82" s="112"/>
      <c r="AB82" s="112"/>
      <c r="AC82" s="112"/>
      <c r="AD82" s="112"/>
      <c r="AE82" s="112"/>
      <c r="AF82" s="112"/>
    </row>
    <row r="83" spans="1:32" x14ac:dyDescent="0.3">
      <c r="A83" s="1"/>
      <c r="B83" s="1"/>
      <c r="C83" s="1"/>
      <c r="D83" s="1"/>
      <c r="E83" s="1"/>
      <c r="F83" s="1"/>
      <c r="G83" s="1"/>
      <c r="H83" s="1"/>
      <c r="I83" s="1"/>
      <c r="J83" s="1"/>
      <c r="K83" s="1"/>
      <c r="L83" s="1"/>
      <c r="M83" s="1"/>
      <c r="N83" s="1"/>
      <c r="O83" s="112"/>
      <c r="P83" s="1"/>
      <c r="Q83" s="1"/>
      <c r="R83" s="1"/>
      <c r="S83" s="1"/>
      <c r="T83" s="1"/>
      <c r="U83" s="1"/>
      <c r="V83" s="112"/>
      <c r="W83" s="112"/>
      <c r="X83" s="112"/>
      <c r="Y83" s="112"/>
      <c r="Z83" s="112"/>
      <c r="AA83" s="112"/>
      <c r="AB83" s="112"/>
      <c r="AC83" s="112"/>
      <c r="AD83" s="112"/>
      <c r="AE83" s="112"/>
      <c r="AF83" s="112"/>
    </row>
    <row r="84" spans="1:32" ht="15.2" thickBot="1" x14ac:dyDescent="0.35">
      <c r="A84" s="1"/>
      <c r="B84" s="2"/>
      <c r="C84" s="2"/>
      <c r="D84" s="2"/>
      <c r="E84" s="2"/>
      <c r="F84" s="2"/>
      <c r="G84" s="1962" t="s">
        <v>322</v>
      </c>
      <c r="H84" s="1962"/>
      <c r="I84" s="1963" t="s">
        <v>323</v>
      </c>
      <c r="J84" s="1963"/>
      <c r="K84" s="1964" t="s">
        <v>324</v>
      </c>
      <c r="L84" s="1964"/>
      <c r="M84" s="1964"/>
      <c r="N84" s="10"/>
      <c r="O84" s="112"/>
      <c r="P84" s="1"/>
      <c r="Q84" s="1"/>
      <c r="R84" s="1"/>
      <c r="S84" s="1"/>
      <c r="T84" s="1"/>
      <c r="U84" s="1"/>
      <c r="V84" s="112"/>
      <c r="W84" s="112"/>
      <c r="X84" s="112"/>
      <c r="Y84" s="112"/>
      <c r="Z84" s="112"/>
      <c r="AA84" s="112"/>
      <c r="AB84" s="112"/>
      <c r="AC84" s="112"/>
      <c r="AD84" s="112"/>
      <c r="AE84" s="112"/>
      <c r="AF84" s="112"/>
    </row>
    <row r="85" spans="1:32" ht="15.2" thickBot="1" x14ac:dyDescent="0.35">
      <c r="A85" s="1"/>
      <c r="B85" s="1991" t="s">
        <v>340</v>
      </c>
      <c r="C85" s="1992"/>
      <c r="D85" s="1992"/>
      <c r="E85" s="1993"/>
      <c r="F85" s="156"/>
      <c r="G85" s="125">
        <f>G43</f>
        <v>3</v>
      </c>
      <c r="H85" s="128">
        <f>IF($G$44="Basishonorarsatz",H78,IF($G$44="Viertelsatz",H79,IF($G$44="Mittelsatz",H80,IF($G$44="Dreiviertelsatz",H81,H82))))</f>
        <v>0</v>
      </c>
      <c r="I85" s="95"/>
      <c r="J85" s="560">
        <f>IF($G$44="Basishonorarsatz",J78,IF($G$44="Viertelsatz",J79,IF($G$44="Mittelsatz",J80,IF($G$44="Dreiviertelsatz",J81,J82))))</f>
        <v>0</v>
      </c>
      <c r="K85" s="95"/>
      <c r="L85" s="1994">
        <f>IF($G$44="Basishonorarsatz",L78,IF($G$44="Viertelsatz",L79,IF($G$44="Mittelsatz",L80,IF($G$44="Dreiviertelsatz",L81,L82))))</f>
        <v>0</v>
      </c>
      <c r="M85" s="1995"/>
      <c r="N85" s="25"/>
      <c r="O85" s="112"/>
      <c r="P85" s="1"/>
      <c r="Q85" s="1"/>
      <c r="R85" s="1"/>
      <c r="S85" s="1"/>
      <c r="T85" s="1"/>
      <c r="U85" s="1"/>
      <c r="V85" s="112"/>
      <c r="W85" s="112"/>
      <c r="X85" s="112"/>
      <c r="Y85" s="112"/>
      <c r="Z85" s="112"/>
      <c r="AA85" s="112"/>
      <c r="AB85" s="112"/>
      <c r="AC85" s="112"/>
      <c r="AD85" s="112"/>
      <c r="AE85" s="112"/>
      <c r="AF85" s="112"/>
    </row>
    <row r="86" spans="1:32" ht="15.2" thickBot="1" x14ac:dyDescent="0.35">
      <c r="A86" s="1"/>
      <c r="B86" s="1" t="s">
        <v>341</v>
      </c>
      <c r="C86" s="1"/>
      <c r="D86" s="1"/>
      <c r="E86" s="1"/>
      <c r="F86" s="1"/>
      <c r="G86" s="1"/>
      <c r="H86" s="1"/>
      <c r="I86" s="1"/>
      <c r="J86" s="1"/>
      <c r="K86" s="1"/>
      <c r="L86" s="1"/>
      <c r="M86" s="1"/>
      <c r="N86" s="1"/>
      <c r="O86" s="1"/>
      <c r="P86" s="1"/>
      <c r="Q86" s="1"/>
      <c r="R86" s="1"/>
      <c r="S86" s="1"/>
      <c r="T86" s="1"/>
      <c r="U86" s="1"/>
      <c r="V86" s="112"/>
      <c r="W86" s="112"/>
      <c r="X86" s="112"/>
      <c r="Y86" s="112"/>
      <c r="Z86" s="112"/>
      <c r="AA86" s="112"/>
      <c r="AB86" s="112"/>
      <c r="AC86" s="112"/>
      <c r="AD86" s="112"/>
      <c r="AE86" s="112"/>
      <c r="AF86" s="112"/>
    </row>
    <row r="87" spans="1:32" ht="15.2" thickBot="1" x14ac:dyDescent="0.35">
      <c r="A87" s="1"/>
      <c r="B87" s="1" t="s">
        <v>342</v>
      </c>
      <c r="C87" s="1"/>
      <c r="D87" s="1"/>
      <c r="E87" s="1"/>
      <c r="F87" s="1"/>
      <c r="G87" s="520"/>
      <c r="H87" s="1982" t="s">
        <v>343</v>
      </c>
      <c r="I87" s="1983"/>
      <c r="J87" s="1983"/>
      <c r="K87" s="1984"/>
      <c r="L87" s="108"/>
      <c r="M87" s="109"/>
      <c r="N87" s="1"/>
      <c r="O87" s="1"/>
      <c r="P87" s="1"/>
      <c r="Q87" s="1"/>
      <c r="R87" s="1"/>
      <c r="S87" s="1"/>
      <c r="T87" s="1"/>
      <c r="U87" s="1"/>
      <c r="V87" s="112"/>
      <c r="W87" s="112"/>
      <c r="X87" s="112"/>
      <c r="Y87" s="112"/>
      <c r="Z87" s="112"/>
      <c r="AA87" s="112"/>
      <c r="AB87" s="112"/>
      <c r="AC87" s="112"/>
      <c r="AD87" s="112"/>
      <c r="AE87" s="112"/>
      <c r="AF87" s="112"/>
    </row>
    <row r="88" spans="1:32" ht="15.2" thickBot="1" x14ac:dyDescent="0.35">
      <c r="A88" s="1"/>
      <c r="B88" s="1" t="s">
        <v>344</v>
      </c>
      <c r="C88" s="1"/>
      <c r="D88" s="1"/>
      <c r="E88" s="1"/>
      <c r="F88" s="1"/>
      <c r="G88" s="521"/>
      <c r="H88" s="1996" t="s">
        <v>539</v>
      </c>
      <c r="I88" s="1997"/>
      <c r="J88" s="1998" t="s">
        <v>346</v>
      </c>
      <c r="K88" s="1999"/>
      <c r="L88" s="83"/>
      <c r="M88" s="83"/>
      <c r="N88" s="1"/>
      <c r="O88" s="1"/>
      <c r="P88" s="1"/>
      <c r="Q88" s="1"/>
      <c r="R88" s="1"/>
      <c r="S88" s="1"/>
      <c r="T88" s="9"/>
      <c r="U88" s="9"/>
      <c r="V88" s="543"/>
      <c r="W88" s="112"/>
      <c r="X88" s="112"/>
      <c r="Y88" s="112"/>
      <c r="Z88" s="112"/>
      <c r="AA88" s="112"/>
      <c r="AB88" s="112"/>
      <c r="AC88" s="112"/>
      <c r="AD88" s="112"/>
      <c r="AE88" s="112"/>
      <c r="AF88" s="112"/>
    </row>
    <row r="89" spans="1:32" x14ac:dyDescent="0.3">
      <c r="A89" s="1"/>
      <c r="B89" s="1" t="s">
        <v>349</v>
      </c>
      <c r="C89" s="1"/>
      <c r="D89" s="1"/>
      <c r="E89" s="1"/>
      <c r="F89" s="1"/>
      <c r="G89" s="522">
        <v>1</v>
      </c>
      <c r="H89" s="2000">
        <f>IF(Bebauungsplan!T36="ja",Bebauungsplan!J36,0)</f>
        <v>0</v>
      </c>
      <c r="I89" s="2001"/>
      <c r="J89" s="2002">
        <f>IF(Bebauungsplan!T36="ja",Bebauungsplan!L65,0)</f>
        <v>0</v>
      </c>
      <c r="K89" s="2003"/>
      <c r="L89" s="83">
        <f>H89+J89</f>
        <v>0</v>
      </c>
      <c r="M89" s="83"/>
      <c r="N89" s="1"/>
      <c r="O89" s="1"/>
      <c r="P89" s="1"/>
      <c r="Q89" s="1"/>
      <c r="R89" s="1"/>
      <c r="S89" s="1"/>
      <c r="V89" s="544"/>
      <c r="W89" s="112"/>
      <c r="X89" s="112"/>
      <c r="Y89" s="112"/>
      <c r="Z89" s="112"/>
      <c r="AA89" s="112"/>
      <c r="AB89" s="112"/>
      <c r="AC89" s="112"/>
      <c r="AD89" s="112"/>
      <c r="AE89" s="112"/>
      <c r="AF89" s="112"/>
    </row>
    <row r="90" spans="1:32" x14ac:dyDescent="0.3">
      <c r="A90" s="1"/>
      <c r="B90" s="1"/>
      <c r="C90" s="1"/>
      <c r="D90" s="1"/>
      <c r="E90" s="1"/>
      <c r="F90" s="1"/>
      <c r="G90" s="82">
        <v>2</v>
      </c>
      <c r="H90" s="2004">
        <f>IF(Bebauungsplan!T66="ja",Bebauungsplan!J66,0)</f>
        <v>0</v>
      </c>
      <c r="I90" s="2005"/>
      <c r="J90" s="2006">
        <f>IF(Bebauungsplan!T66="ja",Bebauungsplan!L81,0)</f>
        <v>0</v>
      </c>
      <c r="K90" s="2007"/>
      <c r="L90" s="83">
        <f t="shared" ref="L90:L95" si="5">H90+J90</f>
        <v>0</v>
      </c>
      <c r="M90" s="83"/>
      <c r="N90" s="83"/>
      <c r="O90" s="1"/>
      <c r="P90" s="1"/>
      <c r="Q90" s="1"/>
      <c r="R90" s="1"/>
      <c r="S90" s="1"/>
      <c r="T90" s="12"/>
      <c r="U90" s="13"/>
      <c r="V90" s="545"/>
      <c r="W90" s="112"/>
      <c r="X90" s="112"/>
      <c r="Y90" s="112"/>
      <c r="Z90" s="112"/>
      <c r="AA90" s="112"/>
      <c r="AB90" s="112"/>
      <c r="AC90" s="112"/>
      <c r="AD90" s="112"/>
      <c r="AE90" s="112"/>
      <c r="AF90" s="112"/>
    </row>
    <row r="91" spans="1:32" x14ac:dyDescent="0.3">
      <c r="A91" s="1"/>
      <c r="B91" s="1" t="s">
        <v>341</v>
      </c>
      <c r="C91" s="1"/>
      <c r="D91" s="1"/>
      <c r="E91" s="1"/>
      <c r="F91" s="1"/>
      <c r="G91" s="82">
        <v>3</v>
      </c>
      <c r="H91" s="2004">
        <f>IF(Bebauungsplan!T82="ja",Bebauungsplan!J82,0)</f>
        <v>0</v>
      </c>
      <c r="I91" s="2005"/>
      <c r="J91" s="2006">
        <f>IF(Bebauungsplan!T82="ja",Bebauungsplan!L89,0)</f>
        <v>0</v>
      </c>
      <c r="K91" s="2007"/>
      <c r="L91" s="83">
        <f t="shared" si="5"/>
        <v>0</v>
      </c>
      <c r="M91" s="83"/>
      <c r="N91" s="83"/>
      <c r="O91" s="83"/>
      <c r="P91" s="1"/>
      <c r="Q91" s="1"/>
      <c r="R91" s="1"/>
      <c r="S91" s="1"/>
      <c r="T91" s="14"/>
      <c r="U91" s="13"/>
      <c r="V91" s="371"/>
      <c r="W91" s="112"/>
      <c r="X91" s="112"/>
      <c r="Y91" s="112"/>
      <c r="Z91" s="112"/>
      <c r="AA91" s="112"/>
      <c r="AB91" s="112"/>
      <c r="AC91" s="112"/>
      <c r="AD91" s="112"/>
      <c r="AE91" s="112"/>
      <c r="AF91" s="112"/>
    </row>
    <row r="92" spans="1:32" x14ac:dyDescent="0.3">
      <c r="A92" s="1"/>
      <c r="B92" s="1" t="s">
        <v>350</v>
      </c>
      <c r="C92" s="1"/>
      <c r="D92" s="1"/>
      <c r="E92" s="1"/>
      <c r="F92" s="1"/>
      <c r="G92" s="82"/>
      <c r="H92" s="2004"/>
      <c r="I92" s="2005"/>
      <c r="J92" s="2006"/>
      <c r="K92" s="2007"/>
      <c r="L92" s="83">
        <f t="shared" si="5"/>
        <v>0</v>
      </c>
      <c r="M92" s="83"/>
      <c r="N92" s="1"/>
      <c r="O92" s="1"/>
      <c r="P92" s="1"/>
      <c r="Q92" s="1"/>
      <c r="R92" s="1"/>
      <c r="S92" s="1"/>
      <c r="T92" s="14"/>
      <c r="U92" s="13"/>
      <c r="V92" s="371"/>
      <c r="W92" s="112"/>
      <c r="X92" s="112"/>
      <c r="Y92" s="112"/>
      <c r="Z92" s="112"/>
      <c r="AA92" s="112"/>
      <c r="AB92" s="112"/>
      <c r="AC92" s="112"/>
      <c r="AD92" s="112"/>
      <c r="AE92" s="112"/>
      <c r="AF92" s="112"/>
    </row>
    <row r="93" spans="1:32" x14ac:dyDescent="0.3">
      <c r="A93" s="1"/>
      <c r="B93" s="1"/>
      <c r="C93" s="1"/>
      <c r="D93" s="1"/>
      <c r="E93" s="1"/>
      <c r="F93" s="1"/>
      <c r="G93" s="82"/>
      <c r="H93" s="2004"/>
      <c r="I93" s="2005"/>
      <c r="J93" s="2006"/>
      <c r="K93" s="2007"/>
      <c r="L93" s="83">
        <f t="shared" si="5"/>
        <v>0</v>
      </c>
      <c r="M93" s="83"/>
      <c r="N93" s="1"/>
      <c r="O93" s="1"/>
      <c r="P93" s="1"/>
      <c r="Q93" s="1"/>
      <c r="R93" s="1"/>
      <c r="S93" s="1"/>
      <c r="T93" s="14"/>
      <c r="U93" s="13"/>
      <c r="V93" s="371"/>
      <c r="W93" s="112"/>
      <c r="X93" s="112"/>
      <c r="Y93" s="112"/>
      <c r="Z93" s="112"/>
      <c r="AA93" s="112"/>
      <c r="AB93" s="112"/>
      <c r="AC93" s="112"/>
      <c r="AD93" s="112"/>
      <c r="AE93" s="112"/>
      <c r="AF93" s="112"/>
    </row>
    <row r="94" spans="1:32" x14ac:dyDescent="0.3">
      <c r="A94" s="1"/>
      <c r="B94" s="1"/>
      <c r="C94" s="1"/>
      <c r="D94" s="1"/>
      <c r="E94" s="1"/>
      <c r="F94" s="1"/>
      <c r="G94" s="82"/>
      <c r="H94" s="2004"/>
      <c r="I94" s="2005"/>
      <c r="J94" s="2006"/>
      <c r="K94" s="2007"/>
      <c r="L94" s="83">
        <f t="shared" si="5"/>
        <v>0</v>
      </c>
      <c r="M94" s="83"/>
      <c r="N94" s="1"/>
      <c r="O94" s="1"/>
      <c r="P94" s="1"/>
      <c r="Q94" s="1"/>
      <c r="R94" s="1"/>
      <c r="S94" s="1"/>
      <c r="T94" s="14"/>
      <c r="U94" s="13"/>
      <c r="V94" s="371"/>
      <c r="W94" s="112"/>
      <c r="X94" s="112"/>
      <c r="Y94" s="112"/>
      <c r="Z94" s="112"/>
      <c r="AA94" s="112"/>
      <c r="AB94" s="112"/>
      <c r="AC94" s="112"/>
      <c r="AD94" s="112"/>
      <c r="AE94" s="112"/>
      <c r="AF94" s="112"/>
    </row>
    <row r="95" spans="1:32" x14ac:dyDescent="0.3">
      <c r="A95" s="1"/>
      <c r="B95" s="1"/>
      <c r="C95" s="1"/>
      <c r="D95" s="1"/>
      <c r="E95" s="1"/>
      <c r="F95" s="1"/>
      <c r="G95" s="86"/>
      <c r="H95" s="2004"/>
      <c r="I95" s="2005"/>
      <c r="J95" s="2006"/>
      <c r="K95" s="2007"/>
      <c r="L95" s="83">
        <f t="shared" si="5"/>
        <v>0</v>
      </c>
      <c r="M95" s="83"/>
      <c r="N95" s="1"/>
      <c r="O95" s="1"/>
      <c r="P95" s="1"/>
      <c r="Q95" s="1"/>
      <c r="R95" s="1"/>
      <c r="S95" s="1"/>
      <c r="T95" s="14"/>
      <c r="U95" s="13"/>
      <c r="V95" s="371"/>
      <c r="W95" s="112"/>
      <c r="X95" s="112"/>
      <c r="Y95" s="112"/>
      <c r="Z95" s="112"/>
      <c r="AA95" s="112"/>
      <c r="AB95" s="112"/>
      <c r="AC95" s="112"/>
      <c r="AD95" s="112"/>
      <c r="AE95" s="112"/>
      <c r="AF95" s="112"/>
    </row>
    <row r="96" spans="1:32" ht="15.2" thickBot="1" x14ac:dyDescent="0.35">
      <c r="A96" s="1"/>
      <c r="B96" s="1"/>
      <c r="C96" s="1"/>
      <c r="D96" s="1"/>
      <c r="E96" s="1"/>
      <c r="F96" s="1"/>
      <c r="G96" s="356"/>
      <c r="H96" s="2004"/>
      <c r="I96" s="2005"/>
      <c r="J96" s="2006"/>
      <c r="K96" s="2007"/>
      <c r="L96" s="83"/>
      <c r="M96" s="83"/>
      <c r="N96" s="1"/>
      <c r="O96" s="1"/>
      <c r="P96" s="1"/>
      <c r="Q96" s="1"/>
      <c r="R96" s="1"/>
      <c r="S96" s="1"/>
      <c r="T96" s="14"/>
      <c r="U96" s="13"/>
      <c r="V96" s="371"/>
      <c r="W96" s="112"/>
      <c r="X96" s="112"/>
      <c r="Y96" s="112"/>
      <c r="Z96" s="112"/>
      <c r="AA96" s="112"/>
      <c r="AB96" s="112"/>
      <c r="AC96" s="112"/>
      <c r="AD96" s="112"/>
      <c r="AE96" s="112"/>
      <c r="AF96" s="112"/>
    </row>
    <row r="97" spans="1:32" ht="15.2" thickBot="1" x14ac:dyDescent="0.35">
      <c r="A97" s="1"/>
      <c r="B97" s="1"/>
      <c r="C97" s="1"/>
      <c r="D97" s="1"/>
      <c r="E97" s="1"/>
      <c r="F97" s="1"/>
      <c r="G97" s="164" t="s">
        <v>357</v>
      </c>
      <c r="H97" s="2008">
        <f>SUM(H89:I96)</f>
        <v>0</v>
      </c>
      <c r="I97" s="2009"/>
      <c r="J97" s="2010">
        <f>SUM(J89:K96)</f>
        <v>0</v>
      </c>
      <c r="K97" s="2011"/>
      <c r="L97" s="84"/>
      <c r="M97" s="84"/>
      <c r="N97" s="1"/>
      <c r="O97" s="1"/>
      <c r="P97" s="1"/>
      <c r="Q97" s="1"/>
      <c r="R97" s="1"/>
      <c r="S97" s="1"/>
      <c r="T97" s="14"/>
      <c r="U97" s="13"/>
      <c r="V97" s="371"/>
      <c r="W97" s="112"/>
      <c r="X97" s="112"/>
      <c r="Y97" s="112"/>
      <c r="Z97" s="112"/>
      <c r="AA97" s="112"/>
      <c r="AB97" s="112"/>
      <c r="AC97" s="112"/>
      <c r="AD97" s="112"/>
      <c r="AE97" s="112"/>
      <c r="AF97" s="112"/>
    </row>
    <row r="98" spans="1:32" ht="15.2" thickBot="1" x14ac:dyDescent="0.35">
      <c r="A98" s="1"/>
      <c r="B98" s="1"/>
      <c r="C98" s="1"/>
      <c r="D98" s="1"/>
      <c r="E98" s="1"/>
      <c r="F98" s="1"/>
      <c r="G98" s="164" t="s">
        <v>540</v>
      </c>
      <c r="H98" s="2012">
        <f>H97*'Bauphysik - Raumakustik'!F21+H97</f>
        <v>0</v>
      </c>
      <c r="I98" s="2013"/>
      <c r="J98" s="85"/>
      <c r="K98" s="1"/>
      <c r="L98" s="1"/>
      <c r="M98" s="1"/>
      <c r="N98" s="1"/>
      <c r="O98" s="1"/>
      <c r="P98" s="1"/>
      <c r="Q98" s="1"/>
      <c r="R98" s="1"/>
      <c r="S98" s="1"/>
      <c r="T98" s="14"/>
      <c r="U98" s="13"/>
      <c r="V98" s="371"/>
      <c r="W98" s="112"/>
      <c r="X98" s="112"/>
      <c r="Y98" s="112"/>
      <c r="Z98" s="112"/>
      <c r="AA98" s="112"/>
      <c r="AB98" s="112"/>
      <c r="AC98" s="112"/>
      <c r="AD98" s="112"/>
      <c r="AE98" s="112"/>
      <c r="AF98" s="112"/>
    </row>
    <row r="99" spans="1:32" x14ac:dyDescent="0.3">
      <c r="A99" s="1"/>
      <c r="B99" s="1"/>
      <c r="C99" s="1"/>
      <c r="D99" s="1"/>
      <c r="E99" s="1"/>
      <c r="F99" s="1"/>
      <c r="G99" s="1"/>
      <c r="H99" s="1"/>
      <c r="I99" s="1"/>
      <c r="J99" s="1"/>
      <c r="K99" s="83"/>
      <c r="L99" s="1"/>
      <c r="M99" s="1"/>
      <c r="N99" s="1"/>
      <c r="O99" s="1"/>
      <c r="P99" s="1"/>
      <c r="Q99" s="1"/>
      <c r="R99" s="1"/>
      <c r="S99" s="1"/>
      <c r="T99" s="14"/>
      <c r="U99" s="13"/>
      <c r="V99" s="371"/>
      <c r="W99" s="112"/>
      <c r="X99" s="112"/>
      <c r="Y99" s="112"/>
      <c r="Z99" s="112"/>
      <c r="AA99" s="112"/>
      <c r="AB99" s="112"/>
      <c r="AC99" s="112"/>
      <c r="AD99" s="112"/>
      <c r="AE99" s="112"/>
      <c r="AF99" s="112"/>
    </row>
    <row r="100" spans="1:32" ht="15.2" thickBot="1" x14ac:dyDescent="0.35">
      <c r="A100" s="1"/>
      <c r="B100" s="1"/>
      <c r="C100" s="1"/>
      <c r="D100" s="1"/>
      <c r="E100" s="1"/>
      <c r="F100" s="1"/>
      <c r="G100" s="1"/>
      <c r="H100" s="1"/>
      <c r="I100" s="1"/>
      <c r="J100" s="1"/>
      <c r="K100" s="1"/>
      <c r="L100" s="1"/>
      <c r="M100" s="1"/>
      <c r="N100" s="1"/>
      <c r="O100" s="1"/>
      <c r="P100" s="1"/>
      <c r="Q100" s="1"/>
      <c r="R100" s="1"/>
      <c r="S100" s="1"/>
      <c r="T100" s="14"/>
      <c r="U100" s="13"/>
      <c r="V100" s="371"/>
      <c r="W100" s="112"/>
      <c r="X100" s="112"/>
      <c r="Y100" s="112"/>
      <c r="Z100" s="112"/>
      <c r="AA100" s="112"/>
      <c r="AB100" s="112"/>
      <c r="AC100" s="112"/>
      <c r="AD100" s="112"/>
      <c r="AE100" s="112"/>
      <c r="AF100" s="112"/>
    </row>
    <row r="101" spans="1:32" ht="15.2" thickBot="1" x14ac:dyDescent="0.35">
      <c r="A101" s="1"/>
      <c r="B101" s="366" t="s">
        <v>105</v>
      </c>
      <c r="C101" s="168" t="s">
        <v>285</v>
      </c>
      <c r="D101" s="169" t="s">
        <v>286</v>
      </c>
      <c r="E101" s="169" t="s">
        <v>287</v>
      </c>
      <c r="F101" s="169"/>
      <c r="G101" s="169"/>
      <c r="H101" s="169"/>
      <c r="I101" s="169"/>
      <c r="J101" s="169"/>
      <c r="K101" s="169"/>
      <c r="L101" s="169"/>
      <c r="M101" s="169"/>
      <c r="N101" s="169"/>
      <c r="O101" s="169"/>
      <c r="P101" s="169"/>
      <c r="Q101" s="391" t="s">
        <v>360</v>
      </c>
      <c r="R101" s="1"/>
      <c r="S101" s="1"/>
      <c r="T101" s="14"/>
      <c r="U101" s="13"/>
      <c r="V101" s="371"/>
      <c r="W101" s="112"/>
      <c r="X101" s="112"/>
      <c r="Y101" s="112"/>
      <c r="Z101" s="112"/>
      <c r="AA101" s="112"/>
      <c r="AB101" s="112"/>
      <c r="AC101" s="112"/>
      <c r="AD101" s="112"/>
      <c r="AE101" s="112"/>
      <c r="AF101" s="112"/>
    </row>
    <row r="102" spans="1:32" x14ac:dyDescent="0.3">
      <c r="A102" s="1"/>
      <c r="B102" s="240">
        <f>IF(Überblick!$H$53&gt;=1,1,"")</f>
        <v>1</v>
      </c>
      <c r="C102" s="159">
        <f>IF($B102=Bebauungsplan!$U$36,Bebauungsplan!$J$36*Bebauungsplan!$F$20+Bebauungsplan!$J$36+Bebauungsplan!$L$65,0)</f>
        <v>0</v>
      </c>
      <c r="D102" s="157">
        <f>IF($B102=Bebauungsplan!$U$66,Bebauungsplan!$J$66*Bebauungsplan!$F$20+Bebauungsplan!$J$66+Bebauungsplan!$L$81,0)</f>
        <v>0</v>
      </c>
      <c r="E102" s="157">
        <f>IF($B102=Bebauungsplan!$U$82,Bebauungsplan!$J$82*Bebauungsplan!$F$20+Bebauungsplan!$J$82+Bebauungsplan!$L$89,0)</f>
        <v>0</v>
      </c>
      <c r="F102" s="157"/>
      <c r="G102" s="157"/>
      <c r="H102" s="157"/>
      <c r="I102" s="157"/>
      <c r="J102" s="157"/>
      <c r="K102" s="157"/>
      <c r="L102" s="157"/>
      <c r="M102" s="157"/>
      <c r="N102" s="157"/>
      <c r="O102" s="157"/>
      <c r="P102" s="160"/>
      <c r="Q102" s="165">
        <f>SUM(C102:P102)</f>
        <v>0</v>
      </c>
      <c r="R102" s="1"/>
      <c r="S102" s="1"/>
      <c r="T102" s="14"/>
      <c r="U102" s="13"/>
      <c r="V102" s="371"/>
      <c r="W102" s="112"/>
      <c r="X102" s="112"/>
      <c r="Y102" s="112"/>
      <c r="Z102" s="112"/>
      <c r="AA102" s="112"/>
      <c r="AB102" s="112"/>
      <c r="AC102" s="112"/>
      <c r="AD102" s="112"/>
      <c r="AE102" s="112"/>
      <c r="AF102" s="112"/>
    </row>
    <row r="103" spans="1:32" x14ac:dyDescent="0.3">
      <c r="A103" s="1"/>
      <c r="B103" s="241">
        <f>IF(Überblick!$H$53&gt;=2,2,"")</f>
        <v>2</v>
      </c>
      <c r="C103" s="161">
        <f>IF($B103=Bebauungsplan!$U$36,Bebauungsplan!$J$36*Bebauungsplan!$F$20+Bebauungsplan!$J$36+Bebauungsplan!$L$65,0)</f>
        <v>0</v>
      </c>
      <c r="D103" s="158">
        <f>IF($B103=Bebauungsplan!$U$66,Bebauungsplan!$J$66*Bebauungsplan!$F$20+Bebauungsplan!$J$66+Bebauungsplan!$L$81,0)</f>
        <v>0</v>
      </c>
      <c r="E103" s="158">
        <f>IF($B103=Bebauungsplan!$U$82,Bebauungsplan!$J$82*Bebauungsplan!$F$20+Bebauungsplan!$J$82+Bebauungsplan!$L$89,0)</f>
        <v>0</v>
      </c>
      <c r="F103" s="158"/>
      <c r="G103" s="158"/>
      <c r="H103" s="158"/>
      <c r="I103" s="158"/>
      <c r="J103" s="158"/>
      <c r="K103" s="158"/>
      <c r="L103" s="158"/>
      <c r="M103" s="158"/>
      <c r="N103" s="158"/>
      <c r="O103" s="158"/>
      <c r="P103" s="546"/>
      <c r="Q103" s="166">
        <f t="shared" ref="Q103:Q110" si="6">SUM(C103:P103)</f>
        <v>0</v>
      </c>
      <c r="R103" s="1"/>
      <c r="S103" s="1"/>
      <c r="T103" s="14"/>
      <c r="U103" s="13"/>
      <c r="V103" s="371"/>
      <c r="W103" s="112"/>
      <c r="X103" s="112"/>
      <c r="Y103" s="112"/>
      <c r="Z103" s="112"/>
      <c r="AA103" s="112"/>
      <c r="AB103" s="112"/>
      <c r="AC103" s="112"/>
      <c r="AD103" s="112"/>
      <c r="AE103" s="112"/>
      <c r="AF103" s="112"/>
    </row>
    <row r="104" spans="1:32" x14ac:dyDescent="0.3">
      <c r="A104" s="1"/>
      <c r="B104" s="241">
        <f>IF(Überblick!$H$53&gt;=3,3,"")</f>
        <v>3</v>
      </c>
      <c r="C104" s="161">
        <f>IF($B104=Bebauungsplan!$U$36,Bebauungsplan!$J$36*Bebauungsplan!$F$20+Bebauungsplan!$J$36+Bebauungsplan!$L$65,0)</f>
        <v>0</v>
      </c>
      <c r="D104" s="158">
        <f>IF($B104=Bebauungsplan!$U$66,Bebauungsplan!$J$66*Bebauungsplan!$F$20+Bebauungsplan!$J$66+Bebauungsplan!$L$81,0)</f>
        <v>0</v>
      </c>
      <c r="E104" s="158">
        <f>IF($B104=Bebauungsplan!$U$82,Bebauungsplan!$J$82*Bebauungsplan!$F$20+Bebauungsplan!$J$82+Bebauungsplan!$L$89,0)</f>
        <v>0</v>
      </c>
      <c r="F104" s="158"/>
      <c r="G104" s="158"/>
      <c r="H104" s="158"/>
      <c r="I104" s="158"/>
      <c r="J104" s="158"/>
      <c r="K104" s="158"/>
      <c r="L104" s="158"/>
      <c r="M104" s="158"/>
      <c r="N104" s="158"/>
      <c r="O104" s="158"/>
      <c r="P104" s="546"/>
      <c r="Q104" s="166">
        <f t="shared" si="6"/>
        <v>0</v>
      </c>
      <c r="R104" s="1"/>
      <c r="S104" s="1"/>
      <c r="T104" s="14"/>
      <c r="U104" s="13"/>
      <c r="V104" s="371"/>
      <c r="W104" s="112"/>
      <c r="X104" s="112"/>
      <c r="Y104" s="112"/>
      <c r="Z104" s="112"/>
      <c r="AA104" s="112"/>
      <c r="AB104" s="112"/>
      <c r="AC104" s="112"/>
      <c r="AD104" s="112"/>
      <c r="AE104" s="112"/>
      <c r="AF104" s="112"/>
    </row>
    <row r="105" spans="1:32" x14ac:dyDescent="0.3">
      <c r="A105" s="1"/>
      <c r="B105" s="241">
        <f>IF(Überblick!$H$53&gt;=4,4,"")</f>
        <v>4</v>
      </c>
      <c r="C105" s="161">
        <f>IF($B105=Bebauungsplan!$U$36,Bebauungsplan!$J$36*Bebauungsplan!$F$20+Bebauungsplan!$J$36+Bebauungsplan!$L$65,0)</f>
        <v>0</v>
      </c>
      <c r="D105" s="158">
        <f>IF($B105=Bebauungsplan!$U$66,Bebauungsplan!$J$66*Bebauungsplan!$F$20+Bebauungsplan!$J$66+Bebauungsplan!$L$81,0)</f>
        <v>0</v>
      </c>
      <c r="E105" s="158">
        <f>IF($B105=Bebauungsplan!$U$82,Bebauungsplan!$J$82*Bebauungsplan!$F$20+Bebauungsplan!$J$82+Bebauungsplan!$L$89,0)</f>
        <v>0</v>
      </c>
      <c r="F105" s="158"/>
      <c r="G105" s="158"/>
      <c r="H105" s="158"/>
      <c r="I105" s="158"/>
      <c r="J105" s="158"/>
      <c r="K105" s="158"/>
      <c r="L105" s="158"/>
      <c r="M105" s="158"/>
      <c r="N105" s="158"/>
      <c r="O105" s="158"/>
      <c r="P105" s="546"/>
      <c r="Q105" s="166">
        <f>SUM(C105:P105)</f>
        <v>0</v>
      </c>
      <c r="R105" s="1"/>
      <c r="S105" s="1"/>
      <c r="T105" s="14"/>
      <c r="U105" s="13"/>
      <c r="V105" s="371"/>
      <c r="W105" s="112"/>
      <c r="X105" s="112"/>
      <c r="Y105" s="112"/>
      <c r="Z105" s="112"/>
      <c r="AA105" s="112"/>
      <c r="AB105" s="112"/>
      <c r="AC105" s="112"/>
      <c r="AD105" s="112"/>
      <c r="AE105" s="112"/>
      <c r="AF105" s="112"/>
    </row>
    <row r="106" spans="1:32" x14ac:dyDescent="0.3">
      <c r="A106" s="1"/>
      <c r="B106" s="241">
        <f>IF(Überblick!$H$53&gt;=5,5,"")</f>
        <v>5</v>
      </c>
      <c r="C106" s="161">
        <f>IF($B106=Bebauungsplan!$U$36,Bebauungsplan!$J$36*Bebauungsplan!$F$20+Bebauungsplan!$J$36+Bebauungsplan!$L$65,0)</f>
        <v>0</v>
      </c>
      <c r="D106" s="158">
        <f>IF($B106=Bebauungsplan!$U$66,Bebauungsplan!$J$66*Bebauungsplan!$F$20+Bebauungsplan!$J$66+Bebauungsplan!$L$81,0)</f>
        <v>0</v>
      </c>
      <c r="E106" s="158">
        <f>IF($B106=Bebauungsplan!$U$82,Bebauungsplan!$J$82*Bebauungsplan!$F$20+Bebauungsplan!$J$82+Bebauungsplan!$L$89,0)</f>
        <v>0</v>
      </c>
      <c r="F106" s="158"/>
      <c r="G106" s="158"/>
      <c r="H106" s="158"/>
      <c r="I106" s="158"/>
      <c r="J106" s="158"/>
      <c r="K106" s="158"/>
      <c r="L106" s="158"/>
      <c r="M106" s="158"/>
      <c r="N106" s="158"/>
      <c r="O106" s="158"/>
      <c r="P106" s="546"/>
      <c r="Q106" s="166">
        <f t="shared" si="6"/>
        <v>0</v>
      </c>
      <c r="R106" s="1"/>
      <c r="S106" s="1"/>
      <c r="T106" s="14"/>
      <c r="U106" s="13"/>
      <c r="V106" s="371"/>
      <c r="W106" s="112"/>
      <c r="X106" s="112"/>
      <c r="Y106" s="112"/>
      <c r="Z106" s="112"/>
      <c r="AA106" s="112"/>
      <c r="AB106" s="112"/>
      <c r="AC106" s="112"/>
      <c r="AD106" s="112"/>
      <c r="AE106" s="112"/>
      <c r="AF106" s="112"/>
    </row>
    <row r="107" spans="1:32" x14ac:dyDescent="0.3">
      <c r="A107" s="1"/>
      <c r="B107" s="241">
        <f>IF(Überblick!$H$53&gt;=6,6,"")</f>
        <v>6</v>
      </c>
      <c r="C107" s="161">
        <f>IF($B107=Bebauungsplan!$U$36,Bebauungsplan!$J$36*Bebauungsplan!$F$20+Bebauungsplan!$J$36+Bebauungsplan!$L$65,0)</f>
        <v>0</v>
      </c>
      <c r="D107" s="158">
        <f>IF($B107=Bebauungsplan!$U$66,Bebauungsplan!$J$66*Bebauungsplan!$F$20+Bebauungsplan!$J$66+Bebauungsplan!$L$81,0)</f>
        <v>0</v>
      </c>
      <c r="E107" s="158">
        <f>IF($B107=Bebauungsplan!$U$82,Bebauungsplan!$J$82*Bebauungsplan!$F$20+Bebauungsplan!$J$82+Bebauungsplan!$L$89,0)</f>
        <v>0</v>
      </c>
      <c r="F107" s="158"/>
      <c r="G107" s="158"/>
      <c r="H107" s="158"/>
      <c r="I107" s="158"/>
      <c r="J107" s="158"/>
      <c r="K107" s="158"/>
      <c r="L107" s="158"/>
      <c r="M107" s="158"/>
      <c r="N107" s="158"/>
      <c r="O107" s="158"/>
      <c r="P107" s="546"/>
      <c r="Q107" s="166">
        <f t="shared" si="6"/>
        <v>0</v>
      </c>
      <c r="R107" s="1"/>
      <c r="S107" s="1"/>
      <c r="T107" s="14"/>
      <c r="U107" s="13"/>
      <c r="V107" s="371"/>
      <c r="W107" s="112"/>
      <c r="X107" s="112"/>
      <c r="Y107" s="112"/>
      <c r="Z107" s="112"/>
      <c r="AA107" s="112"/>
      <c r="AB107" s="112"/>
      <c r="AC107" s="112"/>
      <c r="AD107" s="112"/>
      <c r="AE107" s="112"/>
      <c r="AF107" s="112"/>
    </row>
    <row r="108" spans="1:32" x14ac:dyDescent="0.3">
      <c r="A108" s="1"/>
      <c r="B108" s="241" t="str">
        <f>IF(Überblick!$H$53&gt;=7,7,"")</f>
        <v/>
      </c>
      <c r="C108" s="161">
        <f>IF($B108=Bebauungsplan!$U$36,Bebauungsplan!$J$36*Bebauungsplan!$F$20+Bebauungsplan!$J$36+Bebauungsplan!$L$65,0)</f>
        <v>0</v>
      </c>
      <c r="D108" s="158">
        <f>IF($B108=Bebauungsplan!$U$66,Bebauungsplan!$J$66*Bebauungsplan!$F$20+Bebauungsplan!$J$66+Bebauungsplan!$L$81,0)</f>
        <v>0</v>
      </c>
      <c r="E108" s="158">
        <f>IF($B108=Bebauungsplan!$U$82,Bebauungsplan!$J$82*Bebauungsplan!$F$20+Bebauungsplan!$J$82+Bebauungsplan!$L$89,0)</f>
        <v>0</v>
      </c>
      <c r="F108" s="158"/>
      <c r="G108" s="158"/>
      <c r="H108" s="158"/>
      <c r="I108" s="158"/>
      <c r="J108" s="158"/>
      <c r="K108" s="158"/>
      <c r="L108" s="158"/>
      <c r="M108" s="158"/>
      <c r="N108" s="158"/>
      <c r="O108" s="158"/>
      <c r="P108" s="546"/>
      <c r="Q108" s="166">
        <f t="shared" si="6"/>
        <v>0</v>
      </c>
      <c r="R108" s="1"/>
      <c r="S108" s="1"/>
      <c r="T108" s="14"/>
      <c r="U108" s="13"/>
      <c r="V108" s="371"/>
      <c r="W108" s="112"/>
      <c r="X108" s="112"/>
      <c r="Y108" s="112"/>
      <c r="Z108" s="112"/>
      <c r="AA108" s="112"/>
      <c r="AB108" s="112"/>
      <c r="AC108" s="112"/>
      <c r="AD108" s="112"/>
      <c r="AE108" s="112"/>
      <c r="AF108" s="112"/>
    </row>
    <row r="109" spans="1:32" x14ac:dyDescent="0.3">
      <c r="A109" s="1"/>
      <c r="B109" s="241" t="str">
        <f>IF(Überblick!$H$53&gt;=8,8,"")</f>
        <v/>
      </c>
      <c r="C109" s="161">
        <f>IF($B109=Bebauungsplan!$U$36,Bebauungsplan!$J$36*Bebauungsplan!$F$20+Bebauungsplan!$J$36+Bebauungsplan!$L$65,0)</f>
        <v>0</v>
      </c>
      <c r="D109" s="158">
        <f>IF($B109=Bebauungsplan!$U$66,Bebauungsplan!$J$66*Bebauungsplan!$F$20+Bebauungsplan!$J$66+Bebauungsplan!$L$81,0)</f>
        <v>0</v>
      </c>
      <c r="E109" s="158">
        <f>IF($B109=Bebauungsplan!$U$82,Bebauungsplan!$J$82*Bebauungsplan!$F$20+Bebauungsplan!$J$82+Bebauungsplan!$L$89,0)</f>
        <v>0</v>
      </c>
      <c r="F109" s="158"/>
      <c r="G109" s="158"/>
      <c r="H109" s="158"/>
      <c r="I109" s="158"/>
      <c r="J109" s="158"/>
      <c r="K109" s="158"/>
      <c r="L109" s="158"/>
      <c r="M109" s="158"/>
      <c r="N109" s="158"/>
      <c r="O109" s="158"/>
      <c r="P109" s="546"/>
      <c r="Q109" s="166">
        <f t="shared" si="6"/>
        <v>0</v>
      </c>
      <c r="R109" s="1"/>
      <c r="S109" s="1"/>
      <c r="T109" s="14"/>
      <c r="U109" s="13"/>
      <c r="V109" s="371"/>
      <c r="W109" s="112"/>
      <c r="X109" s="112"/>
      <c r="Y109" s="112"/>
      <c r="Z109" s="112"/>
      <c r="AA109" s="112"/>
      <c r="AB109" s="112"/>
      <c r="AC109" s="112"/>
      <c r="AD109" s="112"/>
      <c r="AE109" s="112"/>
      <c r="AF109" s="112"/>
    </row>
    <row r="110" spans="1:32" ht="15.2" thickBot="1" x14ac:dyDescent="0.35">
      <c r="B110" s="365" t="str">
        <f>IF(Überblick!$H$53&gt;=9,9,"")</f>
        <v/>
      </c>
      <c r="C110" s="162">
        <f>IF($B110=Bebauungsplan!$U$36,Bebauungsplan!$J$36*Bebauungsplan!$F$20+Bebauungsplan!$J$36+Bebauungsplan!$L$65,0)</f>
        <v>0</v>
      </c>
      <c r="D110" s="163">
        <f>IF($B110=Bebauungsplan!$U$66,Bebauungsplan!$J$66*Bebauungsplan!$F$20+Bebauungsplan!$J$66+Bebauungsplan!$L$81,0)</f>
        <v>0</v>
      </c>
      <c r="E110" s="163">
        <f>IF($B110=Bebauungsplan!$U$82,Bebauungsplan!$J$82*Bebauungsplan!$F$20+Bebauungsplan!$J$82+Bebauungsplan!$L$89,0)</f>
        <v>0</v>
      </c>
      <c r="F110" s="547"/>
      <c r="G110" s="547"/>
      <c r="H110" s="547"/>
      <c r="I110" s="547"/>
      <c r="J110" s="547"/>
      <c r="K110" s="547"/>
      <c r="L110" s="547"/>
      <c r="M110" s="547"/>
      <c r="N110" s="547"/>
      <c r="O110" s="547"/>
      <c r="P110" s="548"/>
      <c r="Q110" s="167">
        <f t="shared" si="6"/>
        <v>0</v>
      </c>
      <c r="V110" s="371"/>
      <c r="W110" s="112"/>
      <c r="X110" s="112"/>
      <c r="Y110" s="112"/>
      <c r="Z110" s="112"/>
      <c r="AA110" s="112"/>
      <c r="AB110" s="112"/>
      <c r="AC110" s="112"/>
      <c r="AD110" s="112"/>
      <c r="AE110" s="112"/>
      <c r="AF110" s="112"/>
    </row>
    <row r="111" spans="1:32" x14ac:dyDescent="0.3">
      <c r="A111" s="1"/>
      <c r="B111" s="1"/>
      <c r="C111" s="1"/>
      <c r="D111" s="1"/>
      <c r="E111" s="1"/>
      <c r="F111" s="1"/>
      <c r="G111" s="1"/>
      <c r="H111" s="1"/>
      <c r="I111" s="1"/>
      <c r="J111" s="1"/>
      <c r="V111" s="371"/>
      <c r="W111" s="112"/>
      <c r="X111" s="112"/>
      <c r="Y111" s="112"/>
      <c r="Z111" s="112"/>
      <c r="AA111" s="112"/>
      <c r="AB111" s="112"/>
      <c r="AC111" s="112"/>
      <c r="AD111" s="112"/>
      <c r="AE111" s="112"/>
      <c r="AF111" s="112"/>
    </row>
    <row r="112" spans="1:32" x14ac:dyDescent="0.3">
      <c r="A112" s="1"/>
      <c r="B112" s="1"/>
      <c r="C112" s="1"/>
      <c r="D112" s="1"/>
      <c r="E112" s="1"/>
      <c r="F112" s="1"/>
      <c r="G112" s="1"/>
      <c r="H112" s="1"/>
      <c r="I112" s="1"/>
      <c r="J112" s="1"/>
      <c r="V112" s="371"/>
      <c r="W112" s="112"/>
      <c r="X112" s="112"/>
      <c r="Y112" s="112"/>
      <c r="Z112" s="112"/>
      <c r="AA112" s="112"/>
      <c r="AB112" s="112"/>
      <c r="AC112" s="112"/>
      <c r="AD112" s="112"/>
      <c r="AE112" s="112"/>
      <c r="AF112" s="112"/>
    </row>
    <row r="113" spans="1:32" x14ac:dyDescent="0.3">
      <c r="A113" s="1"/>
      <c r="B113" s="1"/>
      <c r="C113" s="1"/>
      <c r="D113" s="1"/>
      <c r="E113" s="1"/>
      <c r="F113" s="1"/>
      <c r="G113" s="1"/>
      <c r="H113" s="1"/>
      <c r="I113" s="1"/>
      <c r="J113" s="1"/>
      <c r="V113" s="371"/>
      <c r="W113" s="112"/>
      <c r="X113" s="112"/>
      <c r="Y113" s="112"/>
      <c r="Z113" s="112"/>
      <c r="AA113" s="112"/>
      <c r="AB113" s="112"/>
      <c r="AC113" s="112"/>
      <c r="AD113" s="112"/>
      <c r="AE113" s="112"/>
      <c r="AF113" s="112"/>
    </row>
    <row r="114" spans="1:32" x14ac:dyDescent="0.3">
      <c r="A114" s="1"/>
      <c r="B114" s="1"/>
      <c r="C114" s="1"/>
      <c r="D114" s="1"/>
      <c r="E114" s="1"/>
      <c r="F114" s="1"/>
      <c r="G114" s="1"/>
      <c r="H114" s="1"/>
      <c r="I114" s="1"/>
      <c r="J114" s="1"/>
      <c r="V114" s="371"/>
      <c r="W114" s="112"/>
      <c r="X114" s="112"/>
      <c r="Y114" s="112"/>
      <c r="Z114" s="112"/>
      <c r="AA114" s="112"/>
      <c r="AB114" s="112"/>
      <c r="AC114" s="112"/>
      <c r="AD114" s="112"/>
      <c r="AE114" s="112"/>
      <c r="AF114" s="112"/>
    </row>
    <row r="115" spans="1:32" x14ac:dyDescent="0.3">
      <c r="A115" s="1"/>
      <c r="B115" s="1"/>
      <c r="C115" s="1"/>
      <c r="D115" s="1"/>
      <c r="E115" s="1"/>
      <c r="F115" s="1"/>
      <c r="G115" s="1"/>
      <c r="H115" s="1"/>
      <c r="I115" s="1"/>
      <c r="J115" s="1"/>
      <c r="V115" s="371"/>
      <c r="W115" s="112"/>
      <c r="X115" s="112"/>
      <c r="Y115" s="112"/>
      <c r="Z115" s="112"/>
      <c r="AA115" s="112"/>
      <c r="AB115" s="112"/>
      <c r="AC115" s="112"/>
      <c r="AD115" s="112"/>
      <c r="AE115" s="112"/>
      <c r="AF115" s="112"/>
    </row>
    <row r="116" spans="1:32" x14ac:dyDescent="0.3">
      <c r="A116" s="1"/>
      <c r="B116" s="1"/>
      <c r="C116" s="1"/>
      <c r="D116" s="1"/>
      <c r="E116" s="1"/>
      <c r="F116" s="1"/>
      <c r="G116" s="1"/>
      <c r="H116" s="1"/>
      <c r="I116" s="1"/>
      <c r="J116" s="1"/>
      <c r="V116" s="371"/>
      <c r="W116" s="112"/>
      <c r="X116" s="112"/>
      <c r="Y116" s="112"/>
      <c r="Z116" s="112"/>
      <c r="AA116" s="112"/>
      <c r="AB116" s="112"/>
      <c r="AC116" s="112"/>
      <c r="AD116" s="112"/>
      <c r="AE116" s="112"/>
      <c r="AF116" s="112"/>
    </row>
    <row r="117" spans="1:32" x14ac:dyDescent="0.3">
      <c r="A117" s="1"/>
      <c r="B117" s="1"/>
      <c r="C117" s="1"/>
      <c r="D117" s="1"/>
      <c r="E117" s="1"/>
      <c r="F117" s="1"/>
      <c r="G117" s="1"/>
      <c r="H117" s="1"/>
      <c r="I117" s="1"/>
      <c r="J117" s="1"/>
      <c r="V117" s="371"/>
      <c r="W117" s="112"/>
      <c r="X117" s="112"/>
      <c r="Y117" s="112"/>
      <c r="Z117" s="112"/>
      <c r="AA117" s="112"/>
      <c r="AB117" s="112"/>
      <c r="AC117" s="112"/>
      <c r="AD117" s="112"/>
      <c r="AE117" s="112"/>
      <c r="AF117" s="112"/>
    </row>
    <row r="118" spans="1:32" x14ac:dyDescent="0.3">
      <c r="A118" s="1"/>
      <c r="B118" s="1"/>
      <c r="C118" s="1"/>
      <c r="D118" s="1"/>
      <c r="E118" s="1"/>
      <c r="F118" s="1"/>
      <c r="G118" s="1"/>
      <c r="H118" s="1"/>
      <c r="I118" s="1"/>
      <c r="J118" s="1"/>
      <c r="V118" s="371"/>
      <c r="W118" s="112"/>
      <c r="X118" s="112"/>
      <c r="Y118" s="112"/>
      <c r="Z118" s="112"/>
      <c r="AA118" s="112"/>
      <c r="AB118" s="112"/>
      <c r="AC118" s="112"/>
      <c r="AD118" s="112"/>
      <c r="AE118" s="112"/>
      <c r="AF118" s="112"/>
    </row>
    <row r="119" spans="1:32" x14ac:dyDescent="0.3">
      <c r="A119" s="1"/>
      <c r="B119" s="1"/>
      <c r="C119" s="1"/>
      <c r="D119" s="1"/>
      <c r="E119" s="1"/>
      <c r="F119" s="1"/>
      <c r="G119" s="1"/>
      <c r="H119" s="1"/>
      <c r="I119" s="1"/>
      <c r="J119" s="1"/>
      <c r="V119" s="371"/>
      <c r="W119" s="112"/>
      <c r="X119" s="112"/>
      <c r="Y119" s="112"/>
      <c r="Z119" s="112"/>
      <c r="AA119" s="112"/>
      <c r="AB119" s="112"/>
      <c r="AC119" s="112"/>
      <c r="AD119" s="112"/>
      <c r="AE119" s="112"/>
      <c r="AF119" s="112"/>
    </row>
    <row r="120" spans="1:32" x14ac:dyDescent="0.3">
      <c r="A120" s="1"/>
      <c r="B120" s="1"/>
      <c r="C120" s="1"/>
      <c r="D120" s="1"/>
      <c r="E120" s="1"/>
      <c r="F120" s="1"/>
      <c r="G120" s="1"/>
      <c r="H120" s="1"/>
      <c r="I120" s="1"/>
      <c r="J120" s="1"/>
      <c r="V120" s="371"/>
      <c r="W120" s="112"/>
      <c r="X120" s="112"/>
      <c r="Y120" s="112"/>
      <c r="Z120" s="112"/>
      <c r="AA120" s="112"/>
      <c r="AB120" s="112"/>
      <c r="AC120" s="112"/>
      <c r="AD120" s="112"/>
      <c r="AE120" s="112"/>
      <c r="AF120" s="112"/>
    </row>
    <row r="121" spans="1:32" x14ac:dyDescent="0.3">
      <c r="A121" s="1"/>
      <c r="B121" s="1"/>
      <c r="C121" s="1"/>
      <c r="D121" s="1"/>
      <c r="E121" s="1"/>
      <c r="F121" s="1"/>
      <c r="G121" s="1"/>
      <c r="H121" s="1"/>
      <c r="I121" s="1"/>
      <c r="J121" s="1"/>
      <c r="V121" s="371"/>
      <c r="W121" s="112"/>
      <c r="X121" s="112"/>
      <c r="Y121" s="112"/>
      <c r="Z121" s="112"/>
      <c r="AA121" s="112"/>
      <c r="AB121" s="112"/>
      <c r="AC121" s="112"/>
      <c r="AD121" s="112"/>
      <c r="AE121" s="112"/>
      <c r="AF121" s="112"/>
    </row>
    <row r="122" spans="1:32" x14ac:dyDescent="0.3">
      <c r="A122" s="1"/>
      <c r="B122" s="1"/>
      <c r="C122" s="1"/>
      <c r="D122" s="1"/>
      <c r="E122" s="1"/>
      <c r="F122" s="1"/>
      <c r="G122" s="1"/>
      <c r="H122" s="1"/>
      <c r="I122" s="1"/>
      <c r="J122" s="1"/>
      <c r="V122" s="371"/>
      <c r="W122" s="112"/>
      <c r="X122" s="112"/>
      <c r="Y122" s="112"/>
      <c r="Z122" s="112"/>
      <c r="AA122" s="112"/>
      <c r="AB122" s="112"/>
      <c r="AC122" s="112"/>
      <c r="AD122" s="112"/>
      <c r="AE122" s="112"/>
      <c r="AF122" s="112"/>
    </row>
    <row r="123" spans="1:32" x14ac:dyDescent="0.3">
      <c r="A123" s="1"/>
      <c r="B123" s="1"/>
      <c r="C123" s="1"/>
      <c r="D123" s="1"/>
      <c r="E123" s="1"/>
      <c r="F123" s="1"/>
      <c r="G123" s="1"/>
      <c r="H123" s="1"/>
      <c r="I123" s="1"/>
      <c r="J123" s="1"/>
      <c r="V123" s="371"/>
      <c r="W123" s="112"/>
      <c r="X123" s="112"/>
      <c r="Y123" s="112"/>
      <c r="Z123" s="112"/>
      <c r="AA123" s="112"/>
      <c r="AB123" s="112"/>
      <c r="AC123" s="112"/>
      <c r="AD123" s="112"/>
      <c r="AE123" s="112"/>
      <c r="AF123" s="112"/>
    </row>
    <row r="124" spans="1:32" x14ac:dyDescent="0.3">
      <c r="A124" s="1"/>
      <c r="B124" s="1"/>
      <c r="C124" s="1"/>
      <c r="D124" s="1"/>
      <c r="E124" s="1"/>
      <c r="F124" s="1"/>
      <c r="G124" s="1"/>
      <c r="H124" s="1"/>
      <c r="I124" s="1"/>
      <c r="J124" s="1"/>
      <c r="V124" s="371"/>
      <c r="W124" s="112"/>
      <c r="X124" s="112"/>
      <c r="Y124" s="112"/>
      <c r="Z124" s="112"/>
      <c r="AA124" s="112"/>
      <c r="AB124" s="112"/>
      <c r="AC124" s="112"/>
      <c r="AD124" s="112"/>
      <c r="AE124" s="112"/>
      <c r="AF124" s="112"/>
    </row>
    <row r="125" spans="1:32" x14ac:dyDescent="0.3">
      <c r="A125" s="1"/>
      <c r="B125" s="1"/>
      <c r="C125" s="1"/>
      <c r="D125" s="1"/>
      <c r="E125" s="1"/>
      <c r="F125" s="1"/>
      <c r="G125" s="1"/>
      <c r="H125" s="1"/>
      <c r="I125" s="1"/>
      <c r="J125" s="1"/>
      <c r="V125" s="371"/>
      <c r="W125" s="112"/>
      <c r="X125" s="112"/>
      <c r="Y125" s="112"/>
      <c r="Z125" s="112"/>
      <c r="AA125" s="112"/>
      <c r="AB125" s="112"/>
      <c r="AC125" s="112"/>
      <c r="AD125" s="112"/>
      <c r="AE125" s="112"/>
      <c r="AF125" s="112"/>
    </row>
    <row r="126" spans="1:32" x14ac:dyDescent="0.3">
      <c r="A126" s="1"/>
      <c r="B126" s="1"/>
      <c r="C126" s="1"/>
      <c r="D126" s="1"/>
      <c r="E126" s="1"/>
      <c r="F126" s="1"/>
      <c r="G126" s="1"/>
      <c r="H126" s="1"/>
      <c r="I126" s="1"/>
      <c r="J126" s="1"/>
      <c r="V126" s="371"/>
      <c r="W126" s="112"/>
      <c r="X126" s="112"/>
      <c r="Y126" s="112"/>
      <c r="Z126" s="112"/>
      <c r="AA126" s="112"/>
      <c r="AB126" s="112"/>
      <c r="AC126" s="112"/>
      <c r="AD126" s="112"/>
      <c r="AE126" s="112"/>
      <c r="AF126" s="112"/>
    </row>
    <row r="127" spans="1:32" x14ac:dyDescent="0.3">
      <c r="A127" s="1"/>
      <c r="B127" s="1"/>
      <c r="C127" s="1"/>
      <c r="D127" s="1"/>
      <c r="E127" s="1"/>
      <c r="F127" s="1"/>
      <c r="G127" s="1"/>
      <c r="H127" s="1"/>
      <c r="I127" s="1"/>
      <c r="J127" s="1"/>
    </row>
    <row r="128" spans="1:32" x14ac:dyDescent="0.3">
      <c r="A128" s="1"/>
      <c r="B128" s="1"/>
      <c r="C128" s="1"/>
      <c r="D128" s="1"/>
      <c r="E128" s="1"/>
      <c r="F128" s="1"/>
      <c r="G128" s="1"/>
      <c r="H128" s="1"/>
      <c r="I128" s="1"/>
      <c r="J128" s="1"/>
    </row>
    <row r="129" spans="1:10" x14ac:dyDescent="0.3">
      <c r="A129" s="1"/>
      <c r="B129" s="1"/>
      <c r="C129" s="83">
        <f>'Berechnung - Bebauungsplan'!C102</f>
        <v>0</v>
      </c>
      <c r="D129" s="1"/>
      <c r="E129" s="1"/>
      <c r="F129" s="1"/>
      <c r="G129" s="1"/>
      <c r="H129" s="1"/>
      <c r="I129" s="1"/>
      <c r="J129" s="1"/>
    </row>
    <row r="130" spans="1:10" x14ac:dyDescent="0.3">
      <c r="A130" s="1"/>
      <c r="B130" s="1"/>
      <c r="C130" s="1"/>
      <c r="D130" s="1"/>
      <c r="E130" s="1"/>
      <c r="F130" s="1"/>
      <c r="G130" s="1"/>
      <c r="H130" s="1"/>
      <c r="I130" s="1"/>
      <c r="J130" s="1"/>
    </row>
    <row r="131" spans="1:10" x14ac:dyDescent="0.3">
      <c r="A131" s="1"/>
      <c r="B131" s="1"/>
      <c r="C131" s="1"/>
      <c r="D131" s="1"/>
      <c r="E131" s="1"/>
      <c r="F131" s="1"/>
      <c r="G131" s="1"/>
      <c r="H131" s="1"/>
      <c r="I131" s="1"/>
      <c r="J131" s="1"/>
    </row>
    <row r="132" spans="1:10" x14ac:dyDescent="0.3">
      <c r="A132" s="1"/>
      <c r="B132" s="1"/>
      <c r="C132" s="1"/>
      <c r="D132" s="1"/>
      <c r="E132" s="1"/>
      <c r="F132" s="1"/>
      <c r="G132" s="1"/>
      <c r="H132" s="1"/>
      <c r="I132" s="1"/>
      <c r="J132" s="1"/>
    </row>
    <row r="133" spans="1:10" x14ac:dyDescent="0.3">
      <c r="A133" s="1"/>
      <c r="B133" s="1"/>
      <c r="C133" s="1"/>
      <c r="D133" s="1"/>
      <c r="E133" s="1"/>
      <c r="F133" s="1"/>
      <c r="G133" s="1"/>
      <c r="H133" s="1"/>
      <c r="I133" s="1"/>
      <c r="J133" s="1"/>
    </row>
    <row r="134" spans="1:10" x14ac:dyDescent="0.3">
      <c r="A134" s="1"/>
      <c r="B134" s="1"/>
      <c r="C134" s="1"/>
      <c r="D134" s="1"/>
      <c r="E134" s="1"/>
      <c r="F134" s="1"/>
      <c r="G134" s="1"/>
      <c r="H134" s="1"/>
      <c r="I134" s="1"/>
      <c r="J134" s="1"/>
    </row>
    <row r="135" spans="1:10" x14ac:dyDescent="0.3">
      <c r="A135" s="1"/>
      <c r="B135" s="1"/>
      <c r="C135" s="1"/>
      <c r="D135" s="1"/>
      <c r="E135" s="1"/>
      <c r="F135" s="1"/>
      <c r="G135" s="1"/>
      <c r="H135" s="1"/>
      <c r="I135" s="1"/>
      <c r="J135" s="1"/>
    </row>
    <row r="136" spans="1:10" x14ac:dyDescent="0.3">
      <c r="A136" s="1"/>
      <c r="B136" s="1"/>
      <c r="C136" s="1"/>
      <c r="D136" s="1"/>
      <c r="E136" s="1"/>
      <c r="F136" s="1"/>
      <c r="G136" s="1"/>
      <c r="H136" s="1"/>
      <c r="I136" s="1"/>
      <c r="J136" s="1"/>
    </row>
    <row r="137" spans="1:10" x14ac:dyDescent="0.3">
      <c r="A137" s="1"/>
      <c r="B137" s="1"/>
      <c r="C137" s="1"/>
      <c r="D137" s="1"/>
      <c r="E137" s="1"/>
      <c r="F137" s="1"/>
      <c r="G137" s="1"/>
      <c r="H137" s="1"/>
      <c r="I137" s="1"/>
      <c r="J137" s="1"/>
    </row>
    <row r="138" spans="1:10" x14ac:dyDescent="0.3">
      <c r="A138" s="1"/>
      <c r="B138" s="1"/>
      <c r="C138" s="1"/>
      <c r="D138" s="1"/>
      <c r="E138" s="1"/>
      <c r="F138" s="1"/>
      <c r="G138" s="1"/>
      <c r="H138" s="1"/>
      <c r="I138" s="1"/>
      <c r="J138" s="1"/>
    </row>
  </sheetData>
  <mergeCells count="98">
    <mergeCell ref="H97:I97"/>
    <mergeCell ref="J97:K97"/>
    <mergeCell ref="H98:I98"/>
    <mergeCell ref="H94:I94"/>
    <mergeCell ref="J94:K94"/>
    <mergeCell ref="H95:I95"/>
    <mergeCell ref="J95:K95"/>
    <mergeCell ref="H96:I96"/>
    <mergeCell ref="J96:K96"/>
    <mergeCell ref="H91:I91"/>
    <mergeCell ref="J91:K91"/>
    <mergeCell ref="H92:I92"/>
    <mergeCell ref="J92:K92"/>
    <mergeCell ref="H93:I93"/>
    <mergeCell ref="J93:K93"/>
    <mergeCell ref="H88:I88"/>
    <mergeCell ref="J88:K88"/>
    <mergeCell ref="H89:I89"/>
    <mergeCell ref="J89:K89"/>
    <mergeCell ref="H90:I90"/>
    <mergeCell ref="J90:K90"/>
    <mergeCell ref="H87:K87"/>
    <mergeCell ref="B75:E75"/>
    <mergeCell ref="L75:M75"/>
    <mergeCell ref="B76:E76"/>
    <mergeCell ref="L76:M76"/>
    <mergeCell ref="C78:C82"/>
    <mergeCell ref="L78:M78"/>
    <mergeCell ref="L79:M79"/>
    <mergeCell ref="L80:M80"/>
    <mergeCell ref="L81:M81"/>
    <mergeCell ref="L82:M82"/>
    <mergeCell ref="G84:H84"/>
    <mergeCell ref="I84:J84"/>
    <mergeCell ref="K84:M84"/>
    <mergeCell ref="B85:E85"/>
    <mergeCell ref="L85:M85"/>
    <mergeCell ref="B74:E74"/>
    <mergeCell ref="L74:M74"/>
    <mergeCell ref="L63:M63"/>
    <mergeCell ref="B64:E64"/>
    <mergeCell ref="L64:M64"/>
    <mergeCell ref="B65:E65"/>
    <mergeCell ref="L65:M65"/>
    <mergeCell ref="B66:E66"/>
    <mergeCell ref="L66:M66"/>
    <mergeCell ref="B67:E67"/>
    <mergeCell ref="L67:M67"/>
    <mergeCell ref="L72:M72"/>
    <mergeCell ref="B73:E73"/>
    <mergeCell ref="L73:M73"/>
    <mergeCell ref="L52:M52"/>
    <mergeCell ref="L53:M53"/>
    <mergeCell ref="B55:D59"/>
    <mergeCell ref="E55:E56"/>
    <mergeCell ref="L55:M55"/>
    <mergeCell ref="L56:M56"/>
    <mergeCell ref="L57:M57"/>
    <mergeCell ref="L58:M58"/>
    <mergeCell ref="L59:M59"/>
    <mergeCell ref="B49:D53"/>
    <mergeCell ref="E49:E50"/>
    <mergeCell ref="L49:M49"/>
    <mergeCell ref="L50:M50"/>
    <mergeCell ref="L51:M51"/>
    <mergeCell ref="B44:E44"/>
    <mergeCell ref="G44:H44"/>
    <mergeCell ref="G48:H48"/>
    <mergeCell ref="I48:J48"/>
    <mergeCell ref="K48:M48"/>
    <mergeCell ref="B39:E39"/>
    <mergeCell ref="G39:H39"/>
    <mergeCell ref="I39:J39"/>
    <mergeCell ref="K39:L39"/>
    <mergeCell ref="B43:E43"/>
    <mergeCell ref="G43:H43"/>
    <mergeCell ref="K38:L38"/>
    <mergeCell ref="P5:Q5"/>
    <mergeCell ref="D7:E7"/>
    <mergeCell ref="G7:H7"/>
    <mergeCell ref="J7:K7"/>
    <mergeCell ref="M7:N7"/>
    <mergeCell ref="P7:Q7"/>
    <mergeCell ref="D31:H31"/>
    <mergeCell ref="D33:D37"/>
    <mergeCell ref="G33:G37"/>
    <mergeCell ref="G38:H38"/>
    <mergeCell ref="I38:J38"/>
    <mergeCell ref="B4:B7"/>
    <mergeCell ref="D4:E4"/>
    <mergeCell ref="G4:H4"/>
    <mergeCell ref="J4:K4"/>
    <mergeCell ref="M4:N4"/>
    <mergeCell ref="P4:Q4"/>
    <mergeCell ref="D5:E5"/>
    <mergeCell ref="G5:H5"/>
    <mergeCell ref="J5:K5"/>
    <mergeCell ref="M5:N5"/>
  </mergeCells>
  <conditionalFormatting sqref="C102:D102 D104:P104 C103:C110 D103 E102:P103 F105:P109 D105:E110">
    <cfRule type="cellIs" dxfId="595" priority="8" operator="greaterThan">
      <formula>0</formula>
    </cfRule>
  </conditionalFormatting>
  <conditionalFormatting sqref="B8:B27">
    <cfRule type="colorScale" priority="7">
      <colorScale>
        <cfvo type="min"/>
        <cfvo type="percentile" val="50"/>
        <cfvo type="max"/>
        <color rgb="FF63BE7B"/>
        <color rgb="FFFFEB84"/>
        <color rgb="FFF8696B"/>
      </colorScale>
    </cfRule>
  </conditionalFormatting>
  <conditionalFormatting sqref="D8:D27">
    <cfRule type="colorScale" priority="6">
      <colorScale>
        <cfvo type="min"/>
        <cfvo type="percentile" val="50"/>
        <cfvo type="max"/>
        <color rgb="FF63BE7B"/>
        <color rgb="FFFFEB84"/>
        <color rgb="FFF8696B"/>
      </colorScale>
    </cfRule>
  </conditionalFormatting>
  <conditionalFormatting sqref="E8:E27">
    <cfRule type="colorScale" priority="5">
      <colorScale>
        <cfvo type="min"/>
        <cfvo type="percentile" val="50"/>
        <cfvo type="max"/>
        <color rgb="FF63BE7B"/>
        <color rgb="FFFFEB84"/>
        <color rgb="FFF8696B"/>
      </colorScale>
    </cfRule>
  </conditionalFormatting>
  <conditionalFormatting sqref="G8:G27">
    <cfRule type="colorScale" priority="4">
      <colorScale>
        <cfvo type="min"/>
        <cfvo type="percentile" val="50"/>
        <cfvo type="max"/>
        <color rgb="FF63BE7B"/>
        <color rgb="FFFFEB84"/>
        <color rgb="FFF8696B"/>
      </colorScale>
    </cfRule>
  </conditionalFormatting>
  <conditionalFormatting sqref="H8:H27">
    <cfRule type="colorScale" priority="3">
      <colorScale>
        <cfvo type="min"/>
        <cfvo type="percentile" val="50"/>
        <cfvo type="max"/>
        <color rgb="FF63BE7B"/>
        <color rgb="FFFFEB84"/>
        <color rgb="FFF8696B"/>
      </colorScale>
    </cfRule>
  </conditionalFormatting>
  <conditionalFormatting sqref="J8:J27">
    <cfRule type="colorScale" priority="2">
      <colorScale>
        <cfvo type="min"/>
        <cfvo type="percentile" val="50"/>
        <cfvo type="max"/>
        <color rgb="FF63BE7B"/>
        <color rgb="FFFFEB84"/>
        <color rgb="FFF8696B"/>
      </colorScale>
    </cfRule>
  </conditionalFormatting>
  <conditionalFormatting sqref="K8:K27">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494C-D3BF-40DD-8590-9A6D1FA8F7BA}">
  <sheetPr>
    <tabColor rgb="FFFFC000"/>
  </sheetPr>
  <dimension ref="A1:AK294"/>
  <sheetViews>
    <sheetView zoomScaleNormal="100" workbookViewId="0">
      <selection activeCell="F9" sqref="F9:I11"/>
    </sheetView>
  </sheetViews>
  <sheetFormatPr baseColWidth="10" defaultColWidth="11.44140625" defaultRowHeight="13.9" x14ac:dyDescent="0.25"/>
  <cols>
    <col min="1" max="1" width="9.21875" style="840" customWidth="1"/>
    <col min="2" max="21" width="9.21875" style="39" customWidth="1"/>
    <col min="22" max="22" width="9.21875" style="72" customWidth="1"/>
    <col min="23" max="28" width="11.44140625" style="72"/>
    <col min="29" max="31" width="11.44140625" style="68"/>
    <col min="32" max="16384" width="11.44140625" style="39"/>
  </cols>
  <sheetData>
    <row r="1" spans="1:34" x14ac:dyDescent="0.25">
      <c r="A1" s="493" t="str">
        <f>Überblick!X115</f>
        <v/>
      </c>
      <c r="B1" s="188" t="str">
        <f>IF(Überblick!B2=Überblick!L4,'Technische Ausrüstung'!Q1,'Technische Ausrüstung'!Q2)</f>
        <v>Honorarangebot - Technische Ausrüstung</v>
      </c>
      <c r="Q1" s="185" t="s">
        <v>955</v>
      </c>
      <c r="T1" s="963" t="str">
        <f>'Hochbauplanung '!T1</f>
        <v>Version: 27.06.2023</v>
      </c>
      <c r="U1" s="963"/>
    </row>
    <row r="2" spans="1:34" x14ac:dyDescent="0.25">
      <c r="A2" s="491"/>
      <c r="Q2" s="185" t="s">
        <v>956</v>
      </c>
      <c r="R2" s="535" t="s">
        <v>110</v>
      </c>
      <c r="S2" s="1389" t="str">
        <f>IF(Überblick!Q2=0,"",Überblick!Q2)</f>
        <v/>
      </c>
      <c r="T2" s="1389"/>
      <c r="U2" s="1389"/>
    </row>
    <row r="3" spans="1:34" x14ac:dyDescent="0.25">
      <c r="A3" s="491" t="s">
        <v>112</v>
      </c>
      <c r="B3" s="40" t="s">
        <v>452</v>
      </c>
      <c r="G3" s="883" t="s">
        <v>998</v>
      </c>
      <c r="H3" s="878"/>
      <c r="I3" s="878"/>
      <c r="J3" s="878"/>
      <c r="K3" s="878"/>
      <c r="L3" s="878"/>
      <c r="R3" s="535" t="s">
        <v>24</v>
      </c>
      <c r="S3" s="1389" t="str">
        <f>IF(Überblick!G29=0,"",Überblick!G29)</f>
        <v>Breite Strasse, 10178 Berlin-Mitte, zw. Neumannsgasse und Scharrenstrasse</v>
      </c>
      <c r="T3" s="1389"/>
      <c r="U3" s="1389"/>
    </row>
    <row r="4" spans="1:34" ht="14.55" thickBot="1" x14ac:dyDescent="0.3">
      <c r="A4" s="491"/>
      <c r="R4" s="535" t="s">
        <v>17</v>
      </c>
      <c r="S4" s="1389" t="str">
        <f>IF(Überblick!D19=0,"",Überblick!D19)</f>
        <v/>
      </c>
      <c r="T4" s="1389"/>
      <c r="U4" s="1389"/>
    </row>
    <row r="5" spans="1:3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34" ht="14.55" thickBot="1" x14ac:dyDescent="0.3">
      <c r="A6" s="491"/>
      <c r="B6" s="45"/>
      <c r="C6" s="46"/>
      <c r="D6" s="46"/>
      <c r="E6" s="46"/>
      <c r="F6" s="1215" t="s">
        <v>120</v>
      </c>
      <c r="G6" s="1216"/>
      <c r="H6" s="1217"/>
      <c r="I6" s="1218"/>
      <c r="J6" s="1213" t="s">
        <v>120</v>
      </c>
      <c r="K6" s="1214"/>
      <c r="L6" s="1217"/>
      <c r="M6" s="1218"/>
      <c r="N6" s="1213" t="s">
        <v>120</v>
      </c>
      <c r="O6" s="1214"/>
      <c r="P6" s="1217"/>
      <c r="Q6" s="1218"/>
      <c r="R6" s="87"/>
      <c r="S6" s="87"/>
      <c r="T6" s="87"/>
      <c r="U6" s="87"/>
      <c r="V6" s="87"/>
      <c r="W6" s="87"/>
      <c r="X6" s="87"/>
    </row>
    <row r="7" spans="1:3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34" ht="14.55" thickBot="1" x14ac:dyDescent="0.3">
      <c r="A8" s="491"/>
      <c r="B8" s="1599" t="s">
        <v>366</v>
      </c>
      <c r="C8" s="1600"/>
      <c r="D8" s="1600"/>
      <c r="E8" s="1601"/>
      <c r="F8" s="1205">
        <f>H8*1.19</f>
        <v>0</v>
      </c>
      <c r="G8" s="1237"/>
      <c r="H8" s="1219"/>
      <c r="I8" s="1220"/>
      <c r="J8" s="1205">
        <f>L8*1.19</f>
        <v>0</v>
      </c>
      <c r="K8" s="1206"/>
      <c r="L8" s="1207"/>
      <c r="M8" s="1208"/>
      <c r="N8" s="1205">
        <f>P8*1.19</f>
        <v>0</v>
      </c>
      <c r="O8" s="1206"/>
      <c r="P8" s="1207"/>
      <c r="Q8" s="1208"/>
      <c r="R8" s="96">
        <f>H8+L8+P8</f>
        <v>0</v>
      </c>
      <c r="S8" s="96">
        <f>IF((R8+AB245)&gt;0,1,0)</f>
        <v>0</v>
      </c>
      <c r="T8" s="96"/>
      <c r="U8" s="96"/>
      <c r="V8" s="96"/>
      <c r="W8" s="96"/>
      <c r="X8" s="96"/>
    </row>
    <row r="9" spans="1:34" x14ac:dyDescent="0.25">
      <c r="A9" s="491"/>
      <c r="B9" s="49"/>
      <c r="C9" s="49"/>
      <c r="D9" s="49"/>
      <c r="E9" s="49"/>
      <c r="F9" s="1138" t="str">
        <f>IF(H8&gt;'Berechnung - Tech. Ausrüstung'!$A$25,$R$9,"")</f>
        <v/>
      </c>
      <c r="G9" s="1138"/>
      <c r="H9" s="1138"/>
      <c r="I9" s="1138"/>
      <c r="J9" s="1138" t="str">
        <f>IF(L8&gt;'Berechnung - Tech. Ausrüstung'!$A$25,$R$9,"")</f>
        <v/>
      </c>
      <c r="K9" s="1138"/>
      <c r="L9" s="1138"/>
      <c r="M9" s="1138"/>
      <c r="N9" s="1138" t="str">
        <f>IF(P8&gt;'Berechnung - Tech. Ausrüstung'!$A$25,$R$9,"")</f>
        <v/>
      </c>
      <c r="O9" s="1138"/>
      <c r="P9" s="1138"/>
      <c r="Q9" s="1138"/>
      <c r="R9" s="96" t="s">
        <v>124</v>
      </c>
      <c r="S9" s="96"/>
      <c r="T9" s="96"/>
      <c r="U9" s="96"/>
      <c r="V9" s="96"/>
      <c r="W9" s="96"/>
      <c r="X9" s="96"/>
      <c r="AF9" s="68"/>
      <c r="AG9" s="68"/>
      <c r="AH9" s="68"/>
    </row>
    <row r="10" spans="1:3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c r="AF10" s="68"/>
      <c r="AG10" s="68"/>
      <c r="AH10" s="68"/>
    </row>
    <row r="11" spans="1:3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c r="AF11" s="68"/>
      <c r="AG11" s="68"/>
      <c r="AH11" s="68"/>
    </row>
    <row r="12" spans="1:34" x14ac:dyDescent="0.25">
      <c r="A12" s="491"/>
      <c r="B12" s="39" t="s">
        <v>130</v>
      </c>
      <c r="R12" s="72"/>
      <c r="S12" s="72"/>
      <c r="T12" s="72"/>
      <c r="U12" s="72"/>
    </row>
    <row r="13" spans="1:34" x14ac:dyDescent="0.25">
      <c r="A13" s="491"/>
      <c r="B13" s="39" t="s">
        <v>131</v>
      </c>
      <c r="R13" s="72"/>
      <c r="S13" s="72"/>
      <c r="T13" s="72"/>
      <c r="U13" s="72"/>
    </row>
    <row r="14" spans="1:34" ht="14.55" thickBot="1" x14ac:dyDescent="0.3">
      <c r="A14" s="491"/>
      <c r="B14" s="40"/>
      <c r="G14" s="54"/>
      <c r="H14" s="840"/>
      <c r="I14" s="57"/>
      <c r="J14" s="54"/>
      <c r="K14" s="54"/>
      <c r="L14" s="57"/>
      <c r="M14" s="58"/>
      <c r="N14" s="58"/>
      <c r="O14" s="59"/>
      <c r="R14" s="72"/>
      <c r="S14" s="351"/>
      <c r="T14" s="96"/>
      <c r="U14" s="72"/>
    </row>
    <row r="15" spans="1:3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3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row>
    <row r="19" spans="1:24" ht="14.55" thickBot="1" x14ac:dyDescent="0.3">
      <c r="A19" s="491"/>
      <c r="B19" s="40"/>
      <c r="C19" s="40"/>
      <c r="D19" s="40"/>
      <c r="E19" s="69"/>
      <c r="F19" s="1596">
        <f>'Berechnung - Tech. Ausrüstung'!H105</f>
        <v>0</v>
      </c>
      <c r="G19" s="1597"/>
      <c r="H19" s="1597"/>
      <c r="I19" s="1598"/>
      <c r="J19" s="1596" t="str">
        <f>IF('Berechnung - Tech. Ausrüstung'!J105=0,"Kostenschätzung liegt noch nicht vor",'Berechnung - Tech. Ausrüstung'!J105)</f>
        <v>Kostenschätzung liegt noch nicht vor</v>
      </c>
      <c r="K19" s="1597"/>
      <c r="L19" s="1597"/>
      <c r="M19" s="1598"/>
      <c r="N19" s="1596" t="str">
        <f>IF('Berechnung - Tech. Ausrüstung'!L105=0,"Kostenberechnung liegt noch nicht vor",'Berechnung - Tech. Ausrüstung'!L105)</f>
        <v>Kostenberechnung liegt noch nicht vor</v>
      </c>
      <c r="O19" s="1597"/>
      <c r="P19" s="1597"/>
      <c r="Q19" s="1598"/>
      <c r="R19" s="72"/>
      <c r="S19" s="351"/>
      <c r="T19" s="96"/>
      <c r="U19" s="72"/>
    </row>
    <row r="20" spans="1:24" x14ac:dyDescent="0.25">
      <c r="A20" s="491"/>
      <c r="B20" s="40"/>
      <c r="G20" s="54"/>
      <c r="H20" s="840"/>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0</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840"/>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480</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37" ht="14.55" thickBot="1" x14ac:dyDescent="0.3">
      <c r="A34" s="1516"/>
      <c r="B34" s="1129"/>
      <c r="C34" s="1130"/>
      <c r="D34" s="1130"/>
      <c r="E34" s="1130"/>
      <c r="F34" s="1130"/>
      <c r="G34" s="1130"/>
      <c r="H34" s="1133"/>
      <c r="I34" s="1136"/>
      <c r="J34" s="1521"/>
      <c r="K34" s="1522"/>
      <c r="L34" s="176"/>
      <c r="M34" s="115"/>
      <c r="N34" s="115"/>
      <c r="O34" s="115"/>
      <c r="P34" s="116"/>
      <c r="Q34" s="116"/>
      <c r="R34" s="838"/>
      <c r="S34" s="117"/>
      <c r="T34" s="117"/>
      <c r="U34" s="118"/>
      <c r="V34" s="81"/>
      <c r="W34" s="81"/>
    </row>
    <row r="35" spans="1:37" ht="15" customHeight="1" thickBot="1" x14ac:dyDescent="0.3">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608"/>
      <c r="T35" s="1605" t="s">
        <v>156</v>
      </c>
      <c r="U35" s="1371" t="s">
        <v>157</v>
      </c>
      <c r="Y35" s="73" t="s">
        <v>5</v>
      </c>
      <c r="Z35" s="72" t="s">
        <v>374</v>
      </c>
      <c r="AA35" s="81"/>
      <c r="AB35" s="81"/>
      <c r="AC35" s="118"/>
      <c r="AF35" s="68"/>
      <c r="AG35" s="68"/>
      <c r="AH35" s="68"/>
      <c r="AI35" s="68"/>
      <c r="AJ35" s="68"/>
      <c r="AK35" s="68"/>
    </row>
    <row r="36" spans="1:37"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c r="AF36" s="68"/>
      <c r="AG36" s="68"/>
      <c r="AH36" s="68"/>
      <c r="AI36" s="68"/>
      <c r="AJ36" s="68"/>
      <c r="AK36" s="68"/>
    </row>
    <row r="37" spans="1:37"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c r="AF37" s="68"/>
      <c r="AG37" s="68"/>
      <c r="AH37" s="68"/>
      <c r="AI37" s="68"/>
      <c r="AJ37" s="68"/>
      <c r="AK37" s="68"/>
    </row>
    <row r="38" spans="1:37" ht="14.55" thickBot="1" x14ac:dyDescent="0.3">
      <c r="A38" s="1516"/>
      <c r="B38" s="1082" t="s">
        <v>159</v>
      </c>
      <c r="C38" s="1083"/>
      <c r="D38" s="1083"/>
      <c r="E38" s="1083"/>
      <c r="F38" s="1083"/>
      <c r="G38" s="1084"/>
      <c r="H38" s="869"/>
      <c r="I38" s="1378"/>
      <c r="J38" s="1379"/>
      <c r="K38" s="1632"/>
      <c r="L38" s="1378"/>
      <c r="M38" s="1379"/>
      <c r="N38" s="1379"/>
      <c r="O38" s="1379"/>
      <c r="P38" s="1380"/>
      <c r="Q38" s="209"/>
      <c r="R38" s="1381"/>
      <c r="S38" s="1382"/>
      <c r="T38" s="174"/>
      <c r="U38" s="334"/>
      <c r="Y38" s="73"/>
      <c r="AA38" s="149"/>
      <c r="AB38" s="149"/>
      <c r="AC38" s="119"/>
      <c r="AF38" s="68"/>
      <c r="AG38" s="68"/>
      <c r="AH38" s="68"/>
      <c r="AI38" s="68"/>
      <c r="AJ38" s="68"/>
      <c r="AK38" s="68"/>
    </row>
    <row r="39" spans="1:37" ht="15.95" customHeight="1" thickBot="1" x14ac:dyDescent="0.3">
      <c r="A39" s="1516"/>
      <c r="B39" s="1497" t="s">
        <v>375</v>
      </c>
      <c r="C39" s="1498"/>
      <c r="D39" s="1498"/>
      <c r="E39" s="1498"/>
      <c r="F39" s="1498"/>
      <c r="G39" s="1499"/>
      <c r="H39" s="1194" t="s">
        <v>100</v>
      </c>
      <c r="I39" s="1016">
        <f>Z54</f>
        <v>0</v>
      </c>
      <c r="J39" s="1027">
        <f>I35*I39</f>
        <v>0</v>
      </c>
      <c r="K39" s="1028"/>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78">
        <f>IF(Q39="ja",1,0)</f>
        <v>0</v>
      </c>
      <c r="AF39" s="68"/>
      <c r="AG39" s="68"/>
      <c r="AH39" s="68"/>
      <c r="AI39" s="68"/>
      <c r="AJ39" s="68"/>
      <c r="AK39" s="68"/>
    </row>
    <row r="40" spans="1:37" ht="15" customHeight="1"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78">
        <f t="shared" ref="AB40:AB103" si="0">IF(Q40="ja",1,0)</f>
        <v>0</v>
      </c>
      <c r="AF40" s="68"/>
      <c r="AG40" s="68"/>
      <c r="AH40" s="68"/>
      <c r="AI40" s="68"/>
      <c r="AJ40" s="68"/>
      <c r="AK40" s="68"/>
    </row>
    <row r="41" spans="1:37" ht="15" customHeight="1"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78">
        <f t="shared" si="0"/>
        <v>0</v>
      </c>
      <c r="AF41" s="68"/>
      <c r="AG41" s="68"/>
      <c r="AH41" s="68"/>
      <c r="AI41" s="68"/>
      <c r="AJ41" s="68"/>
      <c r="AK41" s="68"/>
    </row>
    <row r="42" spans="1:37" ht="15" customHeight="1" thickBot="1" x14ac:dyDescent="0.3">
      <c r="A42" s="1516"/>
      <c r="B42" s="1493" t="s">
        <v>377</v>
      </c>
      <c r="C42" s="1317"/>
      <c r="D42" s="1317"/>
      <c r="E42" s="1317"/>
      <c r="F42" s="1317"/>
      <c r="G42" s="1494"/>
      <c r="H42" s="982" t="s">
        <v>100</v>
      </c>
      <c r="I42" s="1017"/>
      <c r="J42" s="1029"/>
      <c r="K42" s="1030"/>
      <c r="L42" s="1544"/>
      <c r="M42" s="1545"/>
      <c r="N42" s="1545"/>
      <c r="O42" s="1545"/>
      <c r="P42" s="1545"/>
      <c r="Q42" s="978"/>
      <c r="R42" s="972"/>
      <c r="S42" s="973"/>
      <c r="T42" s="1543"/>
      <c r="U42" s="1337"/>
      <c r="Y42" s="74">
        <v>3.0000000000000001E-3</v>
      </c>
      <c r="Z42" s="77">
        <f>IF(H42="ja",Y42,0)</f>
        <v>0</v>
      </c>
      <c r="AA42" s="78"/>
      <c r="AB42" s="78">
        <f t="shared" si="0"/>
        <v>0</v>
      </c>
      <c r="AF42" s="68"/>
      <c r="AG42" s="68"/>
      <c r="AH42" s="68"/>
      <c r="AI42" s="68"/>
      <c r="AJ42" s="68"/>
      <c r="AK42" s="68"/>
    </row>
    <row r="43" spans="1:37" ht="15" customHeight="1"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78">
        <f t="shared" si="0"/>
        <v>0</v>
      </c>
      <c r="AF43" s="68"/>
      <c r="AG43" s="68"/>
      <c r="AH43" s="68"/>
      <c r="AI43" s="68"/>
      <c r="AJ43" s="68"/>
      <c r="AK43" s="68"/>
    </row>
    <row r="44" spans="1:37" ht="15.95" customHeight="1" thickBot="1" x14ac:dyDescent="0.3">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78">
        <f t="shared" si="0"/>
        <v>0</v>
      </c>
      <c r="AF44" s="68"/>
      <c r="AG44" s="68"/>
      <c r="AH44" s="68"/>
      <c r="AI44" s="68"/>
      <c r="AJ44" s="68"/>
      <c r="AK44" s="68"/>
    </row>
    <row r="45" spans="1:37" ht="15" customHeight="1" thickBot="1" x14ac:dyDescent="0.3">
      <c r="A45" s="1516"/>
      <c r="B45" s="1493" t="s">
        <v>171</v>
      </c>
      <c r="C45" s="1317"/>
      <c r="D45" s="1317"/>
      <c r="E45" s="1317"/>
      <c r="F45" s="1317"/>
      <c r="G45" s="1494"/>
      <c r="H45" s="1191" t="s">
        <v>100</v>
      </c>
      <c r="I45" s="1017"/>
      <c r="J45" s="1029"/>
      <c r="K45" s="1030"/>
      <c r="L45" s="1544"/>
      <c r="M45" s="1545"/>
      <c r="N45" s="1545"/>
      <c r="O45" s="1545"/>
      <c r="P45" s="1545"/>
      <c r="Q45" s="978"/>
      <c r="R45" s="972"/>
      <c r="S45" s="973"/>
      <c r="T45" s="1543"/>
      <c r="U45" s="1337"/>
      <c r="Y45" s="74">
        <v>2E-3</v>
      </c>
      <c r="Z45" s="77">
        <f>IF(H45="ja",Y45,0)</f>
        <v>0</v>
      </c>
      <c r="AA45" s="78"/>
      <c r="AB45" s="78">
        <f t="shared" si="0"/>
        <v>0</v>
      </c>
      <c r="AF45" s="68"/>
      <c r="AG45" s="68"/>
      <c r="AH45" s="68"/>
      <c r="AI45" s="68"/>
      <c r="AJ45" s="68"/>
      <c r="AK45" s="68"/>
    </row>
    <row r="46" spans="1:37" ht="15" customHeight="1"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78">
        <f t="shared" si="0"/>
        <v>0</v>
      </c>
      <c r="AF46" s="68"/>
      <c r="AG46" s="68"/>
      <c r="AH46" s="68"/>
      <c r="AI46" s="68"/>
      <c r="AJ46" s="68"/>
      <c r="AK46" s="68"/>
    </row>
    <row r="47" spans="1:37" ht="15.95" customHeight="1" thickBot="1" x14ac:dyDescent="0.3">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78">
        <f t="shared" si="0"/>
        <v>0</v>
      </c>
      <c r="AF47" s="68"/>
      <c r="AG47" s="68"/>
      <c r="AH47" s="68"/>
      <c r="AI47" s="68"/>
      <c r="AJ47" s="68"/>
      <c r="AK47" s="68"/>
    </row>
    <row r="48" spans="1:37" ht="15" customHeight="1"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78">
        <f t="shared" si="0"/>
        <v>0</v>
      </c>
      <c r="AF48" s="68"/>
      <c r="AG48" s="68"/>
      <c r="AH48" s="68"/>
      <c r="AI48" s="68"/>
      <c r="AJ48" s="68"/>
      <c r="AK48" s="68"/>
    </row>
    <row r="49" spans="1:37" ht="15" customHeight="1" thickBot="1" x14ac:dyDescent="0.3">
      <c r="A49" s="1516"/>
      <c r="B49" s="1493"/>
      <c r="C49" s="1317"/>
      <c r="D49" s="1317"/>
      <c r="E49" s="1317"/>
      <c r="F49" s="1317"/>
      <c r="G49" s="1494"/>
      <c r="H49" s="1191"/>
      <c r="I49" s="1017"/>
      <c r="J49" s="1029"/>
      <c r="K49" s="1030"/>
      <c r="L49" s="1532" t="s">
        <v>380</v>
      </c>
      <c r="M49" s="1533"/>
      <c r="N49" s="1533"/>
      <c r="O49" s="1533"/>
      <c r="P49" s="1533"/>
      <c r="Q49" s="855" t="s">
        <v>100</v>
      </c>
      <c r="R49" s="972"/>
      <c r="S49" s="973"/>
      <c r="T49" s="1543"/>
      <c r="U49" s="1337"/>
      <c r="V49" s="72">
        <f>IF(AND(Q49="ja",R49=""),1,0)</f>
        <v>0</v>
      </c>
      <c r="Y49" s="74"/>
      <c r="Z49" s="77"/>
      <c r="AA49" s="78"/>
      <c r="AB49" s="78">
        <f t="shared" si="0"/>
        <v>0</v>
      </c>
      <c r="AF49" s="68"/>
      <c r="AG49" s="68"/>
      <c r="AH49" s="68"/>
      <c r="AI49" s="68"/>
      <c r="AJ49" s="68"/>
      <c r="AK49" s="68"/>
    </row>
    <row r="50" spans="1:37" ht="15" customHeight="1" thickBot="1" x14ac:dyDescent="0.3">
      <c r="A50" s="1516"/>
      <c r="B50" s="1493"/>
      <c r="C50" s="1317"/>
      <c r="D50" s="1317"/>
      <c r="E50" s="1317"/>
      <c r="F50" s="1317"/>
      <c r="G50" s="1494"/>
      <c r="H50" s="1191"/>
      <c r="I50" s="1017"/>
      <c r="J50" s="1029"/>
      <c r="K50" s="1030"/>
      <c r="L50" s="1532" t="s">
        <v>381</v>
      </c>
      <c r="M50" s="1533"/>
      <c r="N50" s="1533"/>
      <c r="O50" s="1533"/>
      <c r="P50" s="1533"/>
      <c r="Q50" s="855" t="s">
        <v>100</v>
      </c>
      <c r="R50" s="972"/>
      <c r="S50" s="973"/>
      <c r="T50" s="1543"/>
      <c r="U50" s="1337"/>
      <c r="V50" s="72">
        <f>IF(AND(Q50="ja",R50=""),1,0)</f>
        <v>0</v>
      </c>
      <c r="Y50" s="74"/>
      <c r="Z50" s="77"/>
      <c r="AA50" s="78"/>
      <c r="AB50" s="78">
        <f t="shared" si="0"/>
        <v>0</v>
      </c>
      <c r="AF50" s="68"/>
      <c r="AG50" s="68"/>
      <c r="AH50" s="68"/>
      <c r="AI50" s="68"/>
      <c r="AJ50" s="68"/>
      <c r="AK50" s="68"/>
    </row>
    <row r="51" spans="1:37" ht="15.95" customHeight="1" thickBot="1" x14ac:dyDescent="0.3">
      <c r="A51" s="1516"/>
      <c r="B51" s="1493"/>
      <c r="C51" s="1317"/>
      <c r="D51" s="1317"/>
      <c r="E51" s="1317"/>
      <c r="F51" s="1317"/>
      <c r="G51" s="1494"/>
      <c r="H51" s="1191"/>
      <c r="I51" s="1017"/>
      <c r="J51" s="1029"/>
      <c r="K51" s="1030"/>
      <c r="L51" s="1544" t="s">
        <v>382</v>
      </c>
      <c r="M51" s="1545"/>
      <c r="N51" s="1545"/>
      <c r="O51" s="1545"/>
      <c r="P51" s="1545"/>
      <c r="Q51" s="978" t="s">
        <v>100</v>
      </c>
      <c r="R51" s="972"/>
      <c r="S51" s="973"/>
      <c r="T51" s="1543"/>
      <c r="U51" s="1337"/>
      <c r="V51" s="72">
        <f>IF(AND(Q51="ja",R51=""),1,0)</f>
        <v>0</v>
      </c>
      <c r="Y51" s="74"/>
      <c r="Z51" s="77"/>
      <c r="AA51" s="78"/>
      <c r="AB51" s="78">
        <f t="shared" si="0"/>
        <v>0</v>
      </c>
      <c r="AF51" s="68"/>
      <c r="AG51" s="68"/>
      <c r="AH51" s="68"/>
      <c r="AI51" s="68"/>
      <c r="AJ51" s="68"/>
      <c r="AK51" s="68"/>
    </row>
    <row r="52" spans="1:37" ht="15" customHeight="1"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78">
        <f t="shared" si="0"/>
        <v>0</v>
      </c>
      <c r="AF52" s="68"/>
      <c r="AG52" s="68"/>
      <c r="AH52" s="68"/>
      <c r="AI52" s="68"/>
      <c r="AJ52" s="68"/>
      <c r="AK52" s="68"/>
    </row>
    <row r="53" spans="1:37" ht="15.95" customHeight="1" thickBot="1" x14ac:dyDescent="0.3">
      <c r="A53" s="1516"/>
      <c r="B53" s="1592"/>
      <c r="C53" s="1593"/>
      <c r="D53" s="1593"/>
      <c r="E53" s="1593"/>
      <c r="F53" s="1593"/>
      <c r="G53" s="1594"/>
      <c r="H53" s="1192"/>
      <c r="I53" s="1018"/>
      <c r="J53" s="1031"/>
      <c r="K53" s="1032"/>
      <c r="L53" s="1546" t="s">
        <v>383</v>
      </c>
      <c r="M53" s="1547"/>
      <c r="N53" s="1547"/>
      <c r="O53" s="1547"/>
      <c r="P53" s="1547"/>
      <c r="Q53" s="856" t="s">
        <v>100</v>
      </c>
      <c r="R53" s="976"/>
      <c r="S53" s="977"/>
      <c r="T53" s="1543"/>
      <c r="U53" s="1337"/>
      <c r="V53" s="72">
        <f>IF(AND(Q53="ja",R53=""),1,0)</f>
        <v>0</v>
      </c>
      <c r="Y53" s="74"/>
      <c r="Z53" s="77"/>
      <c r="AA53" s="78"/>
      <c r="AB53" s="78">
        <f t="shared" si="0"/>
        <v>0</v>
      </c>
      <c r="AF53" s="68"/>
      <c r="AG53" s="68"/>
      <c r="AH53" s="68"/>
      <c r="AI53" s="68"/>
      <c r="AJ53" s="68"/>
      <c r="AK53" s="68"/>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0</v>
      </c>
      <c r="AA54" s="77"/>
      <c r="AB54" s="78">
        <f t="shared" si="0"/>
        <v>0</v>
      </c>
      <c r="AF54" s="68"/>
      <c r="AG54" s="68"/>
      <c r="AH54" s="68"/>
      <c r="AI54" s="68"/>
      <c r="AJ54" s="68"/>
      <c r="AK54" s="68"/>
    </row>
    <row r="55" spans="1:37" ht="15.95" customHeight="1" thickBot="1" x14ac:dyDescent="0.3">
      <c r="A55" s="1516"/>
      <c r="B55" s="1497" t="s">
        <v>384</v>
      </c>
      <c r="C55" s="1498"/>
      <c r="D55" s="1498"/>
      <c r="E55" s="1498"/>
      <c r="F55" s="1498"/>
      <c r="G55" s="1498"/>
      <c r="H55" s="1194" t="s">
        <v>100</v>
      </c>
      <c r="I55" s="1016">
        <f>Z78</f>
        <v>0</v>
      </c>
      <c r="J55" s="1027">
        <f>I35*I55</f>
        <v>0</v>
      </c>
      <c r="K55" s="1028"/>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0</v>
      </c>
      <c r="AA55" s="78"/>
      <c r="AB55" s="78">
        <f t="shared" si="0"/>
        <v>0</v>
      </c>
      <c r="AF55" s="68"/>
      <c r="AG55" s="68"/>
      <c r="AH55" s="68"/>
      <c r="AI55" s="68"/>
      <c r="AJ55" s="68"/>
      <c r="AK55" s="68"/>
    </row>
    <row r="56" spans="1:37" ht="15" customHeight="1" thickBot="1" x14ac:dyDescent="0.3">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78">
        <f t="shared" si="0"/>
        <v>0</v>
      </c>
      <c r="AF56" s="68"/>
      <c r="AG56" s="68"/>
      <c r="AH56" s="68"/>
      <c r="AI56" s="68"/>
      <c r="AJ56" s="68"/>
      <c r="AK56" s="68"/>
    </row>
    <row r="57" spans="1:37" s="70" customFormat="1" ht="15" customHeight="1" thickBot="1" x14ac:dyDescent="0.3">
      <c r="A57" s="1516"/>
      <c r="B57" s="1487" t="s">
        <v>385</v>
      </c>
      <c r="C57" s="1488"/>
      <c r="D57" s="1488"/>
      <c r="E57" s="1488"/>
      <c r="F57" s="1488"/>
      <c r="G57" s="1489"/>
      <c r="H57" s="1583" t="s">
        <v>100</v>
      </c>
      <c r="I57" s="1017"/>
      <c r="J57" s="1029"/>
      <c r="K57" s="1030"/>
      <c r="L57" s="984"/>
      <c r="M57" s="985"/>
      <c r="N57" s="985"/>
      <c r="O57" s="985"/>
      <c r="P57" s="985"/>
      <c r="Q57" s="1548"/>
      <c r="R57" s="972"/>
      <c r="S57" s="973"/>
      <c r="T57" s="1543"/>
      <c r="U57" s="1337"/>
      <c r="V57" s="339"/>
      <c r="W57" s="339"/>
      <c r="X57" s="339"/>
      <c r="Y57" s="340">
        <v>5.2499999999999998E-2</v>
      </c>
      <c r="Z57" s="77">
        <f>IF(H57="ja",Y57,0)</f>
        <v>0</v>
      </c>
      <c r="AA57" s="78"/>
      <c r="AB57" s="78">
        <f t="shared" si="0"/>
        <v>0</v>
      </c>
      <c r="AC57" s="341"/>
      <c r="AD57" s="341"/>
      <c r="AE57" s="341"/>
      <c r="AF57" s="341"/>
      <c r="AG57" s="341"/>
      <c r="AH57" s="341"/>
      <c r="AI57" s="341"/>
      <c r="AJ57" s="341"/>
      <c r="AK57" s="341"/>
    </row>
    <row r="58" spans="1:37" s="70" customFormat="1" ht="15" customHeight="1" thickBot="1" x14ac:dyDescent="0.3">
      <c r="A58" s="1516"/>
      <c r="B58" s="1493"/>
      <c r="C58" s="1317"/>
      <c r="D58" s="1317"/>
      <c r="E58" s="1317"/>
      <c r="F58" s="1317"/>
      <c r="G58" s="1494"/>
      <c r="H58" s="1584"/>
      <c r="I58" s="1017"/>
      <c r="J58" s="1029"/>
      <c r="K58" s="1030"/>
      <c r="L58" s="984"/>
      <c r="M58" s="985"/>
      <c r="N58" s="985"/>
      <c r="O58" s="985"/>
      <c r="P58" s="985"/>
      <c r="Q58" s="1548" t="s">
        <v>100</v>
      </c>
      <c r="R58" s="972"/>
      <c r="S58" s="973"/>
      <c r="T58" s="1543"/>
      <c r="U58" s="1337"/>
      <c r="V58" s="72">
        <f>IF(AND(Q58="ja",R58=""),1,0)</f>
        <v>0</v>
      </c>
      <c r="W58" s="339"/>
      <c r="X58" s="339"/>
      <c r="Y58" s="340"/>
      <c r="Z58" s="207"/>
      <c r="AA58" s="78"/>
      <c r="AB58" s="78">
        <f t="shared" si="0"/>
        <v>0</v>
      </c>
      <c r="AC58" s="341"/>
      <c r="AD58" s="341"/>
      <c r="AE58" s="341"/>
      <c r="AF58" s="341"/>
      <c r="AG58" s="341"/>
      <c r="AH58" s="341"/>
      <c r="AI58" s="341"/>
      <c r="AJ58" s="341"/>
      <c r="AK58" s="341"/>
    </row>
    <row r="59" spans="1:37" s="70" customFormat="1" ht="15" customHeight="1" thickBot="1" x14ac:dyDescent="0.3">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78">
        <f t="shared" si="0"/>
        <v>0</v>
      </c>
      <c r="AC59" s="341"/>
      <c r="AD59" s="341"/>
      <c r="AE59" s="341"/>
      <c r="AF59" s="341"/>
      <c r="AG59" s="341"/>
      <c r="AH59" s="341"/>
      <c r="AI59" s="341"/>
      <c r="AJ59" s="341"/>
      <c r="AK59" s="341"/>
    </row>
    <row r="60" spans="1:37" s="70" customFormat="1" ht="15" customHeight="1" thickBot="1" x14ac:dyDescent="0.3">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78">
        <f t="shared" si="0"/>
        <v>0</v>
      </c>
      <c r="AC60" s="341"/>
      <c r="AD60" s="341"/>
      <c r="AE60" s="341"/>
      <c r="AF60" s="341"/>
      <c r="AG60" s="341"/>
      <c r="AH60" s="341"/>
      <c r="AI60" s="341"/>
      <c r="AJ60" s="341"/>
      <c r="AK60" s="341"/>
    </row>
    <row r="61" spans="1:37" ht="15" customHeight="1" thickBot="1" x14ac:dyDescent="0.3">
      <c r="A61" s="1516"/>
      <c r="B61" s="1493"/>
      <c r="C61" s="1317"/>
      <c r="D61" s="1317"/>
      <c r="E61" s="1317"/>
      <c r="F61" s="1317"/>
      <c r="G61" s="1494"/>
      <c r="H61" s="1584"/>
      <c r="I61" s="1017"/>
      <c r="J61" s="1029"/>
      <c r="K61" s="1030"/>
      <c r="L61" s="984"/>
      <c r="M61" s="985"/>
      <c r="N61" s="985"/>
      <c r="O61" s="985"/>
      <c r="P61" s="985"/>
      <c r="Q61" s="1548" t="s">
        <v>100</v>
      </c>
      <c r="R61" s="972"/>
      <c r="S61" s="973"/>
      <c r="T61" s="1543"/>
      <c r="U61" s="1337"/>
      <c r="V61" s="72">
        <f>IF(AND(Q61="ja",R61=""),1,0)</f>
        <v>0</v>
      </c>
      <c r="Y61" s="340"/>
      <c r="Z61" s="77"/>
      <c r="AA61" s="78"/>
      <c r="AB61" s="78">
        <f t="shared" si="0"/>
        <v>0</v>
      </c>
      <c r="AF61" s="68"/>
      <c r="AG61" s="68"/>
      <c r="AH61" s="68"/>
      <c r="AI61" s="68"/>
      <c r="AJ61" s="68"/>
      <c r="AK61" s="68"/>
    </row>
    <row r="62" spans="1:37" ht="15" customHeight="1" thickBot="1" x14ac:dyDescent="0.3">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78">
        <f t="shared" si="0"/>
        <v>0</v>
      </c>
      <c r="AF62" s="68"/>
      <c r="AG62" s="68"/>
      <c r="AH62" s="68"/>
      <c r="AI62" s="68"/>
      <c r="AJ62" s="68"/>
      <c r="AK62" s="68"/>
    </row>
    <row r="63" spans="1:37" ht="15" customHeight="1" thickBot="1" x14ac:dyDescent="0.3">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78">
        <f t="shared" si="0"/>
        <v>0</v>
      </c>
      <c r="AF63" s="68"/>
      <c r="AG63" s="68"/>
      <c r="AH63" s="68"/>
      <c r="AI63" s="68"/>
      <c r="AJ63" s="68"/>
      <c r="AK63" s="68"/>
    </row>
    <row r="64" spans="1:37" ht="15" customHeight="1" thickBot="1" x14ac:dyDescent="0.3">
      <c r="A64" s="1516"/>
      <c r="B64" s="1490"/>
      <c r="C64" s="1491"/>
      <c r="D64" s="1491"/>
      <c r="E64" s="1491"/>
      <c r="F64" s="1491"/>
      <c r="G64" s="1492"/>
      <c r="H64" s="1585"/>
      <c r="I64" s="1017"/>
      <c r="J64" s="1029"/>
      <c r="K64" s="1030"/>
      <c r="L64" s="984"/>
      <c r="M64" s="985"/>
      <c r="N64" s="985"/>
      <c r="O64" s="985"/>
      <c r="P64" s="985"/>
      <c r="Q64" s="1548" t="s">
        <v>100</v>
      </c>
      <c r="R64" s="972"/>
      <c r="S64" s="973"/>
      <c r="T64" s="1543"/>
      <c r="U64" s="1337"/>
      <c r="V64" s="72">
        <f>IF(AND(Q64="ja",R64=""),1,0)</f>
        <v>0</v>
      </c>
      <c r="Y64" s="340"/>
      <c r="Z64" s="77"/>
      <c r="AA64" s="78"/>
      <c r="AB64" s="78">
        <f t="shared" si="0"/>
        <v>0</v>
      </c>
      <c r="AF64" s="68"/>
      <c r="AG64" s="68"/>
      <c r="AH64" s="68"/>
      <c r="AI64" s="68"/>
      <c r="AJ64" s="68"/>
      <c r="AK64" s="68"/>
    </row>
    <row r="65" spans="1:37" ht="15" customHeight="1" thickBot="1" x14ac:dyDescent="0.3">
      <c r="A65" s="1516"/>
      <c r="B65" s="1487" t="s">
        <v>386</v>
      </c>
      <c r="C65" s="1488"/>
      <c r="D65" s="1488"/>
      <c r="E65" s="1488"/>
      <c r="F65" s="1488"/>
      <c r="G65" s="1489"/>
      <c r="H65" s="981" t="s">
        <v>100</v>
      </c>
      <c r="I65" s="1017"/>
      <c r="J65" s="1029"/>
      <c r="K65" s="1030"/>
      <c r="L65" s="984"/>
      <c r="M65" s="985"/>
      <c r="N65" s="985"/>
      <c r="O65" s="985"/>
      <c r="P65" s="985"/>
      <c r="Q65" s="1548"/>
      <c r="R65" s="972"/>
      <c r="S65" s="973"/>
      <c r="T65" s="1543"/>
      <c r="U65" s="1337"/>
      <c r="V65" s="339"/>
      <c r="Y65" s="74">
        <v>0.01</v>
      </c>
      <c r="Z65" s="77">
        <f>IF(H65="ja",Y65,0)</f>
        <v>0</v>
      </c>
      <c r="AA65" s="78"/>
      <c r="AB65" s="78">
        <f t="shared" si="0"/>
        <v>0</v>
      </c>
      <c r="AF65" s="68"/>
      <c r="AG65" s="68"/>
      <c r="AH65" s="68"/>
      <c r="AI65" s="68"/>
      <c r="AJ65" s="68"/>
      <c r="AK65" s="68"/>
    </row>
    <row r="66" spans="1:37" ht="15" customHeight="1" thickBot="1" x14ac:dyDescent="0.3">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78">
        <f t="shared" si="0"/>
        <v>0</v>
      </c>
      <c r="AF66" s="68"/>
      <c r="AG66" s="68"/>
      <c r="AH66" s="68"/>
      <c r="AI66" s="68"/>
      <c r="AJ66" s="68"/>
      <c r="AK66" s="68"/>
    </row>
    <row r="67" spans="1:37" ht="15" customHeight="1" thickBot="1" x14ac:dyDescent="0.3">
      <c r="A67" s="1516"/>
      <c r="B67" s="1487" t="s">
        <v>387</v>
      </c>
      <c r="C67" s="1488"/>
      <c r="D67" s="1488"/>
      <c r="E67" s="1488"/>
      <c r="F67" s="1488"/>
      <c r="G67" s="1489"/>
      <c r="H67" s="981" t="s">
        <v>100</v>
      </c>
      <c r="I67" s="1017"/>
      <c r="J67" s="1029"/>
      <c r="K67" s="1030"/>
      <c r="L67" s="984"/>
      <c r="M67" s="985"/>
      <c r="N67" s="985"/>
      <c r="O67" s="985"/>
      <c r="P67" s="985"/>
      <c r="Q67" s="1548" t="s">
        <v>100</v>
      </c>
      <c r="R67" s="972"/>
      <c r="S67" s="973"/>
      <c r="T67" s="1543"/>
      <c r="U67" s="1337"/>
      <c r="V67" s="72">
        <f>IF(AND(Q67="ja",R67=""),1,0)</f>
        <v>0</v>
      </c>
      <c r="Y67" s="74">
        <v>8.0000000000000002E-3</v>
      </c>
      <c r="Z67" s="77">
        <f>IF(H67="ja",Y67,0)</f>
        <v>0</v>
      </c>
      <c r="AA67" s="78"/>
      <c r="AB67" s="78">
        <f t="shared" si="0"/>
        <v>0</v>
      </c>
      <c r="AF67" s="68"/>
      <c r="AG67" s="68"/>
      <c r="AH67" s="68"/>
      <c r="AI67" s="68"/>
      <c r="AJ67" s="68"/>
      <c r="AK67" s="68"/>
    </row>
    <row r="68" spans="1:37" ht="15" customHeight="1" thickBot="1" x14ac:dyDescent="0.3">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78">
        <f t="shared" si="0"/>
        <v>0</v>
      </c>
      <c r="AF68" s="68"/>
      <c r="AG68" s="68"/>
      <c r="AH68" s="68"/>
      <c r="AI68" s="68"/>
      <c r="AJ68" s="68"/>
      <c r="AK68" s="68"/>
    </row>
    <row r="69" spans="1:37" ht="15" customHeight="1" thickBot="1" x14ac:dyDescent="0.3">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78">
        <f t="shared" si="0"/>
        <v>0</v>
      </c>
      <c r="AF69" s="68"/>
      <c r="AG69" s="68"/>
      <c r="AH69" s="68"/>
      <c r="AI69" s="68"/>
      <c r="AJ69" s="68"/>
      <c r="AK69" s="68"/>
    </row>
    <row r="70" spans="1:37" ht="15" customHeight="1" thickBot="1" x14ac:dyDescent="0.3">
      <c r="A70" s="1516"/>
      <c r="B70" s="1490"/>
      <c r="C70" s="1491"/>
      <c r="D70" s="1491"/>
      <c r="E70" s="1491"/>
      <c r="F70" s="1491"/>
      <c r="G70" s="1492"/>
      <c r="H70" s="983"/>
      <c r="I70" s="1017"/>
      <c r="J70" s="1029"/>
      <c r="K70" s="1030"/>
      <c r="L70" s="984"/>
      <c r="M70" s="985"/>
      <c r="N70" s="985"/>
      <c r="O70" s="985"/>
      <c r="P70" s="985"/>
      <c r="Q70" s="1548" t="s">
        <v>100</v>
      </c>
      <c r="R70" s="972"/>
      <c r="S70" s="973"/>
      <c r="T70" s="1543"/>
      <c r="U70" s="1337"/>
      <c r="V70" s="72">
        <f>IF(AND(Q70="ja",R70=""),1,0)</f>
        <v>0</v>
      </c>
      <c r="Y70" s="74"/>
      <c r="Z70" s="77"/>
      <c r="AA70" s="78"/>
      <c r="AB70" s="78">
        <f t="shared" si="0"/>
        <v>0</v>
      </c>
      <c r="AF70" s="68"/>
      <c r="AG70" s="68"/>
      <c r="AH70" s="68"/>
      <c r="AI70" s="68"/>
      <c r="AJ70" s="68"/>
      <c r="AK70" s="68"/>
    </row>
    <row r="71" spans="1:37" ht="15" customHeight="1" thickBot="1" x14ac:dyDescent="0.3">
      <c r="A71" s="1516"/>
      <c r="B71" s="1487" t="s">
        <v>388</v>
      </c>
      <c r="C71" s="1488"/>
      <c r="D71" s="1488"/>
      <c r="E71" s="1488"/>
      <c r="F71" s="1488"/>
      <c r="G71" s="1489"/>
      <c r="H71" s="981" t="s">
        <v>100</v>
      </c>
      <c r="I71" s="1017"/>
      <c r="J71" s="1029"/>
      <c r="K71" s="1030"/>
      <c r="L71" s="984"/>
      <c r="M71" s="985"/>
      <c r="N71" s="985"/>
      <c r="O71" s="985"/>
      <c r="P71" s="985"/>
      <c r="Q71" s="1548"/>
      <c r="R71" s="972"/>
      <c r="S71" s="973"/>
      <c r="T71" s="1543"/>
      <c r="U71" s="1337"/>
      <c r="V71" s="339"/>
      <c r="Y71" s="74">
        <v>2E-3</v>
      </c>
      <c r="Z71" s="77">
        <f>IF(H71="ja",Y71,0)</f>
        <v>0</v>
      </c>
      <c r="AA71" s="78"/>
      <c r="AB71" s="78">
        <f t="shared" si="0"/>
        <v>0</v>
      </c>
      <c r="AF71" s="68"/>
      <c r="AG71" s="68"/>
      <c r="AH71" s="68"/>
      <c r="AI71" s="68"/>
      <c r="AJ71" s="68"/>
      <c r="AK71" s="68"/>
    </row>
    <row r="72" spans="1:37" ht="15" customHeight="1" thickBot="1" x14ac:dyDescent="0.3">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78">
        <f t="shared" si="0"/>
        <v>0</v>
      </c>
      <c r="AF72" s="68"/>
      <c r="AG72" s="68"/>
      <c r="AH72" s="68"/>
      <c r="AI72" s="68"/>
      <c r="AJ72" s="68"/>
      <c r="AK72" s="68"/>
    </row>
    <row r="73" spans="1:37" ht="15" customHeight="1" thickBot="1" x14ac:dyDescent="0.3">
      <c r="A73" s="1516"/>
      <c r="B73" s="1490"/>
      <c r="C73" s="1491"/>
      <c r="D73" s="1491"/>
      <c r="E73" s="1491"/>
      <c r="F73" s="1491"/>
      <c r="G73" s="1492"/>
      <c r="H73" s="983"/>
      <c r="I73" s="1017"/>
      <c r="J73" s="1029"/>
      <c r="K73" s="1030"/>
      <c r="L73" s="984"/>
      <c r="M73" s="985"/>
      <c r="N73" s="985"/>
      <c r="O73" s="985"/>
      <c r="P73" s="985"/>
      <c r="Q73" s="1548" t="s">
        <v>100</v>
      </c>
      <c r="R73" s="972"/>
      <c r="S73" s="973"/>
      <c r="T73" s="1543"/>
      <c r="U73" s="1337"/>
      <c r="V73" s="72">
        <f>IF(AND(Q73="ja",R73=""),1,0)</f>
        <v>0</v>
      </c>
      <c r="Y73" s="74"/>
      <c r="Z73" s="77"/>
      <c r="AA73" s="78"/>
      <c r="AB73" s="78">
        <f t="shared" si="0"/>
        <v>0</v>
      </c>
      <c r="AF73" s="68"/>
      <c r="AG73" s="68"/>
      <c r="AH73" s="68"/>
      <c r="AI73" s="68"/>
      <c r="AJ73" s="68"/>
      <c r="AK73" s="68"/>
    </row>
    <row r="74" spans="1:37" ht="15" customHeight="1" thickBot="1" x14ac:dyDescent="0.3">
      <c r="A74" s="1516"/>
      <c r="B74" s="1487" t="s">
        <v>389</v>
      </c>
      <c r="C74" s="1488"/>
      <c r="D74" s="1488"/>
      <c r="E74" s="1488"/>
      <c r="F74" s="1488"/>
      <c r="G74" s="1489"/>
      <c r="H74" s="981" t="s">
        <v>100</v>
      </c>
      <c r="I74" s="1017"/>
      <c r="J74" s="1029"/>
      <c r="K74" s="1030"/>
      <c r="L74" s="984"/>
      <c r="M74" s="985"/>
      <c r="N74" s="985"/>
      <c r="O74" s="985"/>
      <c r="P74" s="985"/>
      <c r="Q74" s="1548"/>
      <c r="R74" s="972"/>
      <c r="S74" s="973"/>
      <c r="T74" s="1543"/>
      <c r="U74" s="1337"/>
      <c r="Y74" s="74">
        <v>7.0000000000000001E-3</v>
      </c>
      <c r="Z74" s="77">
        <f>IF(H74="ja",Y74,0)</f>
        <v>0</v>
      </c>
      <c r="AA74" s="78"/>
      <c r="AB74" s="78">
        <f t="shared" si="0"/>
        <v>0</v>
      </c>
      <c r="AF74" s="68"/>
      <c r="AG74" s="68"/>
      <c r="AH74" s="68"/>
      <c r="AI74" s="68"/>
      <c r="AJ74" s="68"/>
      <c r="AK74" s="68"/>
    </row>
    <row r="75" spans="1:37" ht="15" customHeight="1" thickBot="1" x14ac:dyDescent="0.3">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78">
        <f t="shared" si="0"/>
        <v>0</v>
      </c>
      <c r="AF75" s="68"/>
      <c r="AG75" s="68"/>
      <c r="AH75" s="68"/>
      <c r="AI75" s="68"/>
      <c r="AJ75" s="68"/>
      <c r="AK75" s="68"/>
    </row>
    <row r="76" spans="1:37" ht="15" customHeight="1" thickBot="1" x14ac:dyDescent="0.3">
      <c r="A76" s="1516"/>
      <c r="B76" s="1487" t="s">
        <v>171</v>
      </c>
      <c r="C76" s="1488"/>
      <c r="D76" s="1488"/>
      <c r="E76" s="1488"/>
      <c r="F76" s="1488"/>
      <c r="G76" s="1489"/>
      <c r="H76" s="981" t="s">
        <v>100</v>
      </c>
      <c r="I76" s="1017"/>
      <c r="J76" s="1029"/>
      <c r="K76" s="1030"/>
      <c r="L76" s="1539"/>
      <c r="M76" s="1540"/>
      <c r="N76" s="1540"/>
      <c r="O76" s="1540"/>
      <c r="P76" s="1540"/>
      <c r="Q76" s="1548" t="s">
        <v>100</v>
      </c>
      <c r="R76" s="972"/>
      <c r="S76" s="973"/>
      <c r="T76" s="1543"/>
      <c r="U76" s="1337"/>
      <c r="V76" s="72">
        <f>IF(AND(Q76="ja",R76=""),1,0)</f>
        <v>0</v>
      </c>
      <c r="Y76" s="74">
        <v>2.5000000000000001E-3</v>
      </c>
      <c r="Z76" s="77">
        <f>IF(H76="ja",Y76,0)</f>
        <v>0</v>
      </c>
      <c r="AA76" s="78"/>
      <c r="AB76" s="78">
        <f t="shared" si="0"/>
        <v>0</v>
      </c>
      <c r="AF76" s="68"/>
      <c r="AG76" s="68"/>
      <c r="AH76" s="68"/>
      <c r="AI76" s="68"/>
      <c r="AJ76" s="68"/>
      <c r="AK76" s="68"/>
    </row>
    <row r="77" spans="1:37" ht="15" customHeight="1" thickBot="1" x14ac:dyDescent="0.3">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78">
        <f t="shared" si="0"/>
        <v>0</v>
      </c>
      <c r="AF77" s="68"/>
      <c r="AG77" s="68"/>
      <c r="AH77" s="68"/>
      <c r="AI77" s="68"/>
      <c r="AJ77" s="68"/>
      <c r="AK77" s="68"/>
    </row>
    <row r="78" spans="1:37" ht="15.95" customHeight="1" thickBot="1" x14ac:dyDescent="0.3">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552"/>
      <c r="S78" s="1553"/>
      <c r="T78" s="1567"/>
      <c r="U78" s="1610"/>
      <c r="Y78" s="74"/>
      <c r="Z78" s="152">
        <f>SUM(Z55:Z76)</f>
        <v>0</v>
      </c>
      <c r="AA78" s="77"/>
      <c r="AB78" s="78">
        <f t="shared" si="0"/>
        <v>0</v>
      </c>
      <c r="AF78" s="68"/>
      <c r="AG78" s="68"/>
      <c r="AH78" s="68"/>
      <c r="AI78" s="68"/>
      <c r="AJ78" s="68"/>
      <c r="AK78" s="68"/>
    </row>
    <row r="79" spans="1:37" ht="14.55" thickBot="1" x14ac:dyDescent="0.3">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78">
        <f t="shared" si="0"/>
        <v>0</v>
      </c>
      <c r="AF79" s="68"/>
      <c r="AG79" s="68"/>
      <c r="AH79" s="68"/>
      <c r="AI79" s="68"/>
      <c r="AJ79" s="68"/>
      <c r="AK79" s="68"/>
    </row>
    <row r="80" spans="1:37" ht="14.55" thickBot="1" x14ac:dyDescent="0.3">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78">
        <f t="shared" si="0"/>
        <v>0</v>
      </c>
      <c r="AF80" s="68"/>
      <c r="AG80" s="68"/>
      <c r="AH80" s="68"/>
      <c r="AI80" s="68"/>
      <c r="AJ80" s="68"/>
      <c r="AK80" s="68"/>
    </row>
    <row r="81" spans="1:37"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78">
        <f t="shared" si="0"/>
        <v>0</v>
      </c>
      <c r="AF81" s="68"/>
      <c r="AG81" s="68"/>
      <c r="AH81" s="68"/>
      <c r="AI81" s="68"/>
      <c r="AJ81" s="68"/>
      <c r="AK81" s="68"/>
    </row>
    <row r="82" spans="1:37" ht="15" customHeight="1" thickBot="1" x14ac:dyDescent="0.3">
      <c r="A82" s="1516"/>
      <c r="B82" s="1497" t="s">
        <v>391</v>
      </c>
      <c r="C82" s="1498"/>
      <c r="D82" s="1498"/>
      <c r="E82" s="1498"/>
      <c r="F82" s="1498"/>
      <c r="G82" s="1499"/>
      <c r="H82" s="1194" t="s">
        <v>100</v>
      </c>
      <c r="I82" s="1016">
        <f>Z115</f>
        <v>0</v>
      </c>
      <c r="J82" s="1027">
        <f>I78*I82</f>
        <v>0</v>
      </c>
      <c r="K82" s="1028"/>
      <c r="L82" s="987" t="s">
        <v>392</v>
      </c>
      <c r="M82" s="988"/>
      <c r="N82" s="988"/>
      <c r="O82" s="988"/>
      <c r="P82" s="988"/>
      <c r="Q82" s="1548" t="s">
        <v>100</v>
      </c>
      <c r="R82" s="972"/>
      <c r="S82" s="973"/>
      <c r="T82" s="1257" t="str">
        <f>IFERROR(IF((VLOOKUP(U82,Überblick!$M$125:$N$133,2))="ja","ja","nein"),"")</f>
        <v/>
      </c>
      <c r="U82" s="1337"/>
      <c r="V82" s="72">
        <f>IF(AND(Q82="ja",R82=""),1,0)</f>
        <v>0</v>
      </c>
      <c r="Y82" s="74">
        <v>5.5E-2</v>
      </c>
      <c r="Z82" s="77">
        <f>IF(H82="ja",Y82,0)</f>
        <v>0</v>
      </c>
      <c r="AA82" s="78"/>
      <c r="AB82" s="78">
        <f t="shared" si="0"/>
        <v>0</v>
      </c>
      <c r="AF82" s="68"/>
      <c r="AG82" s="68"/>
      <c r="AH82" s="68"/>
      <c r="AI82" s="68"/>
      <c r="AJ82" s="68"/>
      <c r="AK82" s="68"/>
    </row>
    <row r="83" spans="1:37" ht="15" customHeight="1" thickBot="1" x14ac:dyDescent="0.3">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78">
        <f t="shared" si="0"/>
        <v>0</v>
      </c>
      <c r="AF83" s="68"/>
      <c r="AG83" s="68"/>
      <c r="AH83" s="68"/>
      <c r="AI83" s="68"/>
      <c r="AJ83" s="68"/>
      <c r="AK83" s="68"/>
    </row>
    <row r="84" spans="1:37" ht="15" customHeight="1" thickBot="1" x14ac:dyDescent="0.3">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78">
        <f t="shared" si="0"/>
        <v>0</v>
      </c>
      <c r="AF84" s="68"/>
      <c r="AG84" s="68"/>
      <c r="AH84" s="68"/>
      <c r="AI84" s="68"/>
      <c r="AJ84" s="68"/>
      <c r="AK84" s="68"/>
    </row>
    <row r="85" spans="1:37" ht="15" customHeight="1" thickBot="1" x14ac:dyDescent="0.3">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78">
        <f t="shared" si="0"/>
        <v>0</v>
      </c>
      <c r="AF85" s="68"/>
      <c r="AG85" s="68"/>
      <c r="AH85" s="68"/>
      <c r="AI85" s="68"/>
      <c r="AJ85" s="68"/>
      <c r="AK85" s="68"/>
    </row>
    <row r="86" spans="1:37" ht="15" customHeight="1" thickBot="1" x14ac:dyDescent="0.3">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78">
        <f t="shared" si="0"/>
        <v>0</v>
      </c>
      <c r="AF86" s="68"/>
      <c r="AG86" s="68"/>
      <c r="AH86" s="68"/>
      <c r="AI86" s="68"/>
      <c r="AJ86" s="68"/>
      <c r="AK86" s="68"/>
    </row>
    <row r="87" spans="1:37" ht="15" customHeight="1" thickBot="1" x14ac:dyDescent="0.3">
      <c r="A87" s="1516"/>
      <c r="B87" s="1103" t="s">
        <v>394</v>
      </c>
      <c r="C87" s="1104"/>
      <c r="D87" s="1104"/>
      <c r="E87" s="1104"/>
      <c r="F87" s="1104"/>
      <c r="G87" s="1105"/>
      <c r="H87" s="857" t="s">
        <v>100</v>
      </c>
      <c r="I87" s="1017"/>
      <c r="J87" s="1029"/>
      <c r="K87" s="1030"/>
      <c r="L87" s="984"/>
      <c r="M87" s="985"/>
      <c r="N87" s="985"/>
      <c r="O87" s="985"/>
      <c r="P87" s="985"/>
      <c r="Q87" s="1548"/>
      <c r="R87" s="972"/>
      <c r="S87" s="973"/>
      <c r="T87" s="1258"/>
      <c r="U87" s="1337"/>
      <c r="Y87" s="74">
        <v>2.5000000000000001E-3</v>
      </c>
      <c r="Z87" s="77">
        <f>IF(H87="ja",Y87,0)</f>
        <v>0</v>
      </c>
      <c r="AA87" s="78"/>
      <c r="AB87" s="78">
        <f t="shared" si="0"/>
        <v>0</v>
      </c>
      <c r="AF87" s="68"/>
      <c r="AG87" s="68"/>
      <c r="AH87" s="68"/>
      <c r="AI87" s="68"/>
      <c r="AJ87" s="68"/>
      <c r="AK87" s="68"/>
    </row>
    <row r="88" spans="1:37" ht="15" customHeight="1" thickBot="1" x14ac:dyDescent="0.3">
      <c r="A88" s="1516"/>
      <c r="B88" s="1487" t="s">
        <v>395</v>
      </c>
      <c r="C88" s="1488"/>
      <c r="D88" s="1488"/>
      <c r="E88" s="1488"/>
      <c r="F88" s="1488"/>
      <c r="G88" s="1489"/>
      <c r="H88" s="981" t="s">
        <v>100</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0</v>
      </c>
      <c r="AA88" s="78"/>
      <c r="AB88" s="78">
        <f t="shared" si="0"/>
        <v>0</v>
      </c>
      <c r="AF88" s="68"/>
      <c r="AG88" s="68"/>
      <c r="AH88" s="68"/>
      <c r="AI88" s="68"/>
      <c r="AJ88" s="68"/>
      <c r="AK88" s="68"/>
    </row>
    <row r="89" spans="1:37" ht="15" customHeight="1" thickBot="1" x14ac:dyDescent="0.3">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78">
        <f t="shared" si="0"/>
        <v>0</v>
      </c>
      <c r="AF89" s="68"/>
      <c r="AG89" s="68"/>
      <c r="AH89" s="68"/>
      <c r="AI89" s="68"/>
      <c r="AJ89" s="68"/>
      <c r="AK89" s="68"/>
    </row>
    <row r="90" spans="1:37" ht="15" customHeight="1" thickBot="1" x14ac:dyDescent="0.3">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78">
        <f t="shared" si="0"/>
        <v>0</v>
      </c>
      <c r="AF90" s="68"/>
      <c r="AG90" s="68"/>
      <c r="AH90" s="68"/>
      <c r="AI90" s="68"/>
      <c r="AJ90" s="68"/>
      <c r="AK90" s="68"/>
    </row>
    <row r="91" spans="1:37" ht="15" customHeight="1" thickBot="1" x14ac:dyDescent="0.3">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78">
        <f t="shared" si="0"/>
        <v>0</v>
      </c>
      <c r="AF91" s="68"/>
      <c r="AG91" s="68"/>
      <c r="AH91" s="68"/>
      <c r="AI91" s="68"/>
      <c r="AJ91" s="68"/>
      <c r="AK91" s="68"/>
    </row>
    <row r="92" spans="1:37" ht="15" customHeight="1" thickBot="1" x14ac:dyDescent="0.3">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78">
        <f t="shared" si="0"/>
        <v>0</v>
      </c>
      <c r="AF92" s="68"/>
      <c r="AG92" s="68"/>
      <c r="AH92" s="68"/>
      <c r="AI92" s="68"/>
      <c r="AJ92" s="68"/>
      <c r="AK92" s="68"/>
    </row>
    <row r="93" spans="1:37" ht="15" customHeight="1" thickBot="1" x14ac:dyDescent="0.3">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78">
        <f t="shared" si="0"/>
        <v>0</v>
      </c>
      <c r="AF93" s="68"/>
      <c r="AG93" s="68"/>
      <c r="AH93" s="68"/>
      <c r="AI93" s="68"/>
      <c r="AJ93" s="68"/>
      <c r="AK93" s="68"/>
    </row>
    <row r="94" spans="1:37" ht="15" customHeight="1" thickBot="1" x14ac:dyDescent="0.3">
      <c r="A94" s="1516"/>
      <c r="B94" s="1493"/>
      <c r="C94" s="1317"/>
      <c r="D94" s="1317"/>
      <c r="E94" s="1317"/>
      <c r="F94" s="1317"/>
      <c r="G94" s="1494"/>
      <c r="H94" s="982"/>
      <c r="I94" s="1017"/>
      <c r="J94" s="1029"/>
      <c r="K94" s="1030"/>
      <c r="L94" s="984" t="s">
        <v>192</v>
      </c>
      <c r="M94" s="985"/>
      <c r="N94" s="985"/>
      <c r="O94" s="985"/>
      <c r="P94" s="985"/>
      <c r="Q94" s="1548" t="s">
        <v>100</v>
      </c>
      <c r="R94" s="972"/>
      <c r="S94" s="973"/>
      <c r="T94" s="1258"/>
      <c r="U94" s="1337"/>
      <c r="V94" s="72">
        <f>IF(AND(Q94="ja",R94=""),1,0)</f>
        <v>0</v>
      </c>
      <c r="Y94" s="74"/>
      <c r="Z94" s="77"/>
      <c r="AA94" s="78"/>
      <c r="AB94" s="78">
        <f t="shared" si="0"/>
        <v>0</v>
      </c>
      <c r="AF94" s="68"/>
      <c r="AG94" s="68"/>
      <c r="AH94" s="68"/>
      <c r="AI94" s="68"/>
      <c r="AJ94" s="68"/>
      <c r="AK94" s="68"/>
    </row>
    <row r="95" spans="1:37" ht="15" customHeight="1" thickBot="1" x14ac:dyDescent="0.3">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78">
        <f t="shared" si="0"/>
        <v>0</v>
      </c>
      <c r="AF95" s="68"/>
      <c r="AG95" s="68"/>
      <c r="AH95" s="68"/>
      <c r="AI95" s="68"/>
      <c r="AJ95" s="68"/>
      <c r="AK95" s="68"/>
    </row>
    <row r="96" spans="1:37" ht="15" customHeight="1" thickBot="1" x14ac:dyDescent="0.3">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78">
        <f t="shared" si="0"/>
        <v>0</v>
      </c>
      <c r="AF96" s="68"/>
      <c r="AG96" s="68"/>
      <c r="AH96" s="68"/>
      <c r="AI96" s="68"/>
      <c r="AJ96" s="68"/>
      <c r="AK96" s="68"/>
    </row>
    <row r="97" spans="1:37" ht="15" customHeight="1" thickBot="1" x14ac:dyDescent="0.3">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78">
        <f t="shared" si="0"/>
        <v>0</v>
      </c>
      <c r="AF97" s="68"/>
      <c r="AG97" s="68"/>
      <c r="AH97" s="68"/>
      <c r="AI97" s="68"/>
      <c r="AJ97" s="68"/>
      <c r="AK97" s="68"/>
    </row>
    <row r="98" spans="1:37" ht="15" customHeight="1" thickBot="1" x14ac:dyDescent="0.3">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78">
        <f t="shared" si="0"/>
        <v>0</v>
      </c>
      <c r="AF98" s="68"/>
      <c r="AG98" s="68"/>
      <c r="AH98" s="68"/>
      <c r="AI98" s="68"/>
      <c r="AJ98" s="68"/>
      <c r="AK98" s="68"/>
    </row>
    <row r="99" spans="1:37" ht="15" customHeight="1" thickBot="1" x14ac:dyDescent="0.3">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78">
        <f t="shared" si="0"/>
        <v>0</v>
      </c>
      <c r="AF99" s="68"/>
      <c r="AG99" s="68"/>
      <c r="AH99" s="68"/>
      <c r="AI99" s="68"/>
      <c r="AJ99" s="68"/>
      <c r="AK99" s="68"/>
    </row>
    <row r="100" spans="1:37" ht="15" customHeight="1" thickBot="1" x14ac:dyDescent="0.3">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78">
        <f t="shared" si="0"/>
        <v>0</v>
      </c>
      <c r="AF100" s="68"/>
      <c r="AG100" s="68"/>
      <c r="AH100" s="68"/>
      <c r="AI100" s="68"/>
      <c r="AJ100" s="68"/>
      <c r="AK100" s="68"/>
    </row>
    <row r="101" spans="1:37" ht="15" customHeight="1" thickBot="1" x14ac:dyDescent="0.3">
      <c r="A101" s="1516"/>
      <c r="B101" s="1487" t="s">
        <v>398</v>
      </c>
      <c r="C101" s="1488"/>
      <c r="D101" s="1488"/>
      <c r="E101" s="1488"/>
      <c r="F101" s="1488"/>
      <c r="G101" s="1489"/>
      <c r="H101" s="981" t="s">
        <v>100</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0</v>
      </c>
      <c r="AA101" s="78"/>
      <c r="AB101" s="78">
        <f t="shared" si="0"/>
        <v>0</v>
      </c>
      <c r="AF101" s="68"/>
      <c r="AG101" s="68"/>
      <c r="AH101" s="68"/>
      <c r="AI101" s="68"/>
      <c r="AJ101" s="68"/>
      <c r="AK101" s="68"/>
    </row>
    <row r="102" spans="1:37" ht="15" customHeight="1" thickBot="1" x14ac:dyDescent="0.3">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78">
        <f t="shared" si="0"/>
        <v>0</v>
      </c>
      <c r="AF102" s="68"/>
      <c r="AG102" s="68"/>
      <c r="AH102" s="68"/>
      <c r="AI102" s="68"/>
      <c r="AJ102" s="68"/>
      <c r="AK102" s="68"/>
    </row>
    <row r="103" spans="1:37" ht="15" customHeight="1" thickBot="1" x14ac:dyDescent="0.3">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78">
        <f t="shared" si="0"/>
        <v>0</v>
      </c>
      <c r="AF103" s="68"/>
      <c r="AG103" s="68"/>
      <c r="AH103" s="68"/>
      <c r="AI103" s="68"/>
      <c r="AJ103" s="68"/>
      <c r="AK103" s="68"/>
    </row>
    <row r="104" spans="1:37" ht="15" customHeight="1" thickBot="1" x14ac:dyDescent="0.3">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78">
        <f t="shared" ref="AB104:AB167" si="1">IF(Q104="ja",1,0)</f>
        <v>0</v>
      </c>
      <c r="AF104" s="68"/>
      <c r="AG104" s="68"/>
      <c r="AH104" s="68"/>
      <c r="AI104" s="68"/>
      <c r="AJ104" s="68"/>
      <c r="AK104" s="68"/>
    </row>
    <row r="105" spans="1:37" ht="15" customHeight="1" thickBot="1" x14ac:dyDescent="0.3">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78">
        <f t="shared" si="1"/>
        <v>0</v>
      </c>
      <c r="AF105" s="68"/>
      <c r="AG105" s="68"/>
      <c r="AH105" s="68"/>
      <c r="AI105" s="68"/>
      <c r="AJ105" s="68"/>
      <c r="AK105" s="68"/>
    </row>
    <row r="106" spans="1:37" ht="15" customHeight="1" thickBot="1" x14ac:dyDescent="0.3">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78">
        <f t="shared" si="1"/>
        <v>0</v>
      </c>
      <c r="AF106" s="68"/>
      <c r="AG106" s="68"/>
      <c r="AH106" s="68"/>
      <c r="AI106" s="68"/>
      <c r="AJ106" s="68"/>
      <c r="AK106" s="68"/>
    </row>
    <row r="107" spans="1:37" ht="15" customHeight="1" thickBot="1" x14ac:dyDescent="0.3">
      <c r="A107" s="1516"/>
      <c r="B107" s="1487" t="s">
        <v>399</v>
      </c>
      <c r="C107" s="1488"/>
      <c r="D107" s="1488"/>
      <c r="E107" s="1488"/>
      <c r="F107" s="1488"/>
      <c r="G107" s="1489"/>
      <c r="H107" s="981" t="s">
        <v>100</v>
      </c>
      <c r="I107" s="1017"/>
      <c r="J107" s="1029"/>
      <c r="K107" s="1030"/>
      <c r="L107" s="984"/>
      <c r="M107" s="985"/>
      <c r="N107" s="985"/>
      <c r="O107" s="985"/>
      <c r="P107" s="985"/>
      <c r="Q107" s="1548" t="s">
        <v>100</v>
      </c>
      <c r="R107" s="972"/>
      <c r="S107" s="973"/>
      <c r="T107" s="1258"/>
      <c r="U107" s="1337"/>
      <c r="V107" s="72">
        <f>IF(AND(Q107="ja",R107=""),1,0)</f>
        <v>0</v>
      </c>
      <c r="Y107" s="74">
        <v>1.5E-3</v>
      </c>
      <c r="Z107" s="77">
        <f>IF(H107="ja",Y107,0)</f>
        <v>0</v>
      </c>
      <c r="AA107" s="78"/>
      <c r="AB107" s="78">
        <f t="shared" si="1"/>
        <v>0</v>
      </c>
      <c r="AF107" s="68"/>
      <c r="AG107" s="68"/>
      <c r="AH107" s="68"/>
      <c r="AI107" s="68"/>
      <c r="AJ107" s="68"/>
      <c r="AK107" s="68"/>
    </row>
    <row r="108" spans="1:37" ht="15" customHeight="1" thickBot="1" x14ac:dyDescent="0.3">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78">
        <f t="shared" si="1"/>
        <v>0</v>
      </c>
      <c r="AF108" s="68"/>
      <c r="AG108" s="68"/>
      <c r="AH108" s="68"/>
      <c r="AI108" s="68"/>
      <c r="AJ108" s="68"/>
      <c r="AK108" s="68"/>
    </row>
    <row r="109" spans="1:37" ht="15" customHeight="1" thickBot="1" x14ac:dyDescent="0.3">
      <c r="A109" s="1516"/>
      <c r="B109" s="1487" t="s">
        <v>400</v>
      </c>
      <c r="C109" s="1488"/>
      <c r="D109" s="1488"/>
      <c r="E109" s="1488"/>
      <c r="F109" s="1488"/>
      <c r="G109" s="1489"/>
      <c r="H109" s="981" t="s">
        <v>100</v>
      </c>
      <c r="I109" s="1017"/>
      <c r="J109" s="1029"/>
      <c r="K109" s="1030"/>
      <c r="L109" s="984"/>
      <c r="M109" s="985"/>
      <c r="N109" s="985"/>
      <c r="O109" s="985"/>
      <c r="P109" s="985"/>
      <c r="Q109" s="1548"/>
      <c r="R109" s="972"/>
      <c r="S109" s="973"/>
      <c r="T109" s="1258"/>
      <c r="U109" s="1337"/>
      <c r="V109" s="339"/>
      <c r="Y109" s="74">
        <v>6.4999999999999997E-3</v>
      </c>
      <c r="Z109" s="77">
        <f>IF(H109="ja",Y109,0)</f>
        <v>0</v>
      </c>
      <c r="AA109" s="78"/>
      <c r="AB109" s="78">
        <f t="shared" si="1"/>
        <v>0</v>
      </c>
      <c r="AF109" s="68"/>
      <c r="AG109" s="68"/>
      <c r="AH109" s="68"/>
      <c r="AI109" s="68"/>
      <c r="AJ109" s="68"/>
      <c r="AK109" s="68"/>
    </row>
    <row r="110" spans="1:37" ht="15" customHeight="1" thickBot="1" x14ac:dyDescent="0.3">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78">
        <f t="shared" si="1"/>
        <v>0</v>
      </c>
      <c r="AF110" s="68"/>
      <c r="AG110" s="68"/>
      <c r="AH110" s="68"/>
      <c r="AI110" s="68"/>
      <c r="AJ110" s="68"/>
      <c r="AK110" s="68"/>
    </row>
    <row r="111" spans="1:37" ht="15" customHeight="1" thickBot="1" x14ac:dyDescent="0.3">
      <c r="A111" s="1516"/>
      <c r="B111" s="1487" t="s">
        <v>401</v>
      </c>
      <c r="C111" s="1488"/>
      <c r="D111" s="1488"/>
      <c r="E111" s="1488"/>
      <c r="F111" s="1488"/>
      <c r="G111" s="1489"/>
      <c r="H111" s="981" t="s">
        <v>100</v>
      </c>
      <c r="I111" s="1017"/>
      <c r="J111" s="1029"/>
      <c r="K111" s="1030"/>
      <c r="L111" s="984"/>
      <c r="M111" s="985"/>
      <c r="N111" s="985"/>
      <c r="O111" s="985"/>
      <c r="P111" s="985"/>
      <c r="Q111" s="1548"/>
      <c r="R111" s="972"/>
      <c r="S111" s="973"/>
      <c r="T111" s="1258"/>
      <c r="U111" s="1337"/>
      <c r="Y111" s="74">
        <v>1E-3</v>
      </c>
      <c r="Z111" s="77">
        <f>IF(H111="ja",Y111,0)</f>
        <v>0</v>
      </c>
      <c r="AA111" s="78"/>
      <c r="AB111" s="78">
        <f t="shared" si="1"/>
        <v>0</v>
      </c>
      <c r="AF111" s="68"/>
      <c r="AG111" s="68"/>
      <c r="AH111" s="68"/>
      <c r="AI111" s="68"/>
      <c r="AJ111" s="68"/>
      <c r="AK111" s="68"/>
    </row>
    <row r="112" spans="1:37" ht="15" customHeight="1" thickBot="1" x14ac:dyDescent="0.3">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78">
        <f t="shared" si="1"/>
        <v>0</v>
      </c>
      <c r="AF112" s="68"/>
      <c r="AG112" s="68"/>
      <c r="AH112" s="68"/>
      <c r="AI112" s="68"/>
      <c r="AJ112" s="68"/>
      <c r="AK112" s="68"/>
    </row>
    <row r="113" spans="1:37" ht="15" customHeight="1" thickBot="1" x14ac:dyDescent="0.3">
      <c r="A113" s="1516"/>
      <c r="B113" s="1487" t="s">
        <v>171</v>
      </c>
      <c r="C113" s="1488"/>
      <c r="D113" s="1488"/>
      <c r="E113" s="1488"/>
      <c r="F113" s="1488"/>
      <c r="G113" s="1489"/>
      <c r="H113" s="981" t="s">
        <v>100</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0</v>
      </c>
      <c r="AA113" s="78"/>
      <c r="AB113" s="78">
        <f t="shared" si="1"/>
        <v>0</v>
      </c>
      <c r="AF113" s="68"/>
      <c r="AG113" s="68"/>
      <c r="AH113" s="68"/>
      <c r="AI113" s="68"/>
      <c r="AJ113" s="68"/>
      <c r="AK113" s="68"/>
    </row>
    <row r="114" spans="1:37" ht="15" customHeight="1" thickBot="1" x14ac:dyDescent="0.3">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78">
        <f t="shared" si="1"/>
        <v>0</v>
      </c>
      <c r="AF114" s="68"/>
      <c r="AG114" s="68"/>
      <c r="AH114" s="68"/>
      <c r="AI114" s="68"/>
      <c r="AJ114" s="68"/>
      <c r="AK114" s="68"/>
    </row>
    <row r="115" spans="1:37"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552"/>
      <c r="S115" s="1553"/>
      <c r="T115" s="1567"/>
      <c r="U115" s="1567"/>
      <c r="Y115" s="74"/>
      <c r="Z115" s="152">
        <f>SUM(Z82:Z113)</f>
        <v>0</v>
      </c>
      <c r="AA115" s="78"/>
      <c r="AB115" s="78">
        <f t="shared" si="1"/>
        <v>0</v>
      </c>
      <c r="AF115" s="68"/>
      <c r="AG115" s="68"/>
      <c r="AH115" s="68"/>
      <c r="AI115" s="68"/>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550"/>
      <c r="R116" s="1554"/>
      <c r="S116" s="1555"/>
      <c r="T116" s="1568"/>
      <c r="U116" s="1568"/>
      <c r="AA116" s="78"/>
      <c r="AB116" s="78">
        <f t="shared" si="1"/>
        <v>0</v>
      </c>
      <c r="AF116" s="68"/>
      <c r="AG116" s="68"/>
      <c r="AH116" s="68"/>
      <c r="AI116" s="68"/>
      <c r="AJ116" s="68"/>
      <c r="AK116" s="68"/>
    </row>
    <row r="117" spans="1:37"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556"/>
      <c r="S117" s="1557"/>
      <c r="T117" s="1568"/>
      <c r="U117" s="1569"/>
      <c r="AA117" s="78"/>
      <c r="AB117" s="78">
        <f t="shared" si="1"/>
        <v>0</v>
      </c>
      <c r="AF117" s="68"/>
      <c r="AG117" s="68"/>
      <c r="AH117" s="68"/>
      <c r="AI117" s="68"/>
      <c r="AJ117" s="68"/>
      <c r="AK117" s="68"/>
    </row>
    <row r="118" spans="1:37"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78">
        <f t="shared" si="1"/>
        <v>0</v>
      </c>
      <c r="AF118" s="68"/>
      <c r="AG118" s="68"/>
      <c r="AH118" s="68"/>
      <c r="AI118" s="68"/>
      <c r="AJ118" s="68"/>
      <c r="AK118" s="68"/>
    </row>
    <row r="119" spans="1:37" ht="15" customHeight="1" thickBot="1" x14ac:dyDescent="0.3">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78">
        <f t="shared" si="1"/>
        <v>0</v>
      </c>
      <c r="AF119" s="68"/>
      <c r="AG119" s="68"/>
      <c r="AH119" s="68"/>
      <c r="AI119" s="68"/>
      <c r="AJ119" s="68"/>
      <c r="AK119" s="68"/>
    </row>
    <row r="120" spans="1:37" ht="15" customHeight="1" thickBot="1" x14ac:dyDescent="0.3">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78">
        <f t="shared" si="1"/>
        <v>0</v>
      </c>
      <c r="AF120" s="68"/>
      <c r="AG120" s="68"/>
      <c r="AH120" s="68"/>
      <c r="AI120" s="68"/>
      <c r="AJ120" s="68"/>
      <c r="AK120" s="68"/>
    </row>
    <row r="121" spans="1:37" ht="15" customHeight="1" thickBot="1" x14ac:dyDescent="0.3">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78">
        <f t="shared" si="1"/>
        <v>0</v>
      </c>
      <c r="AF121" s="68"/>
      <c r="AG121" s="68"/>
      <c r="AH121" s="68"/>
      <c r="AI121" s="68"/>
      <c r="AJ121" s="68"/>
      <c r="AK121" s="68"/>
    </row>
    <row r="122" spans="1:37" ht="15" customHeight="1" thickBot="1" x14ac:dyDescent="0.3">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78">
        <f t="shared" si="1"/>
        <v>0</v>
      </c>
      <c r="AF122" s="68"/>
      <c r="AG122" s="68"/>
      <c r="AH122" s="68"/>
      <c r="AI122" s="68"/>
      <c r="AJ122" s="68"/>
      <c r="AK122" s="68"/>
    </row>
    <row r="123" spans="1:37" ht="15" customHeight="1" thickBot="1" x14ac:dyDescent="0.3">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78">
        <f t="shared" si="1"/>
        <v>0</v>
      </c>
      <c r="AF123" s="68"/>
      <c r="AG123" s="68"/>
      <c r="AH123" s="68"/>
      <c r="AI123" s="68"/>
      <c r="AJ123" s="68"/>
      <c r="AK123" s="68"/>
    </row>
    <row r="124" spans="1:37" ht="15" customHeight="1" thickBot="1" x14ac:dyDescent="0.3">
      <c r="A124" s="1516"/>
      <c r="B124" s="1487" t="s">
        <v>403</v>
      </c>
      <c r="C124" s="1488"/>
      <c r="D124" s="1488"/>
      <c r="E124" s="1488"/>
      <c r="F124" s="1488"/>
      <c r="G124" s="1489"/>
      <c r="H124" s="981" t="s">
        <v>100</v>
      </c>
      <c r="I124" s="1017"/>
      <c r="J124" s="1029"/>
      <c r="K124" s="1030"/>
      <c r="L124" s="984"/>
      <c r="M124" s="985"/>
      <c r="N124" s="985"/>
      <c r="O124" s="985"/>
      <c r="P124" s="985"/>
      <c r="Q124" s="1548"/>
      <c r="R124" s="972"/>
      <c r="S124" s="973"/>
      <c r="T124" s="1258"/>
      <c r="U124" s="1337"/>
      <c r="Y124" s="74">
        <v>2.5000000000000001E-3</v>
      </c>
      <c r="Z124" s="77">
        <f>IF(H124="ja",Y124,0)</f>
        <v>0</v>
      </c>
      <c r="AA124" s="77"/>
      <c r="AB124" s="78">
        <f t="shared" si="1"/>
        <v>0</v>
      </c>
      <c r="AF124" s="68"/>
      <c r="AG124" s="68"/>
      <c r="AH124" s="68"/>
      <c r="AI124" s="68"/>
      <c r="AJ124" s="68"/>
      <c r="AK124" s="68"/>
    </row>
    <row r="125" spans="1:37" ht="15" customHeight="1" thickBot="1" x14ac:dyDescent="0.3">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78">
        <f t="shared" si="1"/>
        <v>0</v>
      </c>
      <c r="AF125" s="68"/>
      <c r="AG125" s="68"/>
      <c r="AH125" s="68"/>
      <c r="AI125" s="68"/>
      <c r="AJ125" s="68"/>
      <c r="AK125" s="68"/>
    </row>
    <row r="126" spans="1:37" ht="15" customHeight="1" thickBot="1" x14ac:dyDescent="0.3">
      <c r="A126" s="1516"/>
      <c r="B126" s="1490"/>
      <c r="C126" s="1491"/>
      <c r="D126" s="1491"/>
      <c r="E126" s="1491"/>
      <c r="F126" s="1491"/>
      <c r="G126" s="1492"/>
      <c r="H126" s="983"/>
      <c r="I126" s="1018"/>
      <c r="J126" s="1031"/>
      <c r="K126" s="1032"/>
      <c r="L126" s="1559"/>
      <c r="M126" s="1560"/>
      <c r="N126" s="1560"/>
      <c r="O126" s="1560"/>
      <c r="P126" s="1560"/>
      <c r="Q126" s="1548"/>
      <c r="R126" s="972"/>
      <c r="S126" s="973"/>
      <c r="T126" s="1259"/>
      <c r="U126" s="1337"/>
      <c r="V126" s="339"/>
      <c r="Y126" s="74"/>
      <c r="Z126" s="77"/>
      <c r="AA126" s="78"/>
      <c r="AB126" s="78">
        <f t="shared" si="1"/>
        <v>0</v>
      </c>
      <c r="AF126" s="68"/>
      <c r="AG126" s="68"/>
      <c r="AH126" s="68"/>
      <c r="AI126" s="68"/>
      <c r="AJ126" s="68"/>
      <c r="AK126" s="68"/>
    </row>
    <row r="127" spans="1:37"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78">
        <f t="shared" si="1"/>
        <v>0</v>
      </c>
      <c r="AF127" s="68"/>
      <c r="AG127" s="68"/>
      <c r="AH127" s="68"/>
      <c r="AI127" s="68"/>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78">
        <f t="shared" si="1"/>
        <v>0</v>
      </c>
      <c r="AF128" s="68"/>
      <c r="AG128" s="68"/>
      <c r="AH128" s="68"/>
      <c r="AI128" s="68"/>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78">
        <f t="shared" si="1"/>
        <v>0</v>
      </c>
      <c r="AF129" s="68"/>
      <c r="AG129" s="68"/>
      <c r="AH129" s="68"/>
      <c r="AI129" s="68"/>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78">
        <f t="shared" si="1"/>
        <v>0</v>
      </c>
      <c r="AF130" s="68"/>
      <c r="AG130" s="68"/>
      <c r="AH130" s="68"/>
      <c r="AI130" s="68"/>
      <c r="AJ130" s="68"/>
      <c r="AK130" s="68"/>
    </row>
    <row r="131" spans="1:37" ht="14.25" customHeight="1" x14ac:dyDescent="0.25">
      <c r="A131" s="1523"/>
      <c r="B131" s="1493"/>
      <c r="C131" s="1317"/>
      <c r="D131" s="1317"/>
      <c r="E131" s="1317"/>
      <c r="F131" s="1317"/>
      <c r="G131" s="1494"/>
      <c r="H131" s="982"/>
      <c r="I131" s="1663"/>
      <c r="J131" s="1528"/>
      <c r="K131" s="1529"/>
      <c r="L131" s="1539" t="s">
        <v>406</v>
      </c>
      <c r="M131" s="1540"/>
      <c r="N131" s="1540"/>
      <c r="O131" s="1540"/>
      <c r="P131" s="1540"/>
      <c r="Q131" s="978" t="s">
        <v>100</v>
      </c>
      <c r="R131" s="972"/>
      <c r="S131" s="973"/>
      <c r="T131" s="1621"/>
      <c r="U131" s="1372"/>
      <c r="V131" s="72">
        <f>IF(AND(Q131="ja",R131=""),1,0)</f>
        <v>0</v>
      </c>
      <c r="Y131" s="74"/>
      <c r="Z131" s="77"/>
      <c r="AA131" s="78"/>
      <c r="AB131" s="78">
        <f t="shared" si="1"/>
        <v>0</v>
      </c>
      <c r="AF131" s="68"/>
      <c r="AG131" s="68"/>
      <c r="AH131" s="68"/>
      <c r="AI131" s="68"/>
      <c r="AJ131" s="68"/>
      <c r="AK131" s="68"/>
    </row>
    <row r="132" spans="1:37" ht="14.25" customHeight="1" x14ac:dyDescent="0.25">
      <c r="A132" s="1523"/>
      <c r="B132" s="1490"/>
      <c r="C132" s="1491"/>
      <c r="D132" s="1491"/>
      <c r="E132" s="1491"/>
      <c r="F132" s="1491"/>
      <c r="G132" s="1492"/>
      <c r="H132" s="983"/>
      <c r="I132" s="1663"/>
      <c r="J132" s="1528"/>
      <c r="K132" s="1529"/>
      <c r="L132" s="1539"/>
      <c r="M132" s="1540"/>
      <c r="N132" s="1540"/>
      <c r="O132" s="1540"/>
      <c r="P132" s="1540"/>
      <c r="Q132" s="978"/>
      <c r="R132" s="972"/>
      <c r="S132" s="973"/>
      <c r="T132" s="1621"/>
      <c r="U132" s="1372"/>
      <c r="Y132" s="74"/>
      <c r="Z132" s="77"/>
      <c r="AA132" s="78"/>
      <c r="AB132" s="78">
        <f t="shared" si="1"/>
        <v>0</v>
      </c>
      <c r="AF132" s="68"/>
      <c r="AG132" s="68"/>
      <c r="AH132" s="68"/>
      <c r="AI132" s="68"/>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78">
        <f t="shared" si="1"/>
        <v>0</v>
      </c>
      <c r="AF133" s="68"/>
      <c r="AG133" s="68"/>
      <c r="AH133" s="68"/>
      <c r="AI133" s="68"/>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78">
        <f t="shared" si="1"/>
        <v>0</v>
      </c>
      <c r="AF134" s="68"/>
      <c r="AG134" s="68"/>
      <c r="AH134" s="68"/>
      <c r="AI134" s="68"/>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78">
        <f t="shared" si="1"/>
        <v>0</v>
      </c>
      <c r="AF135" s="68"/>
      <c r="AG135" s="68"/>
      <c r="AH135" s="68"/>
      <c r="AI135" s="68"/>
      <c r="AJ135" s="68"/>
      <c r="AK135" s="68"/>
    </row>
    <row r="136" spans="1:37"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972"/>
      <c r="S136" s="973"/>
      <c r="T136" s="1621"/>
      <c r="U136" s="1372"/>
      <c r="V136" s="72">
        <f>IF(AND(Q136="ja",R136=""),1,0)</f>
        <v>0</v>
      </c>
      <c r="AA136" s="78"/>
      <c r="AB136" s="78">
        <f t="shared" si="1"/>
        <v>0</v>
      </c>
      <c r="AF136" s="68"/>
      <c r="AG136" s="68"/>
      <c r="AH136" s="68"/>
      <c r="AI136" s="68"/>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78">
        <f t="shared" si="1"/>
        <v>0</v>
      </c>
      <c r="AF137" s="68"/>
      <c r="AG137" s="68"/>
      <c r="AH137" s="68"/>
      <c r="AI137" s="68"/>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78">
        <f t="shared" si="1"/>
        <v>0</v>
      </c>
      <c r="AF138" s="68"/>
      <c r="AG138" s="68"/>
      <c r="AH138" s="68"/>
      <c r="AI138" s="68"/>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78">
        <f t="shared" si="1"/>
        <v>0</v>
      </c>
      <c r="AF139" s="68"/>
      <c r="AG139" s="68"/>
      <c r="AH139" s="68"/>
      <c r="AI139" s="68"/>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78">
        <f t="shared" si="1"/>
        <v>0</v>
      </c>
      <c r="AF140" s="68"/>
      <c r="AG140" s="68"/>
      <c r="AH140" s="68"/>
      <c r="AI140" s="68"/>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78">
        <f t="shared" si="1"/>
        <v>0</v>
      </c>
      <c r="AF141" s="68"/>
      <c r="AG141" s="68"/>
      <c r="AH141" s="68"/>
      <c r="AI141" s="68"/>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855" t="s">
        <v>100</v>
      </c>
      <c r="R142" s="972"/>
      <c r="S142" s="973"/>
      <c r="T142" s="1621"/>
      <c r="U142" s="1372"/>
      <c r="V142" s="72">
        <f>IF(AND(Q142="ja",R142=""),1,0)</f>
        <v>0</v>
      </c>
      <c r="Y142" s="74"/>
      <c r="Z142" s="77"/>
      <c r="AA142" s="78"/>
      <c r="AB142" s="78">
        <f t="shared" si="1"/>
        <v>0</v>
      </c>
      <c r="AF142" s="68"/>
      <c r="AG142" s="68"/>
      <c r="AH142" s="68"/>
      <c r="AI142" s="68"/>
      <c r="AJ142" s="68"/>
      <c r="AK142" s="68"/>
    </row>
    <row r="143" spans="1:37" x14ac:dyDescent="0.25">
      <c r="A143" s="496" t="s">
        <v>210</v>
      </c>
      <c r="B143" s="1103" t="s">
        <v>409</v>
      </c>
      <c r="C143" s="1104"/>
      <c r="D143" s="1104"/>
      <c r="E143" s="1104"/>
      <c r="F143" s="1104"/>
      <c r="G143" s="1105"/>
      <c r="H143" s="857" t="s">
        <v>100</v>
      </c>
      <c r="I143" s="871">
        <f>Z143</f>
        <v>0</v>
      </c>
      <c r="J143" s="1537">
        <f>I143*$I$115</f>
        <v>0</v>
      </c>
      <c r="K143" s="1538"/>
      <c r="L143" s="1532"/>
      <c r="M143" s="1533"/>
      <c r="N143" s="1533"/>
      <c r="O143" s="1533"/>
      <c r="P143" s="1533"/>
      <c r="Q143" s="855" t="s">
        <v>100</v>
      </c>
      <c r="R143" s="972"/>
      <c r="S143" s="973"/>
      <c r="T143" s="870" t="str">
        <f>IFERROR(IF((VLOOKUP(U143,Überblick!$M$125:$N$133,2))="ja","ja","nein"),"")</f>
        <v/>
      </c>
      <c r="U143" s="862"/>
      <c r="V143" s="72">
        <f>IF(AND(Q143="ja",R143=""),1,0)</f>
        <v>0</v>
      </c>
      <c r="Y143" s="74">
        <v>0.04</v>
      </c>
      <c r="Z143" s="77">
        <f>IF(H143="ja",Y143,0)</f>
        <v>0</v>
      </c>
      <c r="AA143" s="78"/>
      <c r="AB143" s="78">
        <f t="shared" si="1"/>
        <v>0</v>
      </c>
      <c r="AF143" s="68"/>
      <c r="AG143" s="68"/>
      <c r="AH143" s="68"/>
      <c r="AI143" s="68"/>
      <c r="AJ143" s="68"/>
      <c r="AK143" s="68"/>
    </row>
    <row r="144" spans="1:37" x14ac:dyDescent="0.25">
      <c r="A144" s="496" t="s">
        <v>212</v>
      </c>
      <c r="B144" s="1103" t="s">
        <v>410</v>
      </c>
      <c r="C144" s="1104"/>
      <c r="D144" s="1104"/>
      <c r="E144" s="1104"/>
      <c r="F144" s="1104"/>
      <c r="G144" s="1105"/>
      <c r="H144" s="857" t="s">
        <v>100</v>
      </c>
      <c r="I144" s="871">
        <f>Z144</f>
        <v>0</v>
      </c>
      <c r="J144" s="1537">
        <f>I144*$I$115</f>
        <v>0</v>
      </c>
      <c r="K144" s="1538"/>
      <c r="L144" s="1532"/>
      <c r="M144" s="1533"/>
      <c r="N144" s="1533"/>
      <c r="O144" s="1533"/>
      <c r="P144" s="1533"/>
      <c r="Q144" s="855" t="s">
        <v>100</v>
      </c>
      <c r="R144" s="972"/>
      <c r="S144" s="973"/>
      <c r="T144" s="870" t="str">
        <f>IFERROR(IF((VLOOKUP(U144,Überblick!$M$125:$N$133,2))="ja","ja","nein"),"")</f>
        <v/>
      </c>
      <c r="U144" s="862"/>
      <c r="V144" s="72">
        <f>IF(AND(Q144="ja",R144=""),1,0)</f>
        <v>0</v>
      </c>
      <c r="Y144" s="74">
        <v>5.0000000000000001E-3</v>
      </c>
      <c r="Z144" s="77">
        <f>IF(H144="ja",Y144,0)</f>
        <v>0</v>
      </c>
      <c r="AA144" s="78"/>
      <c r="AB144" s="78">
        <f t="shared" si="1"/>
        <v>0</v>
      </c>
      <c r="AF144" s="68"/>
      <c r="AG144" s="68"/>
      <c r="AH144" s="68"/>
      <c r="AI144" s="68"/>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78">
        <f t="shared" si="1"/>
        <v>0</v>
      </c>
      <c r="AF145" s="68"/>
      <c r="AG145" s="68"/>
      <c r="AH145" s="68"/>
      <c r="AI145" s="68"/>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78">
        <f t="shared" si="1"/>
        <v>0</v>
      </c>
      <c r="AF146" s="68"/>
      <c r="AG146" s="68"/>
      <c r="AH146" s="68"/>
      <c r="AI146" s="68"/>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78">
        <f t="shared" si="1"/>
        <v>0</v>
      </c>
      <c r="AF147" s="68"/>
      <c r="AG147" s="68"/>
      <c r="AH147" s="68"/>
      <c r="AI147" s="68"/>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78">
        <f t="shared" si="1"/>
        <v>0</v>
      </c>
      <c r="AF148" s="68"/>
      <c r="AG148" s="68"/>
      <c r="AH148" s="68"/>
      <c r="AI148" s="68"/>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78">
        <f t="shared" si="1"/>
        <v>0</v>
      </c>
      <c r="AF149" s="68"/>
      <c r="AG149" s="68"/>
      <c r="AH149" s="68"/>
      <c r="AI149" s="68"/>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78">
        <f t="shared" si="1"/>
        <v>0</v>
      </c>
      <c r="AF150" s="68"/>
      <c r="AG150" s="68"/>
      <c r="AH150" s="68"/>
      <c r="AI150" s="68"/>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78">
        <f t="shared" si="1"/>
        <v>0</v>
      </c>
      <c r="AF151" s="68"/>
      <c r="AG151" s="68"/>
      <c r="AH151" s="68"/>
      <c r="AI151" s="68"/>
      <c r="AJ151" s="68"/>
      <c r="AK151" s="68"/>
    </row>
    <row r="152" spans="1:37"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78">
        <f t="shared" si="1"/>
        <v>0</v>
      </c>
      <c r="AF152" s="68"/>
      <c r="AG152" s="68"/>
      <c r="AH152" s="68"/>
      <c r="AI152" s="68"/>
      <c r="AJ152" s="68"/>
      <c r="AK152" s="68"/>
    </row>
    <row r="153" spans="1:37" ht="14.55" thickBot="1" x14ac:dyDescent="0.3">
      <c r="A153" s="1665" t="s">
        <v>481</v>
      </c>
      <c r="B153" s="1511" t="s">
        <v>482</v>
      </c>
      <c r="C153" s="1512"/>
      <c r="D153" s="1512"/>
      <c r="E153" s="1512"/>
      <c r="F153" s="1512"/>
      <c r="G153" s="1513"/>
      <c r="H153" s="342"/>
      <c r="I153" s="1361"/>
      <c r="J153" s="1362"/>
      <c r="K153" s="1362"/>
      <c r="L153" s="1534">
        <f>SUM(Q128:R152)</f>
        <v>0</v>
      </c>
      <c r="M153" s="1535"/>
      <c r="N153" s="1535"/>
      <c r="O153" s="1535"/>
      <c r="P153" s="1535"/>
      <c r="Q153" s="338"/>
      <c r="R153" s="1495"/>
      <c r="S153" s="1496"/>
      <c r="U153" s="334"/>
      <c r="Y153" s="74"/>
      <c r="Z153" s="152">
        <f>SUM(Z128:Z150)</f>
        <v>0</v>
      </c>
      <c r="AA153" s="78"/>
      <c r="AB153" s="78">
        <f t="shared" si="1"/>
        <v>0</v>
      </c>
      <c r="AF153" s="68"/>
      <c r="AG153" s="68"/>
      <c r="AH153" s="68"/>
      <c r="AI153" s="68"/>
      <c r="AJ153" s="68"/>
      <c r="AK153" s="68"/>
    </row>
    <row r="154" spans="1:37" ht="15" customHeight="1" thickBot="1" x14ac:dyDescent="0.3">
      <c r="A154" s="1665"/>
      <c r="B154" s="1497" t="s">
        <v>415</v>
      </c>
      <c r="C154" s="1498"/>
      <c r="D154" s="1498"/>
      <c r="E154" s="1498"/>
      <c r="F154" s="1498"/>
      <c r="G154" s="1499"/>
      <c r="H154" s="1194" t="s">
        <v>100</v>
      </c>
      <c r="I154" s="1016">
        <f>Z178</f>
        <v>0</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78">
        <f t="shared" si="1"/>
        <v>0</v>
      </c>
      <c r="AF154" s="68"/>
      <c r="AG154" s="68"/>
      <c r="AH154" s="68"/>
      <c r="AI154" s="68"/>
      <c r="AJ154" s="68"/>
      <c r="AK154" s="68"/>
    </row>
    <row r="155" spans="1:37" ht="15" customHeight="1" thickBot="1" x14ac:dyDescent="0.3">
      <c r="A155" s="166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78">
        <f t="shared" si="1"/>
        <v>0</v>
      </c>
      <c r="AF155" s="68"/>
      <c r="AG155" s="68"/>
      <c r="AH155" s="68"/>
      <c r="AI155" s="68"/>
      <c r="AJ155" s="68"/>
      <c r="AK155" s="68"/>
    </row>
    <row r="156" spans="1:37" ht="15" customHeight="1" thickBot="1" x14ac:dyDescent="0.3">
      <c r="A156" s="166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78">
        <f t="shared" si="1"/>
        <v>0</v>
      </c>
      <c r="AF156" s="68"/>
      <c r="AG156" s="68"/>
      <c r="AH156" s="68"/>
      <c r="AI156" s="68"/>
      <c r="AJ156" s="68"/>
      <c r="AK156" s="68"/>
    </row>
    <row r="157" spans="1:37" ht="15" customHeight="1" thickBot="1" x14ac:dyDescent="0.3">
      <c r="A157" s="1665"/>
      <c r="B157" s="1487" t="s">
        <v>417</v>
      </c>
      <c r="C157" s="1488"/>
      <c r="D157" s="1488"/>
      <c r="E157" s="1488"/>
      <c r="F157" s="1488"/>
      <c r="G157" s="1489"/>
      <c r="H157" s="981" t="s">
        <v>100</v>
      </c>
      <c r="I157" s="1017"/>
      <c r="J157" s="1029"/>
      <c r="K157" s="1030"/>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78">
        <f t="shared" si="1"/>
        <v>0</v>
      </c>
      <c r="AF157" s="68"/>
      <c r="AG157" s="68"/>
      <c r="AH157" s="68"/>
      <c r="AI157" s="68"/>
      <c r="AJ157" s="68"/>
      <c r="AK157" s="68"/>
    </row>
    <row r="158" spans="1:37" ht="15" customHeight="1" thickBot="1" x14ac:dyDescent="0.3">
      <c r="A158" s="166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78">
        <f t="shared" si="1"/>
        <v>0</v>
      </c>
      <c r="AF158" s="68"/>
      <c r="AG158" s="68"/>
      <c r="AH158" s="68"/>
      <c r="AI158" s="68"/>
      <c r="AJ158" s="68"/>
      <c r="AK158" s="68"/>
    </row>
    <row r="159" spans="1:37" ht="15" customHeight="1" thickBot="1" x14ac:dyDescent="0.3">
      <c r="A159" s="166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78">
        <f t="shared" si="1"/>
        <v>0</v>
      </c>
      <c r="AF159" s="68"/>
      <c r="AG159" s="68"/>
      <c r="AH159" s="68"/>
      <c r="AI159" s="68"/>
      <c r="AJ159" s="68"/>
      <c r="AK159" s="68"/>
    </row>
    <row r="160" spans="1:37" ht="15" customHeight="1" thickBot="1" x14ac:dyDescent="0.3">
      <c r="A160" s="166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78">
        <f t="shared" si="1"/>
        <v>0</v>
      </c>
      <c r="AF160" s="68"/>
      <c r="AG160" s="68"/>
      <c r="AH160" s="68"/>
      <c r="AI160" s="68"/>
      <c r="AJ160" s="68"/>
      <c r="AK160" s="68"/>
    </row>
    <row r="161" spans="1:37" ht="15" customHeight="1" thickBot="1" x14ac:dyDescent="0.3">
      <c r="A161" s="166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78">
        <f t="shared" si="1"/>
        <v>0</v>
      </c>
      <c r="AF161" s="68"/>
      <c r="AG161" s="68"/>
      <c r="AH161" s="68"/>
      <c r="AI161" s="68"/>
      <c r="AJ161" s="68"/>
      <c r="AK161" s="68"/>
    </row>
    <row r="162" spans="1:37" ht="15" customHeight="1" thickBot="1" x14ac:dyDescent="0.3">
      <c r="A162" s="166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78">
        <f t="shared" si="1"/>
        <v>0</v>
      </c>
      <c r="AF162" s="68"/>
      <c r="AG162" s="68"/>
      <c r="AH162" s="68"/>
      <c r="AI162" s="68"/>
      <c r="AJ162" s="68"/>
      <c r="AK162" s="68"/>
    </row>
    <row r="163" spans="1:37" ht="15" customHeight="1" thickBot="1" x14ac:dyDescent="0.3">
      <c r="A163" s="166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78">
        <f t="shared" si="1"/>
        <v>0</v>
      </c>
      <c r="AF163" s="68"/>
      <c r="AG163" s="68"/>
      <c r="AH163" s="68"/>
      <c r="AI163" s="68"/>
      <c r="AJ163" s="68"/>
      <c r="AK163" s="68"/>
    </row>
    <row r="164" spans="1:37" ht="15" customHeight="1" thickBot="1" x14ac:dyDescent="0.3">
      <c r="A164" s="166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78">
        <f t="shared" si="1"/>
        <v>0</v>
      </c>
      <c r="AF164" s="68"/>
      <c r="AG164" s="68"/>
      <c r="AH164" s="68"/>
      <c r="AI164" s="68"/>
      <c r="AJ164" s="68"/>
      <c r="AK164" s="68"/>
    </row>
    <row r="165" spans="1:37" ht="15" customHeight="1" thickBot="1" x14ac:dyDescent="0.3">
      <c r="A165" s="1665"/>
      <c r="B165" s="1493"/>
      <c r="C165" s="1317"/>
      <c r="D165" s="1317"/>
      <c r="E165" s="1317"/>
      <c r="F165" s="1317"/>
      <c r="G165" s="1494"/>
      <c r="H165" s="982"/>
      <c r="I165" s="1017"/>
      <c r="J165" s="1029"/>
      <c r="K165" s="1030"/>
      <c r="L165" s="1288"/>
      <c r="M165" s="1289"/>
      <c r="N165" s="1289"/>
      <c r="O165" s="1289"/>
      <c r="P165" s="1290"/>
      <c r="Q165" s="1003"/>
      <c r="R165" s="1007"/>
      <c r="S165" s="1008"/>
      <c r="T165" s="1258"/>
      <c r="U165" s="1337"/>
      <c r="Y165" s="74"/>
      <c r="Z165" s="77"/>
      <c r="AA165" s="78"/>
      <c r="AB165" s="78">
        <f t="shared" si="1"/>
        <v>0</v>
      </c>
      <c r="AF165" s="68"/>
      <c r="AG165" s="68"/>
      <c r="AH165" s="68"/>
      <c r="AI165" s="68"/>
      <c r="AJ165" s="68"/>
      <c r="AK165" s="68"/>
    </row>
    <row r="166" spans="1:37" ht="15" customHeight="1" thickBot="1" x14ac:dyDescent="0.3">
      <c r="A166" s="1665"/>
      <c r="B166" s="1493"/>
      <c r="C166" s="1317"/>
      <c r="D166" s="1317"/>
      <c r="E166" s="1317"/>
      <c r="F166" s="1317"/>
      <c r="G166" s="1494"/>
      <c r="H166" s="982"/>
      <c r="I166" s="1017"/>
      <c r="J166" s="1029"/>
      <c r="K166" s="1030"/>
      <c r="L166" s="1291"/>
      <c r="M166" s="1292"/>
      <c r="N166" s="1292"/>
      <c r="O166" s="1292"/>
      <c r="P166" s="1293"/>
      <c r="Q166" s="1295"/>
      <c r="R166" s="1269"/>
      <c r="S166" s="1270"/>
      <c r="T166" s="1258"/>
      <c r="U166" s="1337"/>
      <c r="Y166" s="74"/>
      <c r="Z166" s="77"/>
      <c r="AA166" s="78"/>
      <c r="AB166" s="78">
        <f t="shared" si="1"/>
        <v>0</v>
      </c>
      <c r="AF166" s="68"/>
      <c r="AG166" s="68"/>
      <c r="AH166" s="68"/>
      <c r="AI166" s="68"/>
      <c r="AJ166" s="68"/>
      <c r="AK166" s="68"/>
    </row>
    <row r="167" spans="1:37" ht="15" customHeight="1" thickBot="1" x14ac:dyDescent="0.3">
      <c r="A167" s="1665"/>
      <c r="B167" s="1490"/>
      <c r="C167" s="1491"/>
      <c r="D167" s="1491"/>
      <c r="E167" s="1491"/>
      <c r="F167" s="1491"/>
      <c r="G167" s="1492"/>
      <c r="H167" s="983"/>
      <c r="I167" s="1017"/>
      <c r="J167" s="1029"/>
      <c r="K167" s="1030"/>
      <c r="L167" s="1484" t="s">
        <v>419</v>
      </c>
      <c r="M167" s="1485"/>
      <c r="N167" s="1485"/>
      <c r="O167" s="1485"/>
      <c r="P167" s="1486"/>
      <c r="Q167" s="979" t="s">
        <v>100</v>
      </c>
      <c r="R167" s="1005"/>
      <c r="S167" s="1006"/>
      <c r="T167" s="1258"/>
      <c r="U167" s="1337"/>
      <c r="V167" s="72">
        <f>IF(AND(Q167="ja",R167=""),1,0)</f>
        <v>0</v>
      </c>
      <c r="Y167" s="74"/>
      <c r="Z167" s="77"/>
      <c r="AA167" s="78"/>
      <c r="AB167" s="78">
        <f t="shared" si="1"/>
        <v>0</v>
      </c>
      <c r="AF167" s="68"/>
      <c r="AG167" s="68"/>
      <c r="AH167" s="68"/>
      <c r="AI167" s="68"/>
      <c r="AJ167" s="68"/>
      <c r="AK167" s="68"/>
    </row>
    <row r="168" spans="1:37" ht="15" customHeight="1" thickBot="1" x14ac:dyDescent="0.3">
      <c r="A168" s="1665"/>
      <c r="B168" s="1487" t="s">
        <v>420</v>
      </c>
      <c r="C168" s="1488"/>
      <c r="D168" s="1488"/>
      <c r="E168" s="1488"/>
      <c r="F168" s="1488"/>
      <c r="G168" s="1489"/>
      <c r="H168" s="981" t="s">
        <v>100</v>
      </c>
      <c r="I168" s="1017"/>
      <c r="J168" s="1029"/>
      <c r="K168" s="1030"/>
      <c r="L168" s="1288"/>
      <c r="M168" s="1289"/>
      <c r="N168" s="1289"/>
      <c r="O168" s="1289"/>
      <c r="P168" s="1290"/>
      <c r="Q168" s="1003"/>
      <c r="R168" s="1007"/>
      <c r="S168" s="1008"/>
      <c r="T168" s="1258"/>
      <c r="U168" s="1337"/>
      <c r="Y168" s="74">
        <v>1E-3</v>
      </c>
      <c r="Z168" s="77">
        <f>IF(H168="ja",Y168,0)</f>
        <v>0</v>
      </c>
      <c r="AA168" s="78"/>
      <c r="AB168" s="78">
        <f t="shared" ref="AB168:AB231" si="2">IF(Q168="ja",1,0)</f>
        <v>0</v>
      </c>
      <c r="AF168" s="68"/>
      <c r="AG168" s="68"/>
      <c r="AH168" s="68"/>
      <c r="AI168" s="68"/>
      <c r="AJ168" s="68"/>
      <c r="AK168" s="68"/>
    </row>
    <row r="169" spans="1:37" ht="15" customHeight="1" thickBot="1" x14ac:dyDescent="0.3">
      <c r="A169" s="1665"/>
      <c r="B169" s="1493"/>
      <c r="C169" s="1317"/>
      <c r="D169" s="1317"/>
      <c r="E169" s="1317"/>
      <c r="F169" s="1317"/>
      <c r="G169" s="1494"/>
      <c r="H169" s="982"/>
      <c r="I169" s="1017"/>
      <c r="J169" s="1029"/>
      <c r="K169" s="1030"/>
      <c r="L169" s="1291"/>
      <c r="M169" s="1292"/>
      <c r="N169" s="1292"/>
      <c r="O169" s="1292"/>
      <c r="P169" s="1293"/>
      <c r="Q169" s="1295"/>
      <c r="R169" s="1269"/>
      <c r="S169" s="1270"/>
      <c r="T169" s="1258"/>
      <c r="U169" s="1337"/>
      <c r="Y169" s="74"/>
      <c r="Z169" s="77"/>
      <c r="AA169" s="78"/>
      <c r="AB169" s="78">
        <f t="shared" si="2"/>
        <v>0</v>
      </c>
      <c r="AF169" s="68"/>
      <c r="AG169" s="68"/>
      <c r="AH169" s="68"/>
      <c r="AI169" s="68"/>
      <c r="AJ169" s="68"/>
      <c r="AK169" s="68"/>
    </row>
    <row r="170" spans="1:37" ht="15" customHeight="1" thickBot="1" x14ac:dyDescent="0.3">
      <c r="A170" s="1665"/>
      <c r="B170" s="1490"/>
      <c r="C170" s="1491"/>
      <c r="D170" s="1491"/>
      <c r="E170" s="1491"/>
      <c r="F170" s="1491"/>
      <c r="G170" s="1492"/>
      <c r="H170" s="983"/>
      <c r="I170" s="1017"/>
      <c r="J170" s="1029"/>
      <c r="K170" s="1030"/>
      <c r="L170" s="1484" t="s">
        <v>228</v>
      </c>
      <c r="M170" s="1485"/>
      <c r="N170" s="1485"/>
      <c r="O170" s="1485"/>
      <c r="P170" s="1486"/>
      <c r="Q170" s="979" t="s">
        <v>100</v>
      </c>
      <c r="R170" s="1005"/>
      <c r="S170" s="1006"/>
      <c r="T170" s="1258"/>
      <c r="U170" s="1337"/>
      <c r="V170" s="72">
        <f>IF(AND(Q170="ja",R170=""),1,0)</f>
        <v>0</v>
      </c>
      <c r="Y170" s="74"/>
      <c r="Z170" s="77"/>
      <c r="AA170" s="78"/>
      <c r="AB170" s="78">
        <f t="shared" si="2"/>
        <v>0</v>
      </c>
      <c r="AF170" s="68"/>
      <c r="AG170" s="68"/>
      <c r="AH170" s="68"/>
      <c r="AI170" s="68"/>
      <c r="AJ170" s="68"/>
      <c r="AK170" s="68"/>
    </row>
    <row r="171" spans="1:37" ht="15" customHeight="1" thickBot="1" x14ac:dyDescent="0.3">
      <c r="A171" s="1665"/>
      <c r="B171" s="1487" t="s">
        <v>421</v>
      </c>
      <c r="C171" s="1488"/>
      <c r="D171" s="1488"/>
      <c r="E171" s="1488"/>
      <c r="F171" s="1488"/>
      <c r="G171" s="1489"/>
      <c r="H171" s="981" t="s">
        <v>100</v>
      </c>
      <c r="I171" s="1017"/>
      <c r="J171" s="1029"/>
      <c r="K171" s="1030"/>
      <c r="L171" s="1288"/>
      <c r="M171" s="1289"/>
      <c r="N171" s="1289"/>
      <c r="O171" s="1289"/>
      <c r="P171" s="1290"/>
      <c r="Q171" s="1003"/>
      <c r="R171" s="1007"/>
      <c r="S171" s="1008"/>
      <c r="T171" s="1258"/>
      <c r="U171" s="1337"/>
      <c r="Y171" s="74">
        <v>7.4999999999999997E-3</v>
      </c>
      <c r="Z171" s="77">
        <f>IF(H171="ja",Y171,0)</f>
        <v>0</v>
      </c>
      <c r="AA171" s="78"/>
      <c r="AB171" s="78">
        <f t="shared" si="2"/>
        <v>0</v>
      </c>
      <c r="AF171" s="68"/>
      <c r="AG171" s="68"/>
      <c r="AH171" s="68"/>
      <c r="AI171" s="68"/>
      <c r="AJ171" s="68"/>
      <c r="AK171" s="68"/>
    </row>
    <row r="172" spans="1:37" ht="15" customHeight="1" thickBot="1" x14ac:dyDescent="0.3">
      <c r="A172" s="1665"/>
      <c r="B172" s="1493"/>
      <c r="C172" s="1317"/>
      <c r="D172" s="1317"/>
      <c r="E172" s="1317"/>
      <c r="F172" s="1317"/>
      <c r="G172" s="1494"/>
      <c r="H172" s="982"/>
      <c r="I172" s="1017"/>
      <c r="J172" s="1029"/>
      <c r="K172" s="1030"/>
      <c r="L172" s="1288"/>
      <c r="M172" s="1289"/>
      <c r="N172" s="1289"/>
      <c r="O172" s="1289"/>
      <c r="P172" s="1290"/>
      <c r="Q172" s="1003"/>
      <c r="R172" s="1007"/>
      <c r="S172" s="1008"/>
      <c r="T172" s="1258"/>
      <c r="U172" s="1337"/>
      <c r="Y172" s="74"/>
      <c r="Z172" s="77"/>
      <c r="AA172" s="78"/>
      <c r="AB172" s="78">
        <f t="shared" si="2"/>
        <v>0</v>
      </c>
      <c r="AF172" s="68"/>
      <c r="AG172" s="68"/>
      <c r="AH172" s="68"/>
      <c r="AI172" s="68"/>
      <c r="AJ172" s="68"/>
      <c r="AK172" s="68"/>
    </row>
    <row r="173" spans="1:37" ht="15" customHeight="1" thickBot="1" x14ac:dyDescent="0.3">
      <c r="A173" s="1665"/>
      <c r="B173" s="1490"/>
      <c r="C173" s="1491"/>
      <c r="D173" s="1491"/>
      <c r="E173" s="1491"/>
      <c r="F173" s="1491"/>
      <c r="G173" s="1492"/>
      <c r="H173" s="983"/>
      <c r="I173" s="1017"/>
      <c r="J173" s="1029"/>
      <c r="K173" s="1030"/>
      <c r="L173" s="1291"/>
      <c r="M173" s="1292"/>
      <c r="N173" s="1292"/>
      <c r="O173" s="1292"/>
      <c r="P173" s="1293"/>
      <c r="Q173" s="1295"/>
      <c r="R173" s="1269"/>
      <c r="S173" s="1270"/>
      <c r="T173" s="1258"/>
      <c r="U173" s="1337"/>
      <c r="Y173" s="74"/>
      <c r="Z173" s="77"/>
      <c r="AA173" s="78"/>
      <c r="AB173" s="78">
        <f t="shared" si="2"/>
        <v>0</v>
      </c>
      <c r="AF173" s="68"/>
      <c r="AG173" s="68"/>
      <c r="AH173" s="68"/>
      <c r="AI173" s="68"/>
      <c r="AJ173" s="68"/>
      <c r="AK173" s="68"/>
    </row>
    <row r="174" spans="1:37" ht="15" customHeight="1" thickBot="1" x14ac:dyDescent="0.3">
      <c r="A174" s="1665"/>
      <c r="B174" s="1487" t="s">
        <v>226</v>
      </c>
      <c r="C174" s="1488"/>
      <c r="D174" s="1488"/>
      <c r="E174" s="1488"/>
      <c r="F174" s="1488"/>
      <c r="G174" s="1489"/>
      <c r="H174" s="981" t="s">
        <v>100</v>
      </c>
      <c r="I174" s="1017"/>
      <c r="J174" s="1029"/>
      <c r="K174" s="1030"/>
      <c r="L174" s="1484"/>
      <c r="M174" s="1485"/>
      <c r="N174" s="1485"/>
      <c r="O174" s="1485"/>
      <c r="P174" s="1486"/>
      <c r="Q174" s="979" t="s">
        <v>100</v>
      </c>
      <c r="R174" s="1005"/>
      <c r="S174" s="1006"/>
      <c r="T174" s="1258"/>
      <c r="U174" s="1337"/>
      <c r="V174" s="72">
        <f>IF(AND(Q174="ja",R174=""),1,0)</f>
        <v>0</v>
      </c>
      <c r="Y174" s="74">
        <v>1E-3</v>
      </c>
      <c r="Z174" s="77">
        <f>IF(H174="ja",Y174,0)</f>
        <v>0</v>
      </c>
      <c r="AA174" s="78"/>
      <c r="AB174" s="78">
        <f t="shared" si="2"/>
        <v>0</v>
      </c>
      <c r="AF174" s="68"/>
      <c r="AG174" s="68"/>
      <c r="AH174" s="68"/>
      <c r="AI174" s="68"/>
      <c r="AJ174" s="68"/>
      <c r="AK174" s="68"/>
    </row>
    <row r="175" spans="1:37" ht="15" customHeight="1" thickBot="1" x14ac:dyDescent="0.3">
      <c r="A175" s="1665"/>
      <c r="B175" s="1493"/>
      <c r="C175" s="1317"/>
      <c r="D175" s="1317"/>
      <c r="E175" s="1317"/>
      <c r="F175" s="1317"/>
      <c r="G175" s="1494"/>
      <c r="H175" s="982"/>
      <c r="I175" s="1017"/>
      <c r="J175" s="1029"/>
      <c r="K175" s="1030"/>
      <c r="L175" s="1288"/>
      <c r="M175" s="1289"/>
      <c r="N175" s="1289"/>
      <c r="O175" s="1289"/>
      <c r="P175" s="1290"/>
      <c r="Q175" s="1003"/>
      <c r="R175" s="1007"/>
      <c r="S175" s="1008"/>
      <c r="T175" s="1258"/>
      <c r="U175" s="1337"/>
      <c r="Y175" s="74"/>
      <c r="Z175" s="77"/>
      <c r="AA175" s="77"/>
      <c r="AB175" s="78">
        <f t="shared" si="2"/>
        <v>0</v>
      </c>
      <c r="AF175" s="68"/>
      <c r="AG175" s="68"/>
      <c r="AH175" s="68"/>
      <c r="AI175" s="68"/>
      <c r="AJ175" s="68"/>
      <c r="AK175" s="68"/>
    </row>
    <row r="176" spans="1:37" ht="15" customHeight="1" thickBot="1" x14ac:dyDescent="0.3">
      <c r="A176" s="1665"/>
      <c r="B176" s="1490"/>
      <c r="C176" s="1491"/>
      <c r="D176" s="1491"/>
      <c r="E176" s="1491"/>
      <c r="F176" s="1491"/>
      <c r="G176" s="1492"/>
      <c r="H176" s="983"/>
      <c r="I176" s="1017"/>
      <c r="J176" s="1029"/>
      <c r="K176" s="1030"/>
      <c r="L176" s="1291"/>
      <c r="M176" s="1292"/>
      <c r="N176" s="1292"/>
      <c r="O176" s="1292"/>
      <c r="P176" s="1293"/>
      <c r="Q176" s="1295"/>
      <c r="R176" s="1269"/>
      <c r="S176" s="1270"/>
      <c r="T176" s="1258"/>
      <c r="U176" s="1337"/>
      <c r="Y176" s="74"/>
      <c r="Z176" s="77"/>
      <c r="AA176" s="78"/>
      <c r="AB176" s="78">
        <f t="shared" si="2"/>
        <v>0</v>
      </c>
      <c r="AF176" s="68"/>
      <c r="AG176" s="68"/>
      <c r="AH176" s="68"/>
      <c r="AI176" s="68"/>
      <c r="AJ176" s="68"/>
      <c r="AK176" s="68"/>
    </row>
    <row r="177" spans="1:37" ht="15" customHeight="1" thickBot="1" x14ac:dyDescent="0.3">
      <c r="A177" s="1665"/>
      <c r="B177" s="1103" t="s">
        <v>422</v>
      </c>
      <c r="C177" s="1104"/>
      <c r="D177" s="1104"/>
      <c r="E177" s="1104"/>
      <c r="F177" s="1104"/>
      <c r="G177" s="1105"/>
      <c r="H177" s="857" t="s">
        <v>100</v>
      </c>
      <c r="I177" s="1018"/>
      <c r="J177" s="1031"/>
      <c r="K177" s="1032"/>
      <c r="L177" s="1577"/>
      <c r="M177" s="1578"/>
      <c r="N177" s="1578"/>
      <c r="O177" s="1578"/>
      <c r="P177" s="1579"/>
      <c r="Q177" s="855" t="s">
        <v>100</v>
      </c>
      <c r="R177" s="1623"/>
      <c r="S177" s="1624"/>
      <c r="T177" s="1259"/>
      <c r="U177" s="1337"/>
      <c r="V177" s="72">
        <f>IF(AND(Q177="ja",R177=""),1,0)</f>
        <v>0</v>
      </c>
      <c r="Y177" s="74">
        <v>1E-3</v>
      </c>
      <c r="Z177" s="77">
        <f>IF(H177="ja",Y177,0)</f>
        <v>0</v>
      </c>
      <c r="AA177" s="78"/>
      <c r="AB177" s="78">
        <f t="shared" si="2"/>
        <v>0</v>
      </c>
      <c r="AF177" s="68"/>
      <c r="AG177" s="68"/>
      <c r="AH177" s="68"/>
      <c r="AI177" s="68"/>
      <c r="AJ177" s="68"/>
      <c r="AK177" s="68"/>
    </row>
    <row r="178" spans="1:37" ht="14.55" thickBot="1" x14ac:dyDescent="0.3">
      <c r="A178" s="1665"/>
      <c r="B178" s="1511" t="s">
        <v>229</v>
      </c>
      <c r="C178" s="1512"/>
      <c r="D178" s="1512"/>
      <c r="E178" s="1512"/>
      <c r="F178" s="1512"/>
      <c r="G178" s="1513"/>
      <c r="H178" s="342"/>
      <c r="I178" s="1536"/>
      <c r="J178" s="1302"/>
      <c r="K178" s="1303"/>
      <c r="L178" s="1534">
        <f>SUM(R154:S177)</f>
        <v>0</v>
      </c>
      <c r="M178" s="1535"/>
      <c r="N178" s="1535"/>
      <c r="O178" s="1535"/>
      <c r="P178" s="1535"/>
      <c r="Q178" s="338"/>
      <c r="R178" s="1495"/>
      <c r="S178" s="1496"/>
      <c r="U178" s="334"/>
      <c r="Y178" s="74"/>
      <c r="Z178" s="152">
        <f>SUM(Z154:Z177)</f>
        <v>0</v>
      </c>
      <c r="AA178" s="78"/>
      <c r="AB178" s="78">
        <f t="shared" si="2"/>
        <v>0</v>
      </c>
      <c r="AF178" s="68"/>
      <c r="AG178" s="68"/>
      <c r="AH178" s="68"/>
      <c r="AI178" s="68"/>
      <c r="AJ178" s="68"/>
      <c r="AK178" s="68"/>
    </row>
    <row r="179" spans="1:37" ht="15" customHeight="1" thickBot="1" x14ac:dyDescent="0.3">
      <c r="A179" s="1665"/>
      <c r="B179" s="1103" t="s">
        <v>233</v>
      </c>
      <c r="C179" s="1104"/>
      <c r="D179" s="1104"/>
      <c r="E179" s="1104"/>
      <c r="F179" s="1104"/>
      <c r="G179" s="1105"/>
      <c r="H179" s="857" t="s">
        <v>100</v>
      </c>
      <c r="I179" s="1016">
        <f>Z193</f>
        <v>0</v>
      </c>
      <c r="J179" s="1027">
        <f>I115*I179</f>
        <v>0</v>
      </c>
      <c r="K179" s="1028"/>
      <c r="L179" s="984" t="s">
        <v>423</v>
      </c>
      <c r="M179" s="985"/>
      <c r="N179" s="985"/>
      <c r="O179" s="985"/>
      <c r="P179" s="985"/>
      <c r="Q179" s="978" t="s">
        <v>100</v>
      </c>
      <c r="R179" s="972"/>
      <c r="S179" s="973"/>
      <c r="T179" s="1257" t="str">
        <f>IFERROR(IF((VLOOKUP(U179,Überblick!$M$125:$N$133,2))="ja","ja","nein"),"")</f>
        <v/>
      </c>
      <c r="U179" s="1337"/>
      <c r="V179" s="72">
        <f>IF(AND(Q179="ja",R179=""),1,0)</f>
        <v>0</v>
      </c>
      <c r="Y179" s="74">
        <v>1E-3</v>
      </c>
      <c r="Z179" s="77">
        <f>IF(H179="ja",Y179,0)</f>
        <v>0</v>
      </c>
      <c r="AA179" s="78"/>
      <c r="AB179" s="78">
        <f t="shared" si="2"/>
        <v>0</v>
      </c>
      <c r="AF179" s="68"/>
      <c r="AG179" s="68"/>
      <c r="AH179" s="68"/>
      <c r="AI179" s="68"/>
      <c r="AJ179" s="68"/>
      <c r="AK179" s="68"/>
    </row>
    <row r="180" spans="1:37" ht="15" customHeight="1" thickBot="1" x14ac:dyDescent="0.3">
      <c r="A180" s="1665"/>
      <c r="B180" s="1487" t="s">
        <v>424</v>
      </c>
      <c r="C180" s="1488"/>
      <c r="D180" s="1488"/>
      <c r="E180" s="1488"/>
      <c r="F180" s="1488"/>
      <c r="G180" s="1489"/>
      <c r="H180" s="981" t="s">
        <v>100</v>
      </c>
      <c r="I180" s="1017"/>
      <c r="J180" s="1029"/>
      <c r="K180" s="1030"/>
      <c r="L180" s="984"/>
      <c r="M180" s="985"/>
      <c r="N180" s="985"/>
      <c r="O180" s="985"/>
      <c r="P180" s="985"/>
      <c r="Q180" s="978"/>
      <c r="R180" s="972"/>
      <c r="S180" s="973"/>
      <c r="T180" s="1258"/>
      <c r="U180" s="1337"/>
      <c r="Y180" s="74">
        <v>3.5000000000000003E-2</v>
      </c>
      <c r="Z180" s="77">
        <f>IF(H180="ja",Y180,0)</f>
        <v>0</v>
      </c>
      <c r="AA180" s="78"/>
      <c r="AB180" s="78">
        <f t="shared" si="2"/>
        <v>0</v>
      </c>
      <c r="AF180" s="68"/>
      <c r="AG180" s="68"/>
      <c r="AH180" s="68"/>
      <c r="AI180" s="68"/>
      <c r="AJ180" s="68"/>
      <c r="AK180" s="68"/>
    </row>
    <row r="181" spans="1:37" ht="15" customHeight="1" thickBot="1" x14ac:dyDescent="0.3">
      <c r="A181" s="1665"/>
      <c r="B181" s="1493"/>
      <c r="C181" s="1317"/>
      <c r="D181" s="1317"/>
      <c r="E181" s="1317"/>
      <c r="F181" s="1317"/>
      <c r="G181" s="1494"/>
      <c r="H181" s="982"/>
      <c r="I181" s="1017"/>
      <c r="J181" s="1029"/>
      <c r="K181" s="1030"/>
      <c r="L181" s="984"/>
      <c r="M181" s="985"/>
      <c r="N181" s="985"/>
      <c r="O181" s="985"/>
      <c r="P181" s="985"/>
      <c r="Q181" s="978"/>
      <c r="R181" s="972"/>
      <c r="S181" s="973"/>
      <c r="T181" s="1258"/>
      <c r="U181" s="1337"/>
      <c r="Y181" s="74"/>
      <c r="Z181" s="77"/>
      <c r="AA181" s="78"/>
      <c r="AB181" s="78">
        <f t="shared" si="2"/>
        <v>0</v>
      </c>
      <c r="AF181" s="68"/>
      <c r="AG181" s="68"/>
      <c r="AH181" s="68"/>
      <c r="AI181" s="68"/>
      <c r="AJ181" s="68"/>
      <c r="AK181" s="68"/>
    </row>
    <row r="182" spans="1:37" ht="15" customHeight="1" thickBot="1" x14ac:dyDescent="0.3">
      <c r="A182" s="1665"/>
      <c r="B182" s="1493"/>
      <c r="C182" s="1317"/>
      <c r="D182" s="1317"/>
      <c r="E182" s="1317"/>
      <c r="F182" s="1317"/>
      <c r="G182" s="1494"/>
      <c r="H182" s="982"/>
      <c r="I182" s="1017"/>
      <c r="J182" s="1029"/>
      <c r="K182" s="1030"/>
      <c r="L182" s="984"/>
      <c r="M182" s="985"/>
      <c r="N182" s="985"/>
      <c r="O182" s="985"/>
      <c r="P182" s="985"/>
      <c r="Q182" s="978" t="s">
        <v>100</v>
      </c>
      <c r="R182" s="972"/>
      <c r="S182" s="973"/>
      <c r="T182" s="1258"/>
      <c r="U182" s="1337"/>
      <c r="V182" s="72">
        <f>IF(AND(Q182="ja",R182=""),1,0)</f>
        <v>0</v>
      </c>
      <c r="Y182" s="74"/>
      <c r="Z182" s="77"/>
      <c r="AA182" s="78"/>
      <c r="AB182" s="78">
        <f t="shared" si="2"/>
        <v>0</v>
      </c>
      <c r="AF182" s="68"/>
      <c r="AG182" s="68"/>
      <c r="AH182" s="68"/>
      <c r="AI182" s="68"/>
      <c r="AJ182" s="68"/>
      <c r="AK182" s="68"/>
    </row>
    <row r="183" spans="1:37" ht="15" customHeight="1" thickBot="1" x14ac:dyDescent="0.3">
      <c r="A183" s="1665"/>
      <c r="B183" s="1493"/>
      <c r="C183" s="1317"/>
      <c r="D183" s="1317"/>
      <c r="E183" s="1317"/>
      <c r="F183" s="1317"/>
      <c r="G183" s="1494"/>
      <c r="H183" s="982"/>
      <c r="I183" s="1017"/>
      <c r="J183" s="1029"/>
      <c r="K183" s="1030"/>
      <c r="L183" s="984"/>
      <c r="M183" s="985"/>
      <c r="N183" s="985"/>
      <c r="O183" s="985"/>
      <c r="P183" s="985"/>
      <c r="Q183" s="978"/>
      <c r="R183" s="972"/>
      <c r="S183" s="973"/>
      <c r="T183" s="1258"/>
      <c r="U183" s="1337"/>
      <c r="Y183" s="74"/>
      <c r="Z183" s="77"/>
      <c r="AA183" s="78"/>
      <c r="AB183" s="78">
        <f t="shared" si="2"/>
        <v>0</v>
      </c>
      <c r="AF183" s="68"/>
      <c r="AG183" s="68"/>
      <c r="AH183" s="68"/>
      <c r="AI183" s="68"/>
      <c r="AJ183" s="68"/>
      <c r="AK183" s="68"/>
    </row>
    <row r="184" spans="1:37" ht="15" customHeight="1" thickBot="1" x14ac:dyDescent="0.3">
      <c r="A184" s="1665"/>
      <c r="B184" s="1490"/>
      <c r="C184" s="1491"/>
      <c r="D184" s="1491"/>
      <c r="E184" s="1491"/>
      <c r="F184" s="1491"/>
      <c r="G184" s="1492"/>
      <c r="H184" s="983"/>
      <c r="I184" s="1017"/>
      <c r="J184" s="1029"/>
      <c r="K184" s="1030"/>
      <c r="L184" s="984"/>
      <c r="M184" s="985"/>
      <c r="N184" s="985"/>
      <c r="O184" s="985"/>
      <c r="P184" s="985"/>
      <c r="Q184" s="978"/>
      <c r="R184" s="972"/>
      <c r="S184" s="973"/>
      <c r="T184" s="1258"/>
      <c r="U184" s="1337"/>
      <c r="Y184" s="74"/>
      <c r="Z184" s="77"/>
      <c r="AA184" s="78"/>
      <c r="AB184" s="78">
        <f t="shared" si="2"/>
        <v>0</v>
      </c>
      <c r="AF184" s="68"/>
      <c r="AG184" s="68"/>
      <c r="AH184" s="68"/>
      <c r="AI184" s="68"/>
      <c r="AJ184" s="68"/>
      <c r="AK184" s="68"/>
    </row>
    <row r="185" spans="1:37" ht="15" customHeight="1" thickBot="1" x14ac:dyDescent="0.3">
      <c r="A185" s="1665"/>
      <c r="B185" s="1103" t="s">
        <v>237</v>
      </c>
      <c r="C185" s="1104"/>
      <c r="D185" s="1104"/>
      <c r="E185" s="1104"/>
      <c r="F185" s="1104"/>
      <c r="G185" s="1105"/>
      <c r="H185" s="857" t="s">
        <v>100</v>
      </c>
      <c r="I185" s="1017"/>
      <c r="J185" s="1029"/>
      <c r="K185" s="1030"/>
      <c r="L185" s="984" t="s">
        <v>236</v>
      </c>
      <c r="M185" s="985"/>
      <c r="N185" s="985"/>
      <c r="O185" s="985"/>
      <c r="P185" s="985"/>
      <c r="Q185" s="978" t="s">
        <v>100</v>
      </c>
      <c r="R185" s="972"/>
      <c r="S185" s="973"/>
      <c r="T185" s="1258"/>
      <c r="U185" s="1337"/>
      <c r="V185" s="72">
        <f>IF(AND(Q185="ja",R185=""),1,0)</f>
        <v>0</v>
      </c>
      <c r="Y185" s="74">
        <v>5.0000000000000001E-3</v>
      </c>
      <c r="Z185" s="77">
        <f>IF(H185="ja",Y185,0)</f>
        <v>0</v>
      </c>
      <c r="AA185" s="78"/>
      <c r="AB185" s="78">
        <f t="shared" si="2"/>
        <v>0</v>
      </c>
      <c r="AF185" s="68"/>
      <c r="AG185" s="68"/>
      <c r="AH185" s="68"/>
      <c r="AI185" s="68"/>
      <c r="AJ185" s="68"/>
      <c r="AK185" s="68"/>
    </row>
    <row r="186" spans="1:37" ht="15" customHeight="1" thickBot="1" x14ac:dyDescent="0.3">
      <c r="A186" s="1665"/>
      <c r="B186" s="1487" t="s">
        <v>425</v>
      </c>
      <c r="C186" s="1488"/>
      <c r="D186" s="1488"/>
      <c r="E186" s="1488"/>
      <c r="F186" s="1488"/>
      <c r="G186" s="1489"/>
      <c r="H186" s="981" t="s">
        <v>100</v>
      </c>
      <c r="I186" s="1017"/>
      <c r="J186" s="1029"/>
      <c r="K186" s="1030"/>
      <c r="L186" s="984"/>
      <c r="M186" s="985"/>
      <c r="N186" s="985"/>
      <c r="O186" s="985"/>
      <c r="P186" s="985"/>
      <c r="Q186" s="978"/>
      <c r="R186" s="972"/>
      <c r="S186" s="973"/>
      <c r="T186" s="1258"/>
      <c r="U186" s="1337"/>
      <c r="Y186" s="74">
        <v>2.5000000000000001E-3</v>
      </c>
      <c r="Z186" s="77">
        <f>IF(H186="ja",Y186,0)</f>
        <v>0</v>
      </c>
      <c r="AA186" s="78"/>
      <c r="AB186" s="78">
        <f t="shared" si="2"/>
        <v>0</v>
      </c>
      <c r="AF186" s="68"/>
      <c r="AG186" s="68"/>
      <c r="AH186" s="68"/>
      <c r="AI186" s="68"/>
      <c r="AJ186" s="68"/>
      <c r="AK186" s="68"/>
    </row>
    <row r="187" spans="1:37" ht="15" customHeight="1" thickBot="1" x14ac:dyDescent="0.3">
      <c r="A187" s="1665"/>
      <c r="B187" s="1493"/>
      <c r="C187" s="1317"/>
      <c r="D187" s="1317"/>
      <c r="E187" s="1317"/>
      <c r="F187" s="1317"/>
      <c r="G187" s="1494"/>
      <c r="H187" s="982"/>
      <c r="I187" s="1017"/>
      <c r="J187" s="1029"/>
      <c r="K187" s="1030"/>
      <c r="L187" s="984"/>
      <c r="M187" s="985"/>
      <c r="N187" s="985"/>
      <c r="O187" s="985"/>
      <c r="P187" s="985"/>
      <c r="Q187" s="978"/>
      <c r="R187" s="972"/>
      <c r="S187" s="973"/>
      <c r="T187" s="1258"/>
      <c r="U187" s="1337"/>
      <c r="Y187" s="74"/>
      <c r="Z187" s="77"/>
      <c r="AA187" s="78"/>
      <c r="AB187" s="78">
        <f t="shared" si="2"/>
        <v>0</v>
      </c>
      <c r="AF187" s="68"/>
      <c r="AG187" s="68"/>
      <c r="AH187" s="68"/>
      <c r="AI187" s="68"/>
      <c r="AJ187" s="68"/>
      <c r="AK187" s="68"/>
    </row>
    <row r="188" spans="1:37" ht="15" customHeight="1" thickBot="1" x14ac:dyDescent="0.3">
      <c r="A188" s="1665"/>
      <c r="B188" s="1490"/>
      <c r="C188" s="1491"/>
      <c r="D188" s="1491"/>
      <c r="E188" s="1491"/>
      <c r="F188" s="1491"/>
      <c r="G188" s="1492"/>
      <c r="H188" s="983"/>
      <c r="I188" s="1017"/>
      <c r="J188" s="1029"/>
      <c r="K188" s="1030"/>
      <c r="L188" s="984"/>
      <c r="M188" s="985"/>
      <c r="N188" s="985"/>
      <c r="O188" s="985"/>
      <c r="P188" s="985"/>
      <c r="Q188" s="978" t="s">
        <v>100</v>
      </c>
      <c r="R188" s="972"/>
      <c r="S188" s="973"/>
      <c r="T188" s="1258"/>
      <c r="U188" s="1337"/>
      <c r="V188" s="72">
        <f>IF(AND(Q188="ja",R188=""),1,0)</f>
        <v>0</v>
      </c>
      <c r="Y188" s="74"/>
      <c r="Z188" s="77"/>
      <c r="AA188" s="78"/>
      <c r="AB188" s="78">
        <f t="shared" si="2"/>
        <v>0</v>
      </c>
      <c r="AF188" s="68"/>
      <c r="AG188" s="68"/>
      <c r="AH188" s="68"/>
      <c r="AI188" s="68"/>
      <c r="AJ188" s="68"/>
      <c r="AK188" s="68"/>
    </row>
    <row r="189" spans="1:37" ht="15" customHeight="1" thickBot="1" x14ac:dyDescent="0.3">
      <c r="A189" s="1665"/>
      <c r="B189" s="1487" t="s">
        <v>426</v>
      </c>
      <c r="C189" s="1488"/>
      <c r="D189" s="1488"/>
      <c r="E189" s="1488"/>
      <c r="F189" s="1488"/>
      <c r="G189" s="1489"/>
      <c r="H189" s="981" t="s">
        <v>100</v>
      </c>
      <c r="I189" s="1017"/>
      <c r="J189" s="1029"/>
      <c r="K189" s="1030"/>
      <c r="L189" s="984"/>
      <c r="M189" s="985"/>
      <c r="N189" s="985"/>
      <c r="O189" s="985"/>
      <c r="P189" s="985"/>
      <c r="Q189" s="978"/>
      <c r="R189" s="972"/>
      <c r="S189" s="973"/>
      <c r="T189" s="1258"/>
      <c r="U189" s="1337"/>
      <c r="Y189" s="74">
        <v>5.0000000000000001E-3</v>
      </c>
      <c r="Z189" s="77">
        <f>IF(H189="ja",Y189,0)</f>
        <v>0</v>
      </c>
      <c r="AA189" s="78"/>
      <c r="AB189" s="78">
        <f t="shared" si="2"/>
        <v>0</v>
      </c>
      <c r="AF189" s="68"/>
      <c r="AG189" s="68"/>
      <c r="AH189" s="68"/>
      <c r="AI189" s="68"/>
      <c r="AJ189" s="68"/>
      <c r="AK189" s="68"/>
    </row>
    <row r="190" spans="1:37" ht="15" customHeight="1" thickBot="1" x14ac:dyDescent="0.3">
      <c r="A190" s="1665"/>
      <c r="B190" s="1490"/>
      <c r="C190" s="1491"/>
      <c r="D190" s="1491"/>
      <c r="E190" s="1491"/>
      <c r="F190" s="1491"/>
      <c r="G190" s="1492"/>
      <c r="H190" s="983"/>
      <c r="I190" s="1017"/>
      <c r="J190" s="1029"/>
      <c r="K190" s="1030"/>
      <c r="L190" s="984"/>
      <c r="M190" s="985"/>
      <c r="N190" s="985"/>
      <c r="O190" s="985"/>
      <c r="P190" s="985"/>
      <c r="Q190" s="978"/>
      <c r="R190" s="972"/>
      <c r="S190" s="973"/>
      <c r="T190" s="1258"/>
      <c r="U190" s="1337"/>
      <c r="Y190" s="74"/>
      <c r="Z190" s="77"/>
      <c r="AA190" s="77"/>
      <c r="AB190" s="78">
        <f t="shared" si="2"/>
        <v>0</v>
      </c>
      <c r="AF190" s="68"/>
      <c r="AG190" s="68"/>
      <c r="AH190" s="68"/>
      <c r="AI190" s="68"/>
      <c r="AJ190" s="68"/>
      <c r="AK190" s="68"/>
    </row>
    <row r="191" spans="1:37" ht="15" customHeight="1" thickBot="1" x14ac:dyDescent="0.3">
      <c r="A191" s="1665"/>
      <c r="B191" s="1487" t="s">
        <v>427</v>
      </c>
      <c r="C191" s="1488"/>
      <c r="D191" s="1488"/>
      <c r="E191" s="1488"/>
      <c r="F191" s="1488"/>
      <c r="G191" s="1489"/>
      <c r="H191" s="981" t="s">
        <v>100</v>
      </c>
      <c r="I191" s="1017"/>
      <c r="J191" s="1029"/>
      <c r="K191" s="1030"/>
      <c r="L191" s="1539"/>
      <c r="M191" s="1540"/>
      <c r="N191" s="1540"/>
      <c r="O191" s="1540"/>
      <c r="P191" s="1540"/>
      <c r="Q191" s="978" t="s">
        <v>100</v>
      </c>
      <c r="R191" s="972"/>
      <c r="S191" s="973"/>
      <c r="T191" s="1258"/>
      <c r="U191" s="1337"/>
      <c r="V191" s="72">
        <f>IF(AND(Q191="ja",R191=""),1,0)</f>
        <v>0</v>
      </c>
      <c r="Y191" s="74">
        <v>1.5E-3</v>
      </c>
      <c r="Z191" s="77">
        <f>IF(H191="ja",Y191,0)</f>
        <v>0</v>
      </c>
      <c r="AA191" s="78"/>
      <c r="AB191" s="78">
        <f t="shared" si="2"/>
        <v>0</v>
      </c>
      <c r="AF191" s="68"/>
      <c r="AG191" s="68"/>
      <c r="AH191" s="68"/>
      <c r="AI191" s="68"/>
      <c r="AJ191" s="68"/>
      <c r="AK191" s="68"/>
    </row>
    <row r="192" spans="1:37" ht="15" customHeight="1" thickBot="1" x14ac:dyDescent="0.3">
      <c r="A192" s="1665"/>
      <c r="B192" s="1490"/>
      <c r="C192" s="1491"/>
      <c r="D192" s="1491"/>
      <c r="E192" s="1491"/>
      <c r="F192" s="1491"/>
      <c r="G192" s="1492"/>
      <c r="H192" s="983"/>
      <c r="I192" s="1018"/>
      <c r="J192" s="1031"/>
      <c r="K192" s="1032"/>
      <c r="L192" s="1541"/>
      <c r="M192" s="1542"/>
      <c r="N192" s="1542"/>
      <c r="O192" s="1542"/>
      <c r="P192" s="1542"/>
      <c r="Q192" s="979"/>
      <c r="R192" s="974"/>
      <c r="S192" s="975"/>
      <c r="T192" s="1259"/>
      <c r="U192" s="1337"/>
      <c r="Y192" s="74"/>
      <c r="Z192" s="77"/>
      <c r="AA192" s="78"/>
      <c r="AB192" s="78">
        <f t="shared" si="2"/>
        <v>0</v>
      </c>
      <c r="AF192" s="68"/>
      <c r="AG192" s="68"/>
      <c r="AH192" s="68"/>
      <c r="AI192" s="68"/>
      <c r="AJ192" s="68"/>
      <c r="AK192" s="68"/>
    </row>
    <row r="193" spans="1:37" ht="14.55" thickBot="1" x14ac:dyDescent="0.3">
      <c r="A193" s="1665"/>
      <c r="B193" s="1511" t="s">
        <v>428</v>
      </c>
      <c r="C193" s="1512"/>
      <c r="D193" s="1512"/>
      <c r="E193" s="1512"/>
      <c r="F193" s="1512"/>
      <c r="G193" s="1513"/>
      <c r="H193" s="342"/>
      <c r="I193" s="343"/>
      <c r="J193" s="344"/>
      <c r="K193" s="344"/>
      <c r="L193" s="1534">
        <f>SUM(R179:S192)</f>
        <v>0</v>
      </c>
      <c r="M193" s="1535"/>
      <c r="N193" s="1535"/>
      <c r="O193" s="1535"/>
      <c r="P193" s="1535"/>
      <c r="Q193" s="338"/>
      <c r="R193" s="1495"/>
      <c r="S193" s="1496"/>
      <c r="U193" s="334"/>
      <c r="Y193" s="74"/>
      <c r="Z193" s="152">
        <f>SUM(Z179:Z191)</f>
        <v>0</v>
      </c>
      <c r="AA193" s="78"/>
      <c r="AB193" s="78">
        <f t="shared" si="2"/>
        <v>0</v>
      </c>
      <c r="AF193" s="68"/>
      <c r="AG193" s="68"/>
      <c r="AH193" s="68"/>
      <c r="AI193" s="68"/>
      <c r="AJ193" s="68"/>
      <c r="AK193" s="68"/>
    </row>
    <row r="194" spans="1:37" ht="15" customHeight="1" thickBot="1" x14ac:dyDescent="0.3">
      <c r="A194" s="1665"/>
      <c r="B194" s="1497" t="s">
        <v>429</v>
      </c>
      <c r="C194" s="1498"/>
      <c r="D194" s="1498"/>
      <c r="E194" s="1498"/>
      <c r="F194" s="1498"/>
      <c r="G194" s="1499"/>
      <c r="H194" s="1194" t="s">
        <v>100</v>
      </c>
      <c r="I194" s="1016">
        <f>Z235</f>
        <v>0</v>
      </c>
      <c r="J194" s="1027">
        <f>I194*I115</f>
        <v>0</v>
      </c>
      <c r="K194" s="1028"/>
      <c r="L194" s="1285" t="s">
        <v>430</v>
      </c>
      <c r="M194" s="1286"/>
      <c r="N194" s="1286"/>
      <c r="O194" s="1286"/>
      <c r="P194" s="1287"/>
      <c r="Q194" s="1677" t="s">
        <v>100</v>
      </c>
      <c r="R194" s="1296"/>
      <c r="S194" s="1297"/>
      <c r="T194" s="1257" t="str">
        <f>IFERROR(IF((VLOOKUP(U194,Überblick!$M$125:$N$133,2))="ja","ja","nein"),"")</f>
        <v/>
      </c>
      <c r="U194" s="1337"/>
      <c r="V194" s="72">
        <f>IF(AND(Q194="ja",R194=""),1,0)</f>
        <v>0</v>
      </c>
      <c r="Y194" s="74">
        <v>0.17499999999999999</v>
      </c>
      <c r="Z194" s="77">
        <f>IF(H194="ja",Y194,0)</f>
        <v>0</v>
      </c>
      <c r="AA194" s="78"/>
      <c r="AB194" s="78">
        <f t="shared" si="2"/>
        <v>0</v>
      </c>
      <c r="AF194" s="68"/>
      <c r="AG194" s="68"/>
      <c r="AH194" s="68"/>
      <c r="AI194" s="68"/>
      <c r="AJ194" s="68"/>
      <c r="AK194" s="68"/>
    </row>
    <row r="195" spans="1:37" ht="15" customHeight="1" thickBot="1" x14ac:dyDescent="0.3">
      <c r="A195" s="1665"/>
      <c r="B195" s="1493"/>
      <c r="C195" s="1317"/>
      <c r="D195" s="1317"/>
      <c r="E195" s="1317"/>
      <c r="F195" s="1317"/>
      <c r="G195" s="1494"/>
      <c r="H195" s="982"/>
      <c r="I195" s="1017"/>
      <c r="J195" s="1029"/>
      <c r="K195" s="1030"/>
      <c r="L195" s="1288"/>
      <c r="M195" s="1289"/>
      <c r="N195" s="1289"/>
      <c r="O195" s="1289"/>
      <c r="P195" s="1290"/>
      <c r="Q195" s="1678"/>
      <c r="R195" s="1007"/>
      <c r="S195" s="1008"/>
      <c r="T195" s="1258"/>
      <c r="U195" s="1337"/>
      <c r="Y195" s="74"/>
      <c r="Z195" s="77"/>
      <c r="AA195" s="78"/>
      <c r="AB195" s="78">
        <f t="shared" si="2"/>
        <v>0</v>
      </c>
      <c r="AF195" s="68"/>
      <c r="AG195" s="68"/>
      <c r="AH195" s="68"/>
      <c r="AI195" s="68"/>
      <c r="AJ195" s="68"/>
      <c r="AK195" s="68"/>
    </row>
    <row r="196" spans="1:37" ht="15" customHeight="1" thickBot="1" x14ac:dyDescent="0.3">
      <c r="A196" s="1665"/>
      <c r="B196" s="1493"/>
      <c r="C196" s="1317"/>
      <c r="D196" s="1317"/>
      <c r="E196" s="1317"/>
      <c r="F196" s="1317"/>
      <c r="G196" s="1494"/>
      <c r="H196" s="982"/>
      <c r="I196" s="1017"/>
      <c r="J196" s="1029"/>
      <c r="K196" s="1030"/>
      <c r="L196" s="1288"/>
      <c r="M196" s="1289"/>
      <c r="N196" s="1289"/>
      <c r="O196" s="1289"/>
      <c r="P196" s="1290"/>
      <c r="Q196" s="1678"/>
      <c r="R196" s="1007"/>
      <c r="S196" s="1008"/>
      <c r="T196" s="1258"/>
      <c r="U196" s="1337"/>
      <c r="Y196" s="74"/>
      <c r="Z196" s="77"/>
      <c r="AA196" s="78"/>
      <c r="AB196" s="78">
        <f t="shared" si="2"/>
        <v>0</v>
      </c>
      <c r="AF196" s="68"/>
      <c r="AG196" s="68"/>
      <c r="AH196" s="68"/>
      <c r="AI196" s="68"/>
      <c r="AJ196" s="68"/>
      <c r="AK196" s="68"/>
    </row>
    <row r="197" spans="1:37" ht="15" customHeight="1" thickBot="1" x14ac:dyDescent="0.3">
      <c r="A197" s="1665"/>
      <c r="B197" s="1493"/>
      <c r="C197" s="1317"/>
      <c r="D197" s="1317"/>
      <c r="E197" s="1317"/>
      <c r="F197" s="1317"/>
      <c r="G197" s="1494"/>
      <c r="H197" s="982"/>
      <c r="I197" s="1017"/>
      <c r="J197" s="1029"/>
      <c r="K197" s="1030"/>
      <c r="L197" s="1288"/>
      <c r="M197" s="1289"/>
      <c r="N197" s="1289"/>
      <c r="O197" s="1289"/>
      <c r="P197" s="1290"/>
      <c r="Q197" s="1678"/>
      <c r="R197" s="1007"/>
      <c r="S197" s="1008"/>
      <c r="T197" s="1258"/>
      <c r="U197" s="1337"/>
      <c r="V197" s="72">
        <f>IF(AND(Q197="ja",R197=""),1,0)</f>
        <v>0</v>
      </c>
      <c r="Y197" s="74"/>
      <c r="Z197" s="77"/>
      <c r="AA197" s="78"/>
      <c r="AB197" s="78">
        <f t="shared" si="2"/>
        <v>0</v>
      </c>
      <c r="AF197" s="68"/>
      <c r="AG197" s="68"/>
      <c r="AH197" s="68"/>
      <c r="AI197" s="68"/>
      <c r="AJ197" s="68"/>
      <c r="AK197" s="68"/>
    </row>
    <row r="198" spans="1:37" ht="15" customHeight="1" thickBot="1" x14ac:dyDescent="0.3">
      <c r="A198" s="1665"/>
      <c r="B198" s="1493"/>
      <c r="C198" s="1317"/>
      <c r="D198" s="1317"/>
      <c r="E198" s="1317"/>
      <c r="F198" s="1317"/>
      <c r="G198" s="1494"/>
      <c r="H198" s="982"/>
      <c r="I198" s="1017"/>
      <c r="J198" s="1029"/>
      <c r="K198" s="1030"/>
      <c r="L198" s="1288"/>
      <c r="M198" s="1289"/>
      <c r="N198" s="1289"/>
      <c r="O198" s="1289"/>
      <c r="P198" s="1290"/>
      <c r="Q198" s="1678"/>
      <c r="R198" s="1007"/>
      <c r="S198" s="1008"/>
      <c r="T198" s="1258"/>
      <c r="U198" s="1337"/>
      <c r="Y198" s="74"/>
      <c r="Z198" s="77"/>
      <c r="AA198" s="78"/>
      <c r="AB198" s="78">
        <f t="shared" si="2"/>
        <v>0</v>
      </c>
      <c r="AF198" s="68"/>
      <c r="AG198" s="68"/>
      <c r="AH198" s="68"/>
      <c r="AI198" s="68"/>
      <c r="AJ198" s="68"/>
      <c r="AK198" s="68"/>
    </row>
    <row r="199" spans="1:37" ht="15" customHeight="1" thickBot="1" x14ac:dyDescent="0.3">
      <c r="A199" s="1665"/>
      <c r="B199" s="1493"/>
      <c r="C199" s="1317"/>
      <c r="D199" s="1317"/>
      <c r="E199" s="1317"/>
      <c r="F199" s="1317"/>
      <c r="G199" s="1494"/>
      <c r="H199" s="982"/>
      <c r="I199" s="1017"/>
      <c r="J199" s="1029"/>
      <c r="K199" s="1030"/>
      <c r="L199" s="1288"/>
      <c r="M199" s="1289"/>
      <c r="N199" s="1289"/>
      <c r="O199" s="1289"/>
      <c r="P199" s="1290"/>
      <c r="Q199" s="1678"/>
      <c r="R199" s="1007"/>
      <c r="S199" s="1008"/>
      <c r="T199" s="1258"/>
      <c r="U199" s="1337"/>
      <c r="Y199" s="74"/>
      <c r="Z199" s="77"/>
      <c r="AA199" s="78"/>
      <c r="AB199" s="78">
        <f t="shared" si="2"/>
        <v>0</v>
      </c>
      <c r="AF199" s="68"/>
      <c r="AG199" s="68"/>
      <c r="AH199" s="68"/>
      <c r="AI199" s="68"/>
      <c r="AJ199" s="68"/>
      <c r="AK199" s="68"/>
    </row>
    <row r="200" spans="1:37" ht="15" customHeight="1" thickBot="1" x14ac:dyDescent="0.3">
      <c r="A200" s="1665"/>
      <c r="B200" s="1490"/>
      <c r="C200" s="1491"/>
      <c r="D200" s="1491"/>
      <c r="E200" s="1491"/>
      <c r="F200" s="1491"/>
      <c r="G200" s="1492"/>
      <c r="H200" s="983"/>
      <c r="I200" s="1017"/>
      <c r="J200" s="1029"/>
      <c r="K200" s="1030"/>
      <c r="L200" s="1288"/>
      <c r="M200" s="1289"/>
      <c r="N200" s="1289"/>
      <c r="O200" s="1289"/>
      <c r="P200" s="1290"/>
      <c r="Q200" s="1678"/>
      <c r="R200" s="1007"/>
      <c r="S200" s="1008"/>
      <c r="T200" s="1258"/>
      <c r="U200" s="1337"/>
      <c r="V200" s="72">
        <f>IF(AND(Q200="ja",R200=""),1,0)</f>
        <v>0</v>
      </c>
      <c r="Y200" s="74"/>
      <c r="Z200" s="77"/>
      <c r="AA200" s="78"/>
      <c r="AB200" s="78">
        <f t="shared" si="2"/>
        <v>0</v>
      </c>
      <c r="AF200" s="68"/>
      <c r="AG200" s="68"/>
      <c r="AH200" s="68"/>
      <c r="AI200" s="68"/>
      <c r="AJ200" s="68"/>
      <c r="AK200" s="68"/>
    </row>
    <row r="201" spans="1:37" ht="15" customHeight="1" thickBot="1" x14ac:dyDescent="0.3">
      <c r="A201" s="1665"/>
      <c r="B201" s="1103" t="s">
        <v>431</v>
      </c>
      <c r="C201" s="1104"/>
      <c r="D201" s="1104"/>
      <c r="E201" s="1104"/>
      <c r="F201" s="1104"/>
      <c r="G201" s="1105"/>
      <c r="H201" s="857" t="s">
        <v>100</v>
      </c>
      <c r="I201" s="1017"/>
      <c r="J201" s="1029"/>
      <c r="K201" s="1030"/>
      <c r="L201" s="1288"/>
      <c r="M201" s="1289"/>
      <c r="N201" s="1289"/>
      <c r="O201" s="1289"/>
      <c r="P201" s="1290"/>
      <c r="Q201" s="1678"/>
      <c r="R201" s="1007"/>
      <c r="S201" s="1008"/>
      <c r="T201" s="1258"/>
      <c r="U201" s="1337"/>
      <c r="Y201" s="74">
        <v>3.0000000000000001E-3</v>
      </c>
      <c r="Z201" s="77">
        <f>IF(H201="ja",Y201,0)</f>
        <v>0</v>
      </c>
      <c r="AA201" s="78"/>
      <c r="AB201" s="78">
        <f t="shared" si="2"/>
        <v>0</v>
      </c>
      <c r="AF201" s="68"/>
      <c r="AG201" s="68"/>
      <c r="AH201" s="68"/>
      <c r="AI201" s="68"/>
      <c r="AJ201" s="68"/>
      <c r="AK201" s="68"/>
    </row>
    <row r="202" spans="1:37" ht="15" customHeight="1" thickBot="1" x14ac:dyDescent="0.3">
      <c r="A202" s="1665"/>
      <c r="B202" s="1487" t="s">
        <v>432</v>
      </c>
      <c r="C202" s="1488"/>
      <c r="D202" s="1488"/>
      <c r="E202" s="1488"/>
      <c r="F202" s="1488"/>
      <c r="G202" s="1489"/>
      <c r="H202" s="981" t="s">
        <v>100</v>
      </c>
      <c r="I202" s="1017"/>
      <c r="J202" s="1029"/>
      <c r="K202" s="1030"/>
      <c r="L202" s="1288"/>
      <c r="M202" s="1289"/>
      <c r="N202" s="1289"/>
      <c r="O202" s="1289"/>
      <c r="P202" s="1290"/>
      <c r="Q202" s="1678"/>
      <c r="R202" s="1007"/>
      <c r="S202" s="1008"/>
      <c r="T202" s="1258"/>
      <c r="U202" s="1337"/>
      <c r="Y202" s="74">
        <v>6.4999999999999997E-3</v>
      </c>
      <c r="Z202" s="77">
        <f>IF(H202="ja",Y202,0)</f>
        <v>0</v>
      </c>
      <c r="AA202" s="78"/>
      <c r="AB202" s="78">
        <f t="shared" si="2"/>
        <v>0</v>
      </c>
      <c r="AF202" s="68"/>
      <c r="AG202" s="68"/>
      <c r="AH202" s="68"/>
      <c r="AI202" s="68"/>
      <c r="AJ202" s="68"/>
      <c r="AK202" s="68"/>
    </row>
    <row r="203" spans="1:37" ht="15" customHeight="1" thickBot="1" x14ac:dyDescent="0.3">
      <c r="A203" s="1665"/>
      <c r="B203" s="1490"/>
      <c r="C203" s="1491"/>
      <c r="D203" s="1491"/>
      <c r="E203" s="1491"/>
      <c r="F203" s="1491"/>
      <c r="G203" s="1492"/>
      <c r="H203" s="983"/>
      <c r="I203" s="1017"/>
      <c r="J203" s="1029"/>
      <c r="K203" s="1030"/>
      <c r="L203" s="1288"/>
      <c r="M203" s="1289"/>
      <c r="N203" s="1289"/>
      <c r="O203" s="1289"/>
      <c r="P203" s="1290"/>
      <c r="Q203" s="1679"/>
      <c r="R203" s="1269"/>
      <c r="S203" s="1270"/>
      <c r="T203" s="1258"/>
      <c r="U203" s="1337"/>
      <c r="V203" s="72">
        <f>IF(AND(Q204="ja",R204=""),1,0)</f>
        <v>0</v>
      </c>
      <c r="Y203" s="74"/>
      <c r="Z203" s="77"/>
      <c r="AA203" s="78"/>
      <c r="AB203" s="78">
        <f>IF(Q204="ja",1,0)</f>
        <v>0</v>
      </c>
      <c r="AF203" s="68"/>
      <c r="AG203" s="68"/>
      <c r="AH203" s="68"/>
      <c r="AI203" s="68"/>
      <c r="AJ203" s="68"/>
      <c r="AK203" s="68"/>
    </row>
    <row r="204" spans="1:37" ht="15" customHeight="1" thickBot="1" x14ac:dyDescent="0.3">
      <c r="A204" s="1665"/>
      <c r="B204" s="1103" t="s">
        <v>433</v>
      </c>
      <c r="C204" s="1104"/>
      <c r="D204" s="1104"/>
      <c r="E204" s="1104"/>
      <c r="F204" s="1104"/>
      <c r="G204" s="1105"/>
      <c r="H204" s="857" t="s">
        <v>100</v>
      </c>
      <c r="I204" s="1017"/>
      <c r="J204" s="1029"/>
      <c r="K204" s="1030"/>
      <c r="L204" s="1484" t="s">
        <v>247</v>
      </c>
      <c r="M204" s="1485"/>
      <c r="N204" s="1485"/>
      <c r="O204" s="1485"/>
      <c r="P204" s="1486"/>
      <c r="Q204" s="979" t="s">
        <v>100</v>
      </c>
      <c r="R204" s="1005"/>
      <c r="S204" s="1006"/>
      <c r="T204" s="1258"/>
      <c r="U204" s="1337"/>
      <c r="Y204" s="74">
        <v>5.0000000000000001E-3</v>
      </c>
      <c r="Z204" s="77">
        <f>IF(H204="ja",Y204,0)</f>
        <v>0</v>
      </c>
      <c r="AA204" s="78"/>
      <c r="AB204" s="78">
        <f>IF(Q205="ja",1,0)</f>
        <v>0</v>
      </c>
      <c r="AF204" s="68"/>
      <c r="AG204" s="68"/>
      <c r="AH204" s="68"/>
      <c r="AI204" s="68"/>
      <c r="AJ204" s="68"/>
      <c r="AK204" s="68"/>
    </row>
    <row r="205" spans="1:37" ht="15" customHeight="1" thickBot="1" x14ac:dyDescent="0.3">
      <c r="A205" s="1665"/>
      <c r="B205" s="1487" t="s">
        <v>434</v>
      </c>
      <c r="C205" s="1488"/>
      <c r="D205" s="1488"/>
      <c r="E205" s="1488"/>
      <c r="F205" s="1488"/>
      <c r="G205" s="1489"/>
      <c r="H205" s="981" t="s">
        <v>100</v>
      </c>
      <c r="I205" s="1017"/>
      <c r="J205" s="1029"/>
      <c r="K205" s="1030"/>
      <c r="L205" s="1291"/>
      <c r="M205" s="1292"/>
      <c r="N205" s="1292"/>
      <c r="O205" s="1292"/>
      <c r="P205" s="1293"/>
      <c r="Q205" s="1295"/>
      <c r="R205" s="1269"/>
      <c r="S205" s="1270"/>
      <c r="T205" s="1258"/>
      <c r="U205" s="1337"/>
      <c r="Y205" s="74">
        <v>1E-3</v>
      </c>
      <c r="Z205" s="77">
        <f>IF(H205="ja",Y205,0)</f>
        <v>0</v>
      </c>
      <c r="AA205" s="78"/>
      <c r="AB205" s="78">
        <f t="shared" si="2"/>
        <v>0</v>
      </c>
      <c r="AF205" s="68"/>
      <c r="AG205" s="68"/>
      <c r="AH205" s="68"/>
      <c r="AI205" s="68"/>
      <c r="AJ205" s="68"/>
      <c r="AK205" s="68"/>
    </row>
    <row r="206" spans="1:37" ht="15" customHeight="1" thickBot="1" x14ac:dyDescent="0.3">
      <c r="A206" s="1665"/>
      <c r="B206" s="1493"/>
      <c r="C206" s="1317"/>
      <c r="D206" s="1317"/>
      <c r="E206" s="1317"/>
      <c r="F206" s="1317"/>
      <c r="G206" s="1494"/>
      <c r="H206" s="982"/>
      <c r="I206" s="1017"/>
      <c r="J206" s="1029"/>
      <c r="K206" s="1030"/>
      <c r="L206" s="984"/>
      <c r="M206" s="985"/>
      <c r="N206" s="985"/>
      <c r="O206" s="985"/>
      <c r="P206" s="985"/>
      <c r="Q206" s="978" t="s">
        <v>100</v>
      </c>
      <c r="R206" s="972"/>
      <c r="S206" s="973"/>
      <c r="T206" s="1258"/>
      <c r="U206" s="1337"/>
      <c r="V206" s="72">
        <f>IF(AND(Q206="ja",R206=""),1,0)</f>
        <v>0</v>
      </c>
      <c r="Y206" s="74"/>
      <c r="Z206" s="77"/>
      <c r="AA206" s="78"/>
      <c r="AB206" s="78">
        <f t="shared" si="2"/>
        <v>0</v>
      </c>
      <c r="AF206" s="68"/>
      <c r="AG206" s="68"/>
      <c r="AH206" s="68"/>
      <c r="AI206" s="68"/>
      <c r="AJ206" s="68"/>
      <c r="AK206" s="68"/>
    </row>
    <row r="207" spans="1:37" ht="15" customHeight="1" thickBot="1" x14ac:dyDescent="0.3">
      <c r="A207" s="1665"/>
      <c r="B207" s="1490"/>
      <c r="C207" s="1491"/>
      <c r="D207" s="1491"/>
      <c r="E207" s="1491"/>
      <c r="F207" s="1491"/>
      <c r="G207" s="1492"/>
      <c r="H207" s="983"/>
      <c r="I207" s="1017"/>
      <c r="J207" s="1029"/>
      <c r="K207" s="1030"/>
      <c r="L207" s="984"/>
      <c r="M207" s="985"/>
      <c r="N207" s="985"/>
      <c r="O207" s="985"/>
      <c r="P207" s="985"/>
      <c r="Q207" s="978"/>
      <c r="R207" s="972"/>
      <c r="S207" s="973"/>
      <c r="T207" s="1258"/>
      <c r="U207" s="1337"/>
      <c r="Y207" s="74"/>
      <c r="Z207" s="77"/>
      <c r="AA207" s="78"/>
      <c r="AB207" s="78">
        <f t="shared" si="2"/>
        <v>0</v>
      </c>
      <c r="AF207" s="68"/>
      <c r="AG207" s="68"/>
      <c r="AH207" s="68"/>
      <c r="AI207" s="68"/>
      <c r="AJ207" s="68"/>
      <c r="AK207" s="68"/>
    </row>
    <row r="208" spans="1:37" ht="15" customHeight="1" thickBot="1" x14ac:dyDescent="0.3">
      <c r="A208" s="1665"/>
      <c r="B208" s="1103" t="s">
        <v>435</v>
      </c>
      <c r="C208" s="1104"/>
      <c r="D208" s="1104"/>
      <c r="E208" s="1104"/>
      <c r="F208" s="1104"/>
      <c r="G208" s="1105"/>
      <c r="H208" s="857" t="s">
        <v>100</v>
      </c>
      <c r="I208" s="1017"/>
      <c r="J208" s="1029"/>
      <c r="K208" s="1030"/>
      <c r="L208" s="984"/>
      <c r="M208" s="985"/>
      <c r="N208" s="985"/>
      <c r="O208" s="985"/>
      <c r="P208" s="985"/>
      <c r="Q208" s="978"/>
      <c r="R208" s="972"/>
      <c r="S208" s="973"/>
      <c r="T208" s="1258"/>
      <c r="U208" s="1337"/>
      <c r="Y208" s="74">
        <v>2.2499999999999999E-2</v>
      </c>
      <c r="Z208" s="77">
        <f>IF(H208="ja",Y208,0)</f>
        <v>0</v>
      </c>
      <c r="AA208" s="78"/>
      <c r="AB208" s="78">
        <f t="shared" si="2"/>
        <v>0</v>
      </c>
      <c r="AF208" s="68"/>
      <c r="AG208" s="68"/>
      <c r="AH208" s="68"/>
      <c r="AI208" s="68"/>
      <c r="AJ208" s="68"/>
      <c r="AK208" s="68"/>
    </row>
    <row r="209" spans="1:37" ht="15" customHeight="1" thickBot="1" x14ac:dyDescent="0.3">
      <c r="A209" s="1665"/>
      <c r="B209" s="1487" t="s">
        <v>436</v>
      </c>
      <c r="C209" s="1488"/>
      <c r="D209" s="1488"/>
      <c r="E209" s="1488"/>
      <c r="F209" s="1488"/>
      <c r="G209" s="1489"/>
      <c r="H209" s="981" t="s">
        <v>100</v>
      </c>
      <c r="I209" s="1017"/>
      <c r="J209" s="1029"/>
      <c r="K209" s="1030"/>
      <c r="L209" s="984" t="s">
        <v>437</v>
      </c>
      <c r="M209" s="985"/>
      <c r="N209" s="985"/>
      <c r="O209" s="985"/>
      <c r="P209" s="985"/>
      <c r="Q209" s="978" t="s">
        <v>100</v>
      </c>
      <c r="R209" s="972"/>
      <c r="S209" s="973"/>
      <c r="T209" s="1258"/>
      <c r="U209" s="1337"/>
      <c r="V209" s="72">
        <f>IF(AND(Q209="ja",R209=""),1,0)</f>
        <v>0</v>
      </c>
      <c r="Y209" s="74">
        <v>6.5000000000000002E-2</v>
      </c>
      <c r="Z209" s="77">
        <f>IF(H209="ja",Y209,0)</f>
        <v>0</v>
      </c>
      <c r="AA209" s="78"/>
      <c r="AB209" s="78">
        <f t="shared" si="2"/>
        <v>0</v>
      </c>
      <c r="AF209" s="68"/>
      <c r="AG209" s="68"/>
      <c r="AH209" s="68"/>
      <c r="AI209" s="68"/>
      <c r="AJ209" s="68"/>
      <c r="AK209" s="68"/>
    </row>
    <row r="210" spans="1:37" ht="15" customHeight="1" thickBot="1" x14ac:dyDescent="0.3">
      <c r="A210" s="166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78">
        <f t="shared" si="2"/>
        <v>0</v>
      </c>
      <c r="AF210" s="68"/>
      <c r="AG210" s="68"/>
      <c r="AH210" s="68"/>
      <c r="AI210" s="68"/>
      <c r="AJ210" s="68"/>
      <c r="AK210" s="68"/>
    </row>
    <row r="211" spans="1:37" ht="15" customHeight="1" thickBot="1" x14ac:dyDescent="0.3">
      <c r="A211" s="1665"/>
      <c r="B211" s="1493"/>
      <c r="C211" s="1317"/>
      <c r="D211" s="1317"/>
      <c r="E211" s="1317"/>
      <c r="F211" s="1317"/>
      <c r="G211" s="1494"/>
      <c r="H211" s="982"/>
      <c r="I211" s="1017"/>
      <c r="J211" s="1029"/>
      <c r="K211" s="1030"/>
      <c r="L211" s="984"/>
      <c r="M211" s="985"/>
      <c r="N211" s="985"/>
      <c r="O211" s="985"/>
      <c r="P211" s="985"/>
      <c r="Q211" s="978"/>
      <c r="R211" s="972"/>
      <c r="S211" s="973"/>
      <c r="T211" s="1258"/>
      <c r="U211" s="1337"/>
      <c r="Y211" s="74"/>
      <c r="Z211" s="77"/>
      <c r="AA211" s="78"/>
      <c r="AB211" s="78">
        <f t="shared" si="2"/>
        <v>0</v>
      </c>
      <c r="AF211" s="68"/>
      <c r="AG211" s="68"/>
      <c r="AH211" s="68"/>
      <c r="AI211" s="68"/>
      <c r="AJ211" s="68"/>
      <c r="AK211" s="68"/>
    </row>
    <row r="212" spans="1:37" ht="15" customHeight="1" thickBot="1" x14ac:dyDescent="0.3">
      <c r="A212" s="1665"/>
      <c r="B212" s="1490"/>
      <c r="C212" s="1491"/>
      <c r="D212" s="1491"/>
      <c r="E212" s="1491"/>
      <c r="F212" s="1491"/>
      <c r="G212" s="1492"/>
      <c r="H212" s="983"/>
      <c r="I212" s="1017"/>
      <c r="J212" s="1029"/>
      <c r="K212" s="1030"/>
      <c r="L212" s="1484" t="s">
        <v>438</v>
      </c>
      <c r="M212" s="1485"/>
      <c r="N212" s="1485"/>
      <c r="O212" s="1485"/>
      <c r="P212" s="1486"/>
      <c r="Q212" s="1680" t="s">
        <v>100</v>
      </c>
      <c r="R212" s="1005"/>
      <c r="S212" s="1006"/>
      <c r="T212" s="1258"/>
      <c r="U212" s="1337"/>
      <c r="V212" s="72">
        <f>IF(AND(Q212="ja",R212=""),1,0)</f>
        <v>0</v>
      </c>
      <c r="Y212" s="74"/>
      <c r="Z212" s="77"/>
      <c r="AA212" s="78"/>
      <c r="AB212" s="78">
        <f t="shared" si="2"/>
        <v>0</v>
      </c>
      <c r="AF212" s="68"/>
      <c r="AG212" s="68"/>
      <c r="AH212" s="68"/>
      <c r="AI212" s="68"/>
      <c r="AJ212" s="68"/>
      <c r="AK212" s="68"/>
    </row>
    <row r="213" spans="1:37" ht="15" customHeight="1" thickBot="1" x14ac:dyDescent="0.3">
      <c r="A213" s="1665"/>
      <c r="B213" s="1487" t="s">
        <v>439</v>
      </c>
      <c r="C213" s="1488"/>
      <c r="D213" s="1488"/>
      <c r="E213" s="1488"/>
      <c r="F213" s="1488"/>
      <c r="G213" s="1489"/>
      <c r="H213" s="981" t="s">
        <v>100</v>
      </c>
      <c r="I213" s="1017"/>
      <c r="J213" s="1029"/>
      <c r="K213" s="1030"/>
      <c r="L213" s="1288"/>
      <c r="M213" s="1289"/>
      <c r="N213" s="1289"/>
      <c r="O213" s="1289"/>
      <c r="P213" s="1290"/>
      <c r="Q213" s="1681"/>
      <c r="R213" s="1007"/>
      <c r="S213" s="1008"/>
      <c r="T213" s="1258"/>
      <c r="U213" s="1337"/>
      <c r="Y213" s="74">
        <v>8.5000000000000006E-3</v>
      </c>
      <c r="Z213" s="77">
        <f>IF(H213="ja",Y213,0)</f>
        <v>0</v>
      </c>
      <c r="AA213" s="78"/>
      <c r="AB213" s="78">
        <f t="shared" si="2"/>
        <v>0</v>
      </c>
      <c r="AF213" s="68"/>
      <c r="AG213" s="68"/>
      <c r="AH213" s="68"/>
      <c r="AI213" s="68"/>
      <c r="AJ213" s="68"/>
      <c r="AK213" s="68"/>
    </row>
    <row r="214" spans="1:37" ht="15" customHeight="1" thickBot="1" x14ac:dyDescent="0.3">
      <c r="A214" s="1665"/>
      <c r="B214" s="1493"/>
      <c r="C214" s="1317"/>
      <c r="D214" s="1317"/>
      <c r="E214" s="1317"/>
      <c r="F214" s="1317"/>
      <c r="G214" s="1494"/>
      <c r="H214" s="982"/>
      <c r="I214" s="1017"/>
      <c r="J214" s="1029"/>
      <c r="K214" s="1030"/>
      <c r="L214" s="1288"/>
      <c r="M214" s="1289"/>
      <c r="N214" s="1289"/>
      <c r="O214" s="1289"/>
      <c r="P214" s="1290"/>
      <c r="Q214" s="1681"/>
      <c r="R214" s="1007"/>
      <c r="S214" s="1008"/>
      <c r="T214" s="1258"/>
      <c r="U214" s="1337"/>
      <c r="Y214" s="74"/>
      <c r="Z214" s="77"/>
      <c r="AA214" s="78"/>
      <c r="AB214" s="78">
        <f t="shared" si="2"/>
        <v>0</v>
      </c>
      <c r="AF214" s="68"/>
      <c r="AG214" s="68"/>
      <c r="AH214" s="68"/>
      <c r="AI214" s="68"/>
      <c r="AJ214" s="68"/>
      <c r="AK214" s="68"/>
    </row>
    <row r="215" spans="1:37" ht="15" customHeight="1" thickBot="1" x14ac:dyDescent="0.3">
      <c r="A215" s="1665"/>
      <c r="B215" s="1493"/>
      <c r="C215" s="1317"/>
      <c r="D215" s="1317"/>
      <c r="E215" s="1317"/>
      <c r="F215" s="1317"/>
      <c r="G215" s="1494"/>
      <c r="H215" s="982"/>
      <c r="I215" s="1017"/>
      <c r="J215" s="1029"/>
      <c r="K215" s="1030"/>
      <c r="L215" s="1288"/>
      <c r="M215" s="1289"/>
      <c r="N215" s="1289"/>
      <c r="O215" s="1289"/>
      <c r="P215" s="1290"/>
      <c r="Q215" s="1681"/>
      <c r="R215" s="1007"/>
      <c r="S215" s="1008"/>
      <c r="T215" s="1258"/>
      <c r="U215" s="1337"/>
      <c r="V215" s="72">
        <f>IF(AND(Q215="ja",R215=""),1,0)</f>
        <v>0</v>
      </c>
      <c r="Y215" s="74"/>
      <c r="Z215" s="77"/>
      <c r="AA215" s="78"/>
      <c r="AB215" s="78">
        <f t="shared" si="2"/>
        <v>0</v>
      </c>
      <c r="AF215" s="68"/>
      <c r="AG215" s="68"/>
      <c r="AH215" s="68"/>
      <c r="AI215" s="68"/>
      <c r="AJ215" s="68"/>
      <c r="AK215" s="68"/>
    </row>
    <row r="216" spans="1:37" ht="15" customHeight="1" thickBot="1" x14ac:dyDescent="0.3">
      <c r="A216" s="1665"/>
      <c r="B216" s="1490"/>
      <c r="C216" s="1491"/>
      <c r="D216" s="1491"/>
      <c r="E216" s="1491"/>
      <c r="F216" s="1491"/>
      <c r="G216" s="1492"/>
      <c r="H216" s="983"/>
      <c r="I216" s="1017"/>
      <c r="J216" s="1029"/>
      <c r="K216" s="1030"/>
      <c r="L216" s="1288"/>
      <c r="M216" s="1289"/>
      <c r="N216" s="1289"/>
      <c r="O216" s="1289"/>
      <c r="P216" s="1290"/>
      <c r="Q216" s="1681"/>
      <c r="R216" s="1007"/>
      <c r="S216" s="1008"/>
      <c r="T216" s="1258"/>
      <c r="U216" s="1337"/>
      <c r="Y216" s="74"/>
      <c r="Z216" s="77"/>
      <c r="AA216" s="78"/>
      <c r="AB216" s="78">
        <f t="shared" si="2"/>
        <v>0</v>
      </c>
      <c r="AF216" s="68"/>
      <c r="AG216" s="68"/>
      <c r="AH216" s="68"/>
      <c r="AI216" s="68"/>
      <c r="AJ216" s="68"/>
      <c r="AK216" s="68"/>
    </row>
    <row r="217" spans="1:37" ht="15" customHeight="1" thickBot="1" x14ac:dyDescent="0.3">
      <c r="A217" s="1665"/>
      <c r="B217" s="1103" t="s">
        <v>440</v>
      </c>
      <c r="C217" s="1104"/>
      <c r="D217" s="1104"/>
      <c r="E217" s="1104"/>
      <c r="F217" s="1104"/>
      <c r="G217" s="1105"/>
      <c r="H217" s="857" t="s">
        <v>100</v>
      </c>
      <c r="I217" s="1017"/>
      <c r="J217" s="1029"/>
      <c r="K217" s="1030"/>
      <c r="L217" s="1291"/>
      <c r="M217" s="1292"/>
      <c r="N217" s="1292"/>
      <c r="O217" s="1292"/>
      <c r="P217" s="1293"/>
      <c r="Q217" s="1682"/>
      <c r="R217" s="1269"/>
      <c r="S217" s="1270"/>
      <c r="T217" s="1258"/>
      <c r="U217" s="1337"/>
      <c r="Y217" s="74">
        <v>8.0000000000000002E-3</v>
      </c>
      <c r="Z217" s="77">
        <f>IF(H217="ja",Y217,0)</f>
        <v>0</v>
      </c>
      <c r="AA217" s="78"/>
      <c r="AB217" s="78">
        <f t="shared" si="2"/>
        <v>0</v>
      </c>
      <c r="AF217" s="68"/>
      <c r="AG217" s="68"/>
      <c r="AH217" s="68"/>
      <c r="AI217" s="68"/>
      <c r="AJ217" s="68"/>
      <c r="AK217" s="68"/>
    </row>
    <row r="218" spans="1:37" ht="15" customHeight="1" thickBot="1" x14ac:dyDescent="0.3">
      <c r="A218" s="1665"/>
      <c r="B218" s="1103" t="s">
        <v>441</v>
      </c>
      <c r="C218" s="1104"/>
      <c r="D218" s="1104"/>
      <c r="E218" s="1104"/>
      <c r="F218" s="1104"/>
      <c r="G218" s="1105"/>
      <c r="H218" s="857" t="s">
        <v>100</v>
      </c>
      <c r="I218" s="1017"/>
      <c r="J218" s="1029"/>
      <c r="K218" s="1030"/>
      <c r="L218" s="1484" t="s">
        <v>442</v>
      </c>
      <c r="M218" s="1485"/>
      <c r="N218" s="1485"/>
      <c r="O218" s="1485"/>
      <c r="P218" s="1486"/>
      <c r="Q218" s="979" t="s">
        <v>100</v>
      </c>
      <c r="R218" s="1005"/>
      <c r="S218" s="1006"/>
      <c r="T218" s="1258"/>
      <c r="U218" s="1337"/>
      <c r="V218" s="72">
        <f>IF(AND(Q218="ja",R218=""),1,0)</f>
        <v>0</v>
      </c>
      <c r="Y218" s="74">
        <v>5.0000000000000001E-3</v>
      </c>
      <c r="Z218" s="77">
        <f>IF(H218="ja",Y218,0)</f>
        <v>0</v>
      </c>
      <c r="AA218" s="78"/>
      <c r="AB218" s="78">
        <f t="shared" si="2"/>
        <v>0</v>
      </c>
      <c r="AF218" s="68"/>
      <c r="AG218" s="68"/>
      <c r="AH218" s="68"/>
      <c r="AI218" s="68"/>
      <c r="AJ218" s="68"/>
      <c r="AK218" s="68"/>
    </row>
    <row r="219" spans="1:37" ht="15" customHeight="1" thickBot="1" x14ac:dyDescent="0.3">
      <c r="A219" s="1665"/>
      <c r="B219" s="1487" t="s">
        <v>443</v>
      </c>
      <c r="C219" s="1488"/>
      <c r="D219" s="1488"/>
      <c r="E219" s="1488"/>
      <c r="F219" s="1488"/>
      <c r="G219" s="1489"/>
      <c r="H219" s="981" t="s">
        <v>100</v>
      </c>
      <c r="I219" s="1017"/>
      <c r="J219" s="1029"/>
      <c r="K219" s="1030"/>
      <c r="L219" s="1288"/>
      <c r="M219" s="1289"/>
      <c r="N219" s="1289"/>
      <c r="O219" s="1289"/>
      <c r="P219" s="1290"/>
      <c r="Q219" s="1003"/>
      <c r="R219" s="1007"/>
      <c r="S219" s="1008"/>
      <c r="T219" s="1258"/>
      <c r="U219" s="1337"/>
      <c r="Y219" s="74">
        <v>2.5000000000000001E-2</v>
      </c>
      <c r="Z219" s="77">
        <f>IF(H219="ja",Y219,0)</f>
        <v>0</v>
      </c>
      <c r="AA219" s="78"/>
      <c r="AB219" s="78">
        <f t="shared" si="2"/>
        <v>0</v>
      </c>
      <c r="AF219" s="68"/>
      <c r="AG219" s="68"/>
      <c r="AH219" s="68"/>
      <c r="AI219" s="68"/>
      <c r="AJ219" s="68"/>
      <c r="AK219" s="68"/>
    </row>
    <row r="220" spans="1:37" ht="15" customHeight="1" thickBot="1" x14ac:dyDescent="0.3">
      <c r="A220" s="166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Y220" s="74"/>
      <c r="Z220" s="77"/>
      <c r="AA220" s="78"/>
      <c r="AB220" s="78">
        <f t="shared" si="2"/>
        <v>0</v>
      </c>
      <c r="AF220" s="68"/>
      <c r="AG220" s="68"/>
      <c r="AH220" s="68"/>
      <c r="AI220" s="68"/>
      <c r="AJ220" s="68"/>
      <c r="AK220" s="68"/>
    </row>
    <row r="221" spans="1:37" ht="15" customHeight="1" thickBot="1" x14ac:dyDescent="0.3">
      <c r="A221" s="1665"/>
      <c r="B221" s="1493"/>
      <c r="C221" s="1317"/>
      <c r="D221" s="1317"/>
      <c r="E221" s="1317"/>
      <c r="F221" s="1317"/>
      <c r="G221" s="1494"/>
      <c r="H221" s="982"/>
      <c r="I221" s="1017"/>
      <c r="J221" s="1029"/>
      <c r="K221" s="1030"/>
      <c r="L221" s="1288"/>
      <c r="M221" s="1289"/>
      <c r="N221" s="1289"/>
      <c r="O221" s="1289"/>
      <c r="P221" s="1290"/>
      <c r="Q221" s="1003"/>
      <c r="R221" s="1007"/>
      <c r="S221" s="1008"/>
      <c r="T221" s="1258"/>
      <c r="U221" s="1337"/>
      <c r="V221" s="72">
        <f>IF(AND(Q221="ja",R221=""),1,0)</f>
        <v>0</v>
      </c>
      <c r="Y221" s="74"/>
      <c r="Z221" s="77"/>
      <c r="AA221" s="78"/>
      <c r="AB221" s="78">
        <f t="shared" si="2"/>
        <v>0</v>
      </c>
      <c r="AF221" s="68"/>
      <c r="AG221" s="68"/>
      <c r="AH221" s="68"/>
      <c r="AI221" s="68"/>
      <c r="AJ221" s="68"/>
      <c r="AK221" s="68"/>
    </row>
    <row r="222" spans="1:37" ht="15" customHeight="1" thickBot="1" x14ac:dyDescent="0.3">
      <c r="A222" s="1665"/>
      <c r="B222" s="1490"/>
      <c r="C222" s="1491"/>
      <c r="D222" s="1491"/>
      <c r="E222" s="1491"/>
      <c r="F222" s="1491"/>
      <c r="G222" s="1492"/>
      <c r="H222" s="983"/>
      <c r="I222" s="1017"/>
      <c r="J222" s="1029"/>
      <c r="K222" s="1030"/>
      <c r="L222" s="1288"/>
      <c r="M222" s="1289"/>
      <c r="N222" s="1289"/>
      <c r="O222" s="1289"/>
      <c r="P222" s="1290"/>
      <c r="Q222" s="1003"/>
      <c r="R222" s="1007"/>
      <c r="S222" s="1008"/>
      <c r="T222" s="1258"/>
      <c r="U222" s="1337"/>
      <c r="Y222" s="74"/>
      <c r="Z222" s="77"/>
      <c r="AA222" s="78"/>
      <c r="AB222" s="78">
        <f t="shared" si="2"/>
        <v>0</v>
      </c>
      <c r="AF222" s="68"/>
      <c r="AG222" s="68"/>
      <c r="AH222" s="68"/>
      <c r="AI222" s="68"/>
      <c r="AJ222" s="68"/>
      <c r="AK222" s="68"/>
    </row>
    <row r="223" spans="1:37" ht="15" customHeight="1" thickBot="1" x14ac:dyDescent="0.3">
      <c r="A223" s="1665"/>
      <c r="B223" s="1103" t="s">
        <v>444</v>
      </c>
      <c r="C223" s="1104"/>
      <c r="D223" s="1104"/>
      <c r="E223" s="1104"/>
      <c r="F223" s="1104"/>
      <c r="G223" s="1105"/>
      <c r="H223" s="857" t="s">
        <v>100</v>
      </c>
      <c r="I223" s="1017"/>
      <c r="J223" s="1029"/>
      <c r="K223" s="1030"/>
      <c r="L223" s="1288"/>
      <c r="M223" s="1289"/>
      <c r="N223" s="1289"/>
      <c r="O223" s="1289"/>
      <c r="P223" s="1290"/>
      <c r="Q223" s="1003"/>
      <c r="R223" s="1007"/>
      <c r="S223" s="1008"/>
      <c r="T223" s="1258"/>
      <c r="U223" s="1337"/>
      <c r="Y223" s="74">
        <v>1E-3</v>
      </c>
      <c r="Z223" s="77">
        <f>IF(H223="ja",Y223,0)</f>
        <v>0</v>
      </c>
      <c r="AA223" s="78"/>
      <c r="AB223" s="78">
        <f t="shared" si="2"/>
        <v>0</v>
      </c>
      <c r="AF223" s="68"/>
      <c r="AG223" s="68"/>
      <c r="AH223" s="68"/>
      <c r="AI223" s="68"/>
      <c r="AJ223" s="68"/>
      <c r="AK223" s="68"/>
    </row>
    <row r="224" spans="1:37" ht="15" customHeight="1" thickBot="1" x14ac:dyDescent="0.3">
      <c r="A224" s="1665"/>
      <c r="B224" s="1487" t="s">
        <v>445</v>
      </c>
      <c r="C224" s="1488"/>
      <c r="D224" s="1488"/>
      <c r="E224" s="1488"/>
      <c r="F224" s="1488"/>
      <c r="G224" s="1489"/>
      <c r="H224" s="981" t="s">
        <v>100</v>
      </c>
      <c r="I224" s="1017"/>
      <c r="J224" s="1029"/>
      <c r="K224" s="1030"/>
      <c r="L224" s="1288"/>
      <c r="M224" s="1289"/>
      <c r="N224" s="1289"/>
      <c r="O224" s="1289"/>
      <c r="P224" s="1290"/>
      <c r="Q224" s="1003"/>
      <c r="R224" s="1007"/>
      <c r="S224" s="1008"/>
      <c r="T224" s="1258"/>
      <c r="U224" s="1337"/>
      <c r="V224" s="72">
        <f>IF(AND(Q224="ja",R224=""),1,0)</f>
        <v>0</v>
      </c>
      <c r="Y224" s="74">
        <v>7.4999999999999997E-3</v>
      </c>
      <c r="Z224" s="77">
        <f>IF(H224="ja",Y224,0)</f>
        <v>0</v>
      </c>
      <c r="AA224" s="78"/>
      <c r="AB224" s="78">
        <f t="shared" si="2"/>
        <v>0</v>
      </c>
      <c r="AF224" s="68"/>
      <c r="AG224" s="68"/>
      <c r="AH224" s="68"/>
      <c r="AI224" s="68"/>
      <c r="AJ224" s="68"/>
      <c r="AK224" s="68"/>
    </row>
    <row r="225" spans="1:37" ht="15" customHeight="1" thickBot="1" x14ac:dyDescent="0.3">
      <c r="A225" s="1665"/>
      <c r="B225" s="1493"/>
      <c r="C225" s="1317"/>
      <c r="D225" s="1317"/>
      <c r="E225" s="1317"/>
      <c r="F225" s="1317"/>
      <c r="G225" s="1494"/>
      <c r="H225" s="982"/>
      <c r="I225" s="1017"/>
      <c r="J225" s="1029"/>
      <c r="K225" s="1030"/>
      <c r="L225" s="1288"/>
      <c r="M225" s="1289"/>
      <c r="N225" s="1289"/>
      <c r="O225" s="1289"/>
      <c r="P225" s="1290"/>
      <c r="Q225" s="1003"/>
      <c r="R225" s="1007"/>
      <c r="S225" s="1008"/>
      <c r="T225" s="1258"/>
      <c r="U225" s="1337"/>
      <c r="Y225" s="74"/>
      <c r="Z225" s="77"/>
      <c r="AA225" s="78"/>
      <c r="AB225" s="78">
        <f t="shared" si="2"/>
        <v>0</v>
      </c>
      <c r="AF225" s="68"/>
      <c r="AG225" s="68"/>
      <c r="AH225" s="68"/>
      <c r="AI225" s="68"/>
      <c r="AJ225" s="68"/>
      <c r="AK225" s="68"/>
    </row>
    <row r="226" spans="1:37" ht="15" customHeight="1" thickBot="1" x14ac:dyDescent="0.3">
      <c r="A226" s="1665"/>
      <c r="B226" s="1493"/>
      <c r="C226" s="1317"/>
      <c r="D226" s="1317"/>
      <c r="E226" s="1317"/>
      <c r="F226" s="1317"/>
      <c r="G226" s="1494"/>
      <c r="H226" s="982"/>
      <c r="I226" s="1017"/>
      <c r="J226" s="1029"/>
      <c r="K226" s="1030"/>
      <c r="L226" s="1291"/>
      <c r="M226" s="1292"/>
      <c r="N226" s="1292"/>
      <c r="O226" s="1292"/>
      <c r="P226" s="1293"/>
      <c r="Q226" s="1295"/>
      <c r="R226" s="1269"/>
      <c r="S226" s="1270"/>
      <c r="T226" s="1258"/>
      <c r="U226" s="1337"/>
      <c r="Y226" s="74"/>
      <c r="Z226" s="77"/>
      <c r="AA226" s="78"/>
      <c r="AB226" s="78">
        <f t="shared" si="2"/>
        <v>0</v>
      </c>
      <c r="AF226" s="68"/>
      <c r="AG226" s="68"/>
      <c r="AH226" s="68"/>
      <c r="AI226" s="68"/>
      <c r="AJ226" s="68"/>
      <c r="AK226" s="68"/>
    </row>
    <row r="227" spans="1:37" ht="15" customHeight="1" thickBot="1" x14ac:dyDescent="0.3">
      <c r="A227" s="1665"/>
      <c r="B227" s="1490"/>
      <c r="C227" s="1491"/>
      <c r="D227" s="1491"/>
      <c r="E227" s="1491"/>
      <c r="F227" s="1491"/>
      <c r="G227" s="1492"/>
      <c r="H227" s="983"/>
      <c r="I227" s="1017"/>
      <c r="J227" s="1029"/>
      <c r="K227" s="1030"/>
      <c r="L227" s="984" t="s">
        <v>254</v>
      </c>
      <c r="M227" s="985"/>
      <c r="N227" s="985"/>
      <c r="O227" s="985"/>
      <c r="P227" s="985"/>
      <c r="Q227" s="978" t="s">
        <v>100</v>
      </c>
      <c r="R227" s="972"/>
      <c r="S227" s="973"/>
      <c r="T227" s="1258"/>
      <c r="U227" s="1337"/>
      <c r="V227" s="72">
        <f>IF(AND(Q227="ja",R227=""),1,0)</f>
        <v>0</v>
      </c>
      <c r="Y227" s="74"/>
      <c r="Z227" s="77"/>
      <c r="AA227" s="78"/>
      <c r="AB227" s="78">
        <f t="shared" si="2"/>
        <v>0</v>
      </c>
      <c r="AF227" s="68"/>
      <c r="AG227" s="68"/>
      <c r="AH227" s="68"/>
      <c r="AI227" s="68"/>
      <c r="AJ227" s="68"/>
      <c r="AK227" s="68"/>
    </row>
    <row r="228" spans="1:37" ht="15" customHeight="1" thickBot="1" x14ac:dyDescent="0.3">
      <c r="A228" s="1665"/>
      <c r="B228" s="1487" t="s">
        <v>446</v>
      </c>
      <c r="C228" s="1488"/>
      <c r="D228" s="1488"/>
      <c r="E228" s="1488"/>
      <c r="F228" s="1488"/>
      <c r="G228" s="1489"/>
      <c r="H228" s="981" t="s">
        <v>100</v>
      </c>
      <c r="I228" s="1017"/>
      <c r="J228" s="1029"/>
      <c r="K228" s="1030"/>
      <c r="L228" s="984"/>
      <c r="M228" s="985"/>
      <c r="N228" s="985"/>
      <c r="O228" s="985"/>
      <c r="P228" s="985"/>
      <c r="Q228" s="978"/>
      <c r="R228" s="972"/>
      <c r="S228" s="973"/>
      <c r="T228" s="1258"/>
      <c r="U228" s="1337"/>
      <c r="Y228" s="74">
        <v>1E-3</v>
      </c>
      <c r="Z228" s="77">
        <f>IF(H228="ja",Y228,0)</f>
        <v>0</v>
      </c>
      <c r="AA228" s="78"/>
      <c r="AB228" s="78">
        <f t="shared" si="2"/>
        <v>0</v>
      </c>
      <c r="AF228" s="68"/>
      <c r="AG228" s="68"/>
      <c r="AH228" s="68"/>
      <c r="AI228" s="68"/>
      <c r="AJ228" s="68"/>
      <c r="AK228" s="68"/>
    </row>
    <row r="229" spans="1:37" ht="15" customHeight="1" thickBot="1" x14ac:dyDescent="0.3">
      <c r="A229" s="1665"/>
      <c r="B229" s="1490"/>
      <c r="C229" s="1491"/>
      <c r="D229" s="1491"/>
      <c r="E229" s="1491"/>
      <c r="F229" s="1491"/>
      <c r="G229" s="1492"/>
      <c r="H229" s="983"/>
      <c r="I229" s="1017"/>
      <c r="J229" s="1029"/>
      <c r="K229" s="1030"/>
      <c r="L229" s="984"/>
      <c r="M229" s="985"/>
      <c r="N229" s="985"/>
      <c r="O229" s="985"/>
      <c r="P229" s="985"/>
      <c r="Q229" s="978"/>
      <c r="R229" s="972"/>
      <c r="S229" s="973"/>
      <c r="T229" s="1258"/>
      <c r="U229" s="1337"/>
      <c r="Y229" s="74"/>
      <c r="Z229" s="77"/>
      <c r="AA229" s="78"/>
      <c r="AB229" s="78">
        <f t="shared" si="2"/>
        <v>0</v>
      </c>
      <c r="AF229" s="68"/>
      <c r="AG229" s="68"/>
      <c r="AH229" s="68"/>
      <c r="AI229" s="68"/>
      <c r="AJ229" s="68"/>
      <c r="AK229" s="68"/>
    </row>
    <row r="230" spans="1:37" ht="15" customHeight="1" thickBot="1" x14ac:dyDescent="0.3">
      <c r="A230" s="1665"/>
      <c r="B230" s="1487" t="s">
        <v>270</v>
      </c>
      <c r="C230" s="1488"/>
      <c r="D230" s="1488"/>
      <c r="E230" s="1488"/>
      <c r="F230" s="1488"/>
      <c r="G230" s="1489"/>
      <c r="H230" s="981" t="s">
        <v>100</v>
      </c>
      <c r="I230" s="1017"/>
      <c r="J230" s="1029"/>
      <c r="K230" s="1030"/>
      <c r="L230" s="1484" t="s">
        <v>263</v>
      </c>
      <c r="M230" s="1485"/>
      <c r="N230" s="1485"/>
      <c r="O230" s="1485"/>
      <c r="P230" s="1486"/>
      <c r="Q230" s="979" t="s">
        <v>100</v>
      </c>
      <c r="R230" s="1005"/>
      <c r="S230" s="1006"/>
      <c r="T230" s="1258"/>
      <c r="U230" s="1337"/>
      <c r="V230" s="72">
        <f>IF(AND(Q230="ja",R230=""),1,0)</f>
        <v>0</v>
      </c>
      <c r="Y230" s="74">
        <v>1.4999999999999999E-2</v>
      </c>
      <c r="Z230" s="77">
        <f>IF(H230="ja",Y230,0)</f>
        <v>0</v>
      </c>
      <c r="AA230" s="78"/>
      <c r="AB230" s="78">
        <f t="shared" si="2"/>
        <v>0</v>
      </c>
      <c r="AF230" s="68"/>
      <c r="AG230" s="68"/>
      <c r="AH230" s="68"/>
      <c r="AI230" s="68"/>
      <c r="AJ230" s="68"/>
      <c r="AK230" s="68"/>
    </row>
    <row r="231" spans="1:37" ht="15" customHeight="1" thickBot="1" x14ac:dyDescent="0.3">
      <c r="A231" s="1665"/>
      <c r="B231" s="1490"/>
      <c r="C231" s="1491"/>
      <c r="D231" s="1491"/>
      <c r="E231" s="1491"/>
      <c r="F231" s="1491"/>
      <c r="G231" s="1492"/>
      <c r="H231" s="983"/>
      <c r="I231" s="1017"/>
      <c r="J231" s="1029"/>
      <c r="K231" s="1030"/>
      <c r="L231" s="1288"/>
      <c r="M231" s="1289"/>
      <c r="N231" s="1289"/>
      <c r="O231" s="1289"/>
      <c r="P231" s="1290"/>
      <c r="Q231" s="1003"/>
      <c r="R231" s="1007"/>
      <c r="S231" s="1008"/>
      <c r="T231" s="1258"/>
      <c r="U231" s="1337"/>
      <c r="Y231" s="74"/>
      <c r="Z231" s="77"/>
      <c r="AA231" s="78"/>
      <c r="AB231" s="78">
        <f t="shared" si="2"/>
        <v>0</v>
      </c>
      <c r="AF231" s="68"/>
      <c r="AG231" s="68"/>
      <c r="AH231" s="68"/>
      <c r="AI231" s="68"/>
      <c r="AJ231" s="68"/>
      <c r="AK231" s="68"/>
    </row>
    <row r="232" spans="1:37" ht="15" customHeight="1" thickBot="1" x14ac:dyDescent="0.3">
      <c r="A232" s="1665"/>
      <c r="B232" s="1487" t="s">
        <v>447</v>
      </c>
      <c r="C232" s="1488"/>
      <c r="D232" s="1488"/>
      <c r="E232" s="1488"/>
      <c r="F232" s="1488"/>
      <c r="G232" s="1489"/>
      <c r="H232" s="981" t="s">
        <v>100</v>
      </c>
      <c r="I232" s="1017"/>
      <c r="J232" s="1029"/>
      <c r="K232" s="1030"/>
      <c r="L232" s="1288"/>
      <c r="M232" s="1289"/>
      <c r="N232" s="1289"/>
      <c r="O232" s="1289"/>
      <c r="P232" s="1290"/>
      <c r="Q232" s="1003"/>
      <c r="R232" s="1007"/>
      <c r="S232" s="1008"/>
      <c r="T232" s="1258"/>
      <c r="U232" s="1337"/>
      <c r="Y232" s="74">
        <v>1E-3</v>
      </c>
      <c r="Z232" s="77">
        <f>IF(H232="ja",Y232,0)</f>
        <v>0</v>
      </c>
      <c r="AA232" s="77"/>
      <c r="AB232" s="78">
        <f t="shared" ref="AB232:AB243" si="3">IF(Q232="ja",1,0)</f>
        <v>0</v>
      </c>
      <c r="AF232" s="68"/>
      <c r="AG232" s="68"/>
      <c r="AH232" s="68"/>
      <c r="AI232" s="68"/>
      <c r="AJ232" s="68"/>
      <c r="AK232" s="68"/>
    </row>
    <row r="233" spans="1:37" ht="15" customHeight="1" thickBot="1" x14ac:dyDescent="0.3">
      <c r="A233" s="1665"/>
      <c r="B233" s="1493"/>
      <c r="C233" s="1317"/>
      <c r="D233" s="1317"/>
      <c r="E233" s="1317"/>
      <c r="F233" s="1317"/>
      <c r="G233" s="1494"/>
      <c r="H233" s="982"/>
      <c r="I233" s="1017"/>
      <c r="J233" s="1029"/>
      <c r="K233" s="1030"/>
      <c r="L233" s="1288"/>
      <c r="M233" s="1289"/>
      <c r="N233" s="1289"/>
      <c r="O233" s="1289"/>
      <c r="P233" s="1290"/>
      <c r="Q233" s="1003"/>
      <c r="R233" s="1007"/>
      <c r="S233" s="1008"/>
      <c r="T233" s="1258"/>
      <c r="U233" s="1337"/>
      <c r="V233" s="72">
        <f>IF(AND(Q233="ja",R233=""),1,0)</f>
        <v>0</v>
      </c>
      <c r="Y233" s="74"/>
      <c r="Z233" s="77"/>
      <c r="AA233" s="78"/>
      <c r="AB233" s="78">
        <f t="shared" si="3"/>
        <v>0</v>
      </c>
      <c r="AF233" s="68"/>
      <c r="AG233" s="68"/>
      <c r="AH233" s="68"/>
      <c r="AI233" s="68"/>
      <c r="AJ233" s="68"/>
      <c r="AK233" s="68"/>
    </row>
    <row r="234" spans="1:37" ht="15" customHeight="1" thickBot="1" x14ac:dyDescent="0.3">
      <c r="A234" s="1665"/>
      <c r="B234" s="1490"/>
      <c r="C234" s="1491"/>
      <c r="D234" s="1491"/>
      <c r="E234" s="1491"/>
      <c r="F234" s="1491"/>
      <c r="G234" s="1492"/>
      <c r="H234" s="983"/>
      <c r="I234" s="1018"/>
      <c r="J234" s="1031"/>
      <c r="K234" s="1032"/>
      <c r="L234" s="1508"/>
      <c r="M234" s="1509"/>
      <c r="N234" s="1509"/>
      <c r="O234" s="1509"/>
      <c r="P234" s="1510"/>
      <c r="Q234" s="1004"/>
      <c r="R234" s="1009"/>
      <c r="S234" s="1010"/>
      <c r="T234" s="1259"/>
      <c r="U234" s="1337"/>
      <c r="Y234" s="74"/>
      <c r="Z234" s="77"/>
      <c r="AA234" s="78"/>
      <c r="AB234" s="78">
        <f t="shared" si="3"/>
        <v>0</v>
      </c>
      <c r="AF234" s="68"/>
      <c r="AG234" s="68"/>
      <c r="AH234" s="68"/>
      <c r="AI234" s="68"/>
      <c r="AJ234" s="68"/>
      <c r="AK234" s="68"/>
    </row>
    <row r="235" spans="1:37" ht="14.55" thickBot="1" x14ac:dyDescent="0.3">
      <c r="A235" s="1665"/>
      <c r="B235" s="1511" t="s">
        <v>272</v>
      </c>
      <c r="C235" s="1512"/>
      <c r="D235" s="1512"/>
      <c r="E235" s="1512"/>
      <c r="F235" s="1512"/>
      <c r="G235" s="1513"/>
      <c r="H235" s="342"/>
      <c r="I235" s="1361"/>
      <c r="J235" s="1362"/>
      <c r="K235" s="1362"/>
      <c r="L235" s="1534">
        <f>SUM(R194:S234)</f>
        <v>0</v>
      </c>
      <c r="M235" s="1535"/>
      <c r="N235" s="1535"/>
      <c r="O235" s="1535"/>
      <c r="P235" s="1535"/>
      <c r="Q235" s="338"/>
      <c r="R235" s="1495"/>
      <c r="S235" s="1496"/>
      <c r="U235" s="334"/>
      <c r="Y235" s="74"/>
      <c r="Z235" s="152">
        <f>SUM(Z194:Z232)</f>
        <v>0</v>
      </c>
      <c r="AA235" s="78"/>
      <c r="AB235" s="78">
        <f t="shared" si="3"/>
        <v>0</v>
      </c>
      <c r="AF235" s="68"/>
      <c r="AG235" s="68"/>
      <c r="AH235" s="68"/>
      <c r="AI235" s="68"/>
      <c r="AJ235" s="68"/>
      <c r="AK235" s="68"/>
    </row>
    <row r="236" spans="1:37" ht="15" customHeight="1" thickBot="1" x14ac:dyDescent="0.3">
      <c r="A236" s="1665"/>
      <c r="B236" s="1497" t="s">
        <v>274</v>
      </c>
      <c r="C236" s="1498"/>
      <c r="D236" s="1498"/>
      <c r="E236" s="1498"/>
      <c r="F236" s="1498"/>
      <c r="G236" s="1499"/>
      <c r="H236" s="1194" t="s">
        <v>100</v>
      </c>
      <c r="I236" s="1016">
        <f>Z245</f>
        <v>0</v>
      </c>
      <c r="J236" s="1027">
        <f>I236*I115</f>
        <v>0</v>
      </c>
      <c r="K236" s="1028"/>
      <c r="L236" s="984"/>
      <c r="M236" s="985"/>
      <c r="N236" s="985"/>
      <c r="O236" s="985"/>
      <c r="P236" s="985"/>
      <c r="Q236" s="978" t="s">
        <v>100</v>
      </c>
      <c r="R236" s="972"/>
      <c r="S236" s="973"/>
      <c r="T236" s="1257" t="str">
        <f>IFERROR(IF((VLOOKUP(U236,Überblick!$M$125:$N$133,2))="ja","ja","nein"),"")</f>
        <v/>
      </c>
      <c r="U236" s="1337"/>
      <c r="V236" s="72">
        <f>IF(AND(Q236="ja",R236=""),1,0)</f>
        <v>0</v>
      </c>
      <c r="Y236" s="74">
        <v>5.0000000000000001E-3</v>
      </c>
      <c r="Z236" s="77">
        <f>IF(H236="ja",Y236,0)</f>
        <v>0</v>
      </c>
      <c r="AA236" s="78"/>
      <c r="AB236" s="78">
        <f t="shared" si="3"/>
        <v>0</v>
      </c>
      <c r="AF236" s="68"/>
      <c r="AG236" s="68"/>
      <c r="AH236" s="68"/>
      <c r="AI236" s="68"/>
      <c r="AJ236" s="68"/>
      <c r="AK236" s="68"/>
    </row>
    <row r="237" spans="1:37" ht="15" customHeight="1" thickBot="1" x14ac:dyDescent="0.3">
      <c r="A237" s="166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78">
        <f t="shared" si="3"/>
        <v>0</v>
      </c>
      <c r="AF237" s="68"/>
      <c r="AG237" s="68"/>
      <c r="AH237" s="68"/>
      <c r="AI237" s="68"/>
      <c r="AJ237" s="68"/>
      <c r="AK237" s="68"/>
    </row>
    <row r="238" spans="1:37" ht="15" customHeight="1" thickBot="1" x14ac:dyDescent="0.3">
      <c r="A238" s="1665"/>
      <c r="B238" s="1493"/>
      <c r="C238" s="1317"/>
      <c r="D238" s="1317"/>
      <c r="E238" s="1317"/>
      <c r="F238" s="1317"/>
      <c r="G238" s="1494"/>
      <c r="H238" s="982"/>
      <c r="I238" s="1017"/>
      <c r="J238" s="1029"/>
      <c r="K238" s="1030"/>
      <c r="L238" s="984"/>
      <c r="M238" s="985"/>
      <c r="N238" s="985"/>
      <c r="O238" s="985"/>
      <c r="P238" s="985"/>
      <c r="Q238" s="978"/>
      <c r="R238" s="972"/>
      <c r="S238" s="973"/>
      <c r="T238" s="1258"/>
      <c r="U238" s="1337"/>
      <c r="Y238" s="74"/>
      <c r="Z238" s="77"/>
      <c r="AA238" s="78"/>
      <c r="AB238" s="78">
        <f t="shared" si="3"/>
        <v>0</v>
      </c>
      <c r="AF238" s="68"/>
      <c r="AG238" s="68"/>
      <c r="AH238" s="68"/>
      <c r="AI238" s="68"/>
      <c r="AJ238" s="68"/>
      <c r="AK238" s="68"/>
    </row>
    <row r="239" spans="1:37" ht="15" customHeight="1" thickBot="1" x14ac:dyDescent="0.3">
      <c r="A239" s="1665"/>
      <c r="B239" s="1493"/>
      <c r="C239" s="1317"/>
      <c r="D239" s="1317"/>
      <c r="E239" s="1317"/>
      <c r="F239" s="1317"/>
      <c r="G239" s="1494"/>
      <c r="H239" s="982"/>
      <c r="I239" s="1017"/>
      <c r="J239" s="1029"/>
      <c r="K239" s="1030"/>
      <c r="L239" s="984"/>
      <c r="M239" s="985"/>
      <c r="N239" s="985"/>
      <c r="O239" s="985"/>
      <c r="P239" s="985"/>
      <c r="Q239" s="978" t="s">
        <v>100</v>
      </c>
      <c r="R239" s="972"/>
      <c r="S239" s="973"/>
      <c r="T239" s="1258"/>
      <c r="U239" s="1337"/>
      <c r="V239" s="72">
        <f>IF(AND(Q239="ja",R239=""),1,0)</f>
        <v>0</v>
      </c>
      <c r="Y239" s="74"/>
      <c r="Z239" s="77"/>
      <c r="AA239" s="78"/>
      <c r="AB239" s="78">
        <f t="shared" si="3"/>
        <v>0</v>
      </c>
      <c r="AF239" s="68"/>
      <c r="AG239" s="68"/>
      <c r="AH239" s="68"/>
      <c r="AI239" s="68"/>
      <c r="AJ239" s="68"/>
      <c r="AK239" s="68"/>
    </row>
    <row r="240" spans="1:37" ht="15" customHeight="1" thickBot="1" x14ac:dyDescent="0.3">
      <c r="A240" s="1665"/>
      <c r="B240" s="1490"/>
      <c r="C240" s="1491"/>
      <c r="D240" s="1491"/>
      <c r="E240" s="1491"/>
      <c r="F240" s="1491"/>
      <c r="G240" s="1492"/>
      <c r="H240" s="983"/>
      <c r="I240" s="1017"/>
      <c r="J240" s="1029"/>
      <c r="K240" s="1030"/>
      <c r="L240" s="984"/>
      <c r="M240" s="985"/>
      <c r="N240" s="985"/>
      <c r="O240" s="985"/>
      <c r="P240" s="985"/>
      <c r="Q240" s="978"/>
      <c r="R240" s="972"/>
      <c r="S240" s="973"/>
      <c r="T240" s="1258"/>
      <c r="U240" s="1337"/>
      <c r="Y240" s="74"/>
      <c r="Z240" s="77"/>
      <c r="AA240" s="78"/>
      <c r="AB240" s="78">
        <f t="shared" si="3"/>
        <v>0</v>
      </c>
      <c r="AF240" s="68"/>
      <c r="AG240" s="68"/>
      <c r="AH240" s="68"/>
      <c r="AI240" s="68"/>
      <c r="AJ240" s="68"/>
      <c r="AK240" s="68"/>
    </row>
    <row r="241" spans="1:37" ht="15" customHeight="1" thickBot="1" x14ac:dyDescent="0.3">
      <c r="A241" s="1665"/>
      <c r="B241" s="1487" t="s">
        <v>275</v>
      </c>
      <c r="C241" s="1488"/>
      <c r="D241" s="1488"/>
      <c r="E241" s="1488"/>
      <c r="F241" s="1488"/>
      <c r="G241" s="1489"/>
      <c r="H241" s="981" t="s">
        <v>100</v>
      </c>
      <c r="I241" s="1017"/>
      <c r="J241" s="1029"/>
      <c r="K241" s="1030"/>
      <c r="L241" s="984"/>
      <c r="M241" s="985"/>
      <c r="N241" s="985"/>
      <c r="O241" s="985"/>
      <c r="P241" s="985"/>
      <c r="Q241" s="978"/>
      <c r="R241" s="972"/>
      <c r="S241" s="973"/>
      <c r="T241" s="1258"/>
      <c r="U241" s="1337"/>
      <c r="Y241" s="74">
        <v>4.0000000000000001E-3</v>
      </c>
      <c r="Z241" s="77">
        <f>IF(H241="ja",Y241,0)</f>
        <v>0</v>
      </c>
      <c r="AA241" s="78"/>
      <c r="AB241" s="78">
        <f t="shared" si="3"/>
        <v>0</v>
      </c>
      <c r="AF241" s="68"/>
      <c r="AG241" s="68"/>
      <c r="AH241" s="68"/>
      <c r="AI241" s="68"/>
      <c r="AJ241" s="68"/>
      <c r="AK241" s="68"/>
    </row>
    <row r="242" spans="1:37" ht="15" customHeight="1" thickBot="1" x14ac:dyDescent="0.3">
      <c r="A242" s="1665"/>
      <c r="B242" s="1493"/>
      <c r="C242" s="1317"/>
      <c r="D242" s="1317"/>
      <c r="E242" s="1317"/>
      <c r="F242" s="1317"/>
      <c r="G242" s="1494"/>
      <c r="H242" s="982"/>
      <c r="I242" s="1017"/>
      <c r="J242" s="1029"/>
      <c r="K242" s="1030"/>
      <c r="L242" s="984"/>
      <c r="M242" s="985"/>
      <c r="N242" s="985"/>
      <c r="O242" s="985"/>
      <c r="P242" s="985"/>
      <c r="Q242" s="978" t="s">
        <v>100</v>
      </c>
      <c r="R242" s="972"/>
      <c r="S242" s="973"/>
      <c r="T242" s="1258"/>
      <c r="U242" s="1337"/>
      <c r="V242" s="72">
        <f>IF(AND(Q242="ja",R242=""),1,0)</f>
        <v>0</v>
      </c>
      <c r="Y242" s="74"/>
      <c r="Z242" s="77"/>
      <c r="AB242" s="78">
        <f t="shared" si="3"/>
        <v>0</v>
      </c>
      <c r="AF242" s="68"/>
      <c r="AG242" s="68"/>
      <c r="AH242" s="68"/>
      <c r="AI242" s="68"/>
      <c r="AJ242" s="68"/>
      <c r="AK242" s="68"/>
    </row>
    <row r="243" spans="1:37" ht="15" customHeight="1" thickBot="1" x14ac:dyDescent="0.3">
      <c r="A243" s="1665"/>
      <c r="B243" s="1490"/>
      <c r="C243" s="1491"/>
      <c r="D243" s="1491"/>
      <c r="E243" s="1491"/>
      <c r="F243" s="1491"/>
      <c r="G243" s="1492"/>
      <c r="H243" s="983"/>
      <c r="I243" s="1017"/>
      <c r="J243" s="1029"/>
      <c r="K243" s="1030"/>
      <c r="L243" s="984"/>
      <c r="M243" s="985"/>
      <c r="N243" s="985"/>
      <c r="O243" s="985"/>
      <c r="P243" s="985"/>
      <c r="Q243" s="978"/>
      <c r="R243" s="972"/>
      <c r="S243" s="973"/>
      <c r="T243" s="1258"/>
      <c r="U243" s="1337"/>
      <c r="Y243" s="74"/>
      <c r="Z243" s="77"/>
      <c r="AB243" s="78">
        <f t="shared" si="3"/>
        <v>0</v>
      </c>
      <c r="AF243" s="68"/>
      <c r="AG243" s="68"/>
      <c r="AH243" s="68"/>
      <c r="AI243" s="68"/>
      <c r="AJ243" s="68"/>
      <c r="AK243" s="68"/>
    </row>
    <row r="244" spans="1:37" ht="15" customHeight="1" thickBot="1" x14ac:dyDescent="0.3">
      <c r="A244" s="1665"/>
      <c r="B244" s="1184" t="s">
        <v>276</v>
      </c>
      <c r="C244" s="1185"/>
      <c r="D244" s="1185"/>
      <c r="E244" s="1185"/>
      <c r="F244" s="1185"/>
      <c r="G244" s="1186"/>
      <c r="H244" s="858" t="s">
        <v>100</v>
      </c>
      <c r="I244" s="1018"/>
      <c r="J244" s="1031"/>
      <c r="K244" s="1032"/>
      <c r="L244" s="1369"/>
      <c r="M244" s="1370"/>
      <c r="N244" s="1370"/>
      <c r="O244" s="1370"/>
      <c r="P244" s="1370"/>
      <c r="Q244" s="979"/>
      <c r="R244" s="974"/>
      <c r="S244" s="975"/>
      <c r="T244" s="1259"/>
      <c r="U244" s="1337"/>
      <c r="Y244" s="74">
        <v>1E-3</v>
      </c>
      <c r="Z244" s="77">
        <f>IF(H244="ja",Y244,0)</f>
        <v>0</v>
      </c>
      <c r="AF244" s="68"/>
      <c r="AG244" s="68"/>
      <c r="AH244" s="68"/>
      <c r="AI244" s="68"/>
      <c r="AJ244" s="68"/>
      <c r="AK244" s="68"/>
    </row>
    <row r="245" spans="1:37" ht="14.55" thickBot="1" x14ac:dyDescent="0.3">
      <c r="B245" s="1502" t="s">
        <v>277</v>
      </c>
      <c r="C245" s="1503"/>
      <c r="D245" s="1503"/>
      <c r="E245" s="1503"/>
      <c r="F245" s="1503"/>
      <c r="G245" s="1503"/>
      <c r="H245" s="1503"/>
      <c r="I245" s="1500">
        <f>I236+I194+I179+I154+I128+I119+I82+I55+I39+I133+I143+I144+I145+I150</f>
        <v>0</v>
      </c>
      <c r="J245" s="1506">
        <f>J236+J194+J179+J154+J128+J119+J82+J55+J39+J133+J143+J144+J145+J150</f>
        <v>0</v>
      </c>
      <c r="K245" s="1161"/>
      <c r="L245" s="1355">
        <f>SUM(R236:S244)</f>
        <v>0</v>
      </c>
      <c r="M245" s="1356"/>
      <c r="N245" s="1356"/>
      <c r="O245" s="1356"/>
      <c r="P245" s="1666"/>
      <c r="Q245" s="1329"/>
      <c r="R245" s="1327">
        <f>SUM(R236:S244)+SUM(R194:S234)+SUM(R179:S192)+SUM(R154:S177)+SUM(R128:S152)+SUM(R119:S126)+SUM(R82:S114)+SUM(R55:S77)+SUM(R39:S53)</f>
        <v>0</v>
      </c>
      <c r="S245" s="1037"/>
      <c r="T245" s="1567"/>
      <c r="U245" s="1610"/>
      <c r="Z245" s="152">
        <f>SUM(Z236:Z244)</f>
        <v>0</v>
      </c>
      <c r="AB245" s="72">
        <f>SUM(AB39:AB243)</f>
        <v>0</v>
      </c>
      <c r="AF245" s="68"/>
      <c r="AG245" s="68"/>
      <c r="AH245" s="68"/>
      <c r="AI245" s="68"/>
      <c r="AJ245" s="68"/>
      <c r="AK245" s="68"/>
    </row>
    <row r="246" spans="1:37" ht="15" customHeight="1" thickBot="1" x14ac:dyDescent="0.3">
      <c r="B246" s="1504"/>
      <c r="C246" s="1505"/>
      <c r="D246" s="1505"/>
      <c r="E246" s="1505"/>
      <c r="F246" s="1505"/>
      <c r="G246" s="1505"/>
      <c r="H246" s="1505"/>
      <c r="I246" s="1501"/>
      <c r="J246" s="1507"/>
      <c r="K246" s="1163"/>
      <c r="L246" s="1359"/>
      <c r="M246" s="1360"/>
      <c r="N246" s="1360"/>
      <c r="O246" s="1360"/>
      <c r="P246" s="1667"/>
      <c r="Q246" s="1330"/>
      <c r="R246" s="1328"/>
      <c r="S246" s="1043"/>
      <c r="T246" s="1569"/>
      <c r="U246" s="1610"/>
      <c r="V246" s="72">
        <f>SUM(V39:V244)+R23</f>
        <v>0</v>
      </c>
      <c r="AF246" s="68"/>
      <c r="AG246" s="68"/>
      <c r="AH246" s="68"/>
      <c r="AI246" s="68"/>
      <c r="AJ246" s="68"/>
      <c r="AK246" s="68"/>
    </row>
    <row r="248" spans="1:37" x14ac:dyDescent="0.25">
      <c r="A248" s="491" t="s">
        <v>279</v>
      </c>
      <c r="B248" s="40" t="str">
        <f>IF(B1=Q1,"Honorarangebot für die zunächst beauftragten und für die optionalen Leistungen","Honorarvereinbarung für die zunächst beauftragten und für die optionalen Leistungen ")</f>
        <v>Honorarangebot für die zunächst beauftragten und für die optionalen Leistungen</v>
      </c>
      <c r="Q248" s="40"/>
      <c r="AA248" s="151"/>
    </row>
    <row r="249" spans="1:37" ht="14.55" thickBot="1" x14ac:dyDescent="0.3">
      <c r="A249" s="491"/>
    </row>
    <row r="250" spans="1:37" x14ac:dyDescent="0.25">
      <c r="A250" s="491"/>
      <c r="B250" s="941" t="s">
        <v>55</v>
      </c>
      <c r="C250" s="942"/>
      <c r="D250" s="942"/>
      <c r="E250" s="942"/>
      <c r="F250" s="943"/>
      <c r="G250" s="99"/>
      <c r="H250" s="944">
        <f>J245</f>
        <v>0</v>
      </c>
      <c r="I250" s="944"/>
      <c r="J250" s="945"/>
    </row>
    <row r="251" spans="1:37" x14ac:dyDescent="0.25">
      <c r="A251" s="491"/>
      <c r="B251" s="839"/>
      <c r="C251" s="840"/>
      <c r="D251" s="840"/>
      <c r="E251" s="840"/>
      <c r="F251" s="841"/>
      <c r="G251" s="101"/>
      <c r="H251" s="842"/>
      <c r="I251" s="842"/>
      <c r="J251" s="843"/>
    </row>
    <row r="252" spans="1:37" ht="15.95" customHeight="1" thickBot="1" x14ac:dyDescent="0.3">
      <c r="A252" s="491"/>
      <c r="B252" s="1298" t="s">
        <v>280</v>
      </c>
      <c r="C252" s="1299"/>
      <c r="D252" s="1299"/>
      <c r="E252" s="1299"/>
      <c r="F252" s="1300"/>
      <c r="G252" s="102">
        <f>F23</f>
        <v>0</v>
      </c>
      <c r="H252" s="956">
        <f>H250*G252</f>
        <v>0</v>
      </c>
      <c r="I252" s="956"/>
      <c r="J252" s="957"/>
      <c r="K252" s="96">
        <f>H250+H252</f>
        <v>0</v>
      </c>
    </row>
    <row r="253" spans="1:37" x14ac:dyDescent="0.25">
      <c r="A253" s="491"/>
      <c r="B253" s="846"/>
      <c r="C253" s="847"/>
      <c r="D253" s="847"/>
      <c r="E253" s="847"/>
      <c r="F253" s="848"/>
      <c r="G253" s="88"/>
      <c r="J253" s="89"/>
    </row>
    <row r="254" spans="1:37" x14ac:dyDescent="0.25">
      <c r="A254" s="491"/>
      <c r="B254" s="926" t="s">
        <v>57</v>
      </c>
      <c r="C254" s="927"/>
      <c r="D254" s="927"/>
      <c r="E254" s="927"/>
      <c r="F254" s="928"/>
      <c r="G254" s="101"/>
      <c r="H254" s="954">
        <f>R245</f>
        <v>0</v>
      </c>
      <c r="I254" s="954"/>
      <c r="J254" s="955"/>
    </row>
    <row r="255" spans="1:37" ht="14.55" thickBot="1" x14ac:dyDescent="0.3">
      <c r="A255" s="491"/>
      <c r="B255" s="849"/>
      <c r="C255" s="850"/>
      <c r="D255" s="850"/>
      <c r="E255" s="850"/>
      <c r="F255" s="851"/>
      <c r="G255" s="1333"/>
      <c r="H255" s="1334"/>
      <c r="I255" s="1334"/>
      <c r="J255" s="1335"/>
    </row>
    <row r="256" spans="1:37" ht="15.95" customHeight="1" thickBot="1" x14ac:dyDescent="0.3">
      <c r="A256" s="491"/>
      <c r="B256" s="929" t="s">
        <v>59</v>
      </c>
      <c r="C256" s="930"/>
      <c r="D256" s="930"/>
      <c r="E256" s="930"/>
      <c r="F256" s="931"/>
      <c r="G256" s="107"/>
      <c r="H256" s="935">
        <f>SUM(H250:J254)</f>
        <v>0</v>
      </c>
      <c r="I256" s="935"/>
      <c r="J256" s="936"/>
    </row>
    <row r="257" spans="1:26" x14ac:dyDescent="0.25">
      <c r="A257" s="491"/>
      <c r="B257" s="859"/>
      <c r="C257" s="860"/>
      <c r="D257" s="860"/>
      <c r="E257" s="860"/>
      <c r="F257" s="861"/>
      <c r="G257" s="45"/>
      <c r="H257" s="93"/>
      <c r="I257" s="93"/>
      <c r="J257" s="94"/>
    </row>
    <row r="258" spans="1:26" ht="15" customHeight="1" x14ac:dyDescent="0.25">
      <c r="A258" s="491"/>
      <c r="B258" s="917" t="s">
        <v>60</v>
      </c>
      <c r="C258" s="918"/>
      <c r="D258" s="918"/>
      <c r="E258" s="918"/>
      <c r="F258" s="919"/>
      <c r="G258" s="100">
        <f>Überblick!$G$98</f>
        <v>0.19</v>
      </c>
      <c r="H258" s="954">
        <f>H256*G258</f>
        <v>0</v>
      </c>
      <c r="I258" s="954"/>
      <c r="J258" s="955"/>
    </row>
    <row r="259" spans="1:26" ht="14.55" thickBot="1" x14ac:dyDescent="0.3">
      <c r="A259" s="491"/>
      <c r="B259" s="852"/>
      <c r="C259" s="853"/>
      <c r="D259" s="853"/>
      <c r="E259" s="853"/>
      <c r="F259" s="854"/>
      <c r="G259" s="102"/>
      <c r="H259" s="844"/>
      <c r="I259" s="844"/>
      <c r="J259" s="845"/>
    </row>
    <row r="260" spans="1:26" ht="15" customHeight="1" x14ac:dyDescent="0.25">
      <c r="A260" s="491"/>
      <c r="B260" s="920" t="s">
        <v>281</v>
      </c>
      <c r="C260" s="921"/>
      <c r="D260" s="921"/>
      <c r="E260" s="921"/>
      <c r="F260" s="922"/>
      <c r="G260" s="97"/>
      <c r="H260" s="937">
        <f>H256+H258</f>
        <v>0</v>
      </c>
      <c r="I260" s="937"/>
      <c r="J260" s="938"/>
    </row>
    <row r="261" spans="1:26" ht="14.55" thickBot="1" x14ac:dyDescent="0.3">
      <c r="A261" s="491"/>
      <c r="B261" s="923"/>
      <c r="C261" s="924"/>
      <c r="D261" s="924"/>
      <c r="E261" s="924"/>
      <c r="F261" s="925"/>
      <c r="G261" s="98"/>
      <c r="H261" s="939"/>
      <c r="I261" s="939"/>
      <c r="J261" s="940"/>
    </row>
    <row r="262" spans="1:26" x14ac:dyDescent="0.25">
      <c r="A262" s="491"/>
    </row>
    <row r="263" spans="1:26" x14ac:dyDescent="0.25">
      <c r="A263" s="491" t="s">
        <v>282</v>
      </c>
      <c r="B263" s="60" t="str">
        <f>IF(B1=Q1,"Honorangebot für die zunächst beauftragenden Leistungen","Honorarvereinbarung für die zunächst beauftragenden Leistungen")</f>
        <v>Honorangebot für die zunächst beauftragenden Leistungen</v>
      </c>
      <c r="C263" s="60"/>
      <c r="D263" s="60"/>
      <c r="E263" s="60"/>
      <c r="F263" s="65"/>
      <c r="G263" s="65"/>
      <c r="H263" s="65"/>
      <c r="I263" s="66"/>
      <c r="J263" s="66"/>
      <c r="K263" s="66"/>
      <c r="L263" s="66"/>
      <c r="M263" s="66"/>
      <c r="N263" s="66"/>
      <c r="O263" s="66"/>
      <c r="P263" s="67"/>
      <c r="Q263" s="60"/>
      <c r="R263" s="67"/>
      <c r="S263" s="67"/>
      <c r="T263" s="67"/>
      <c r="U263" s="67"/>
      <c r="Z263" s="461"/>
    </row>
    <row r="264" spans="1:26" ht="14.55" thickBot="1" x14ac:dyDescent="0.3">
      <c r="A264" s="491"/>
      <c r="B264" s="60"/>
      <c r="C264" s="60"/>
      <c r="D264" s="60"/>
      <c r="E264" s="60"/>
      <c r="F264" s="65"/>
      <c r="G264" s="65"/>
      <c r="H264" s="65"/>
      <c r="I264" s="66"/>
      <c r="J264" s="66"/>
      <c r="K264" s="66"/>
      <c r="L264" s="66"/>
      <c r="M264" s="66"/>
      <c r="N264" s="66"/>
      <c r="O264" s="66"/>
      <c r="P264" s="67"/>
      <c r="Q264" s="67"/>
      <c r="R264" s="67"/>
      <c r="S264" s="67"/>
      <c r="T264" s="67"/>
      <c r="U264" s="67"/>
    </row>
    <row r="265" spans="1:26" x14ac:dyDescent="0.25">
      <c r="A265" s="491"/>
      <c r="B265" s="941" t="s">
        <v>55</v>
      </c>
      <c r="C265" s="942"/>
      <c r="D265" s="942"/>
      <c r="E265" s="942"/>
      <c r="F265" s="943"/>
      <c r="G265" s="99"/>
      <c r="H265" s="944">
        <f>'Berechnung - Tech. Ausrüstung'!C123</f>
        <v>0</v>
      </c>
      <c r="I265" s="944"/>
      <c r="J265" s="945"/>
      <c r="K265" s="66"/>
      <c r="L265" s="66"/>
      <c r="M265" s="66"/>
      <c r="N265" s="66"/>
      <c r="O265" s="66"/>
      <c r="P265" s="67"/>
      <c r="Q265" s="67"/>
      <c r="R265" s="67"/>
      <c r="S265" s="67"/>
      <c r="T265" s="67"/>
      <c r="U265" s="67"/>
    </row>
    <row r="266" spans="1:26" x14ac:dyDescent="0.25">
      <c r="A266" s="491"/>
      <c r="B266" s="839"/>
      <c r="C266" s="840"/>
      <c r="D266" s="840"/>
      <c r="E266" s="840"/>
      <c r="F266" s="841"/>
      <c r="G266" s="101"/>
      <c r="H266" s="842"/>
      <c r="I266" s="842"/>
      <c r="J266" s="843"/>
      <c r="K266" s="66"/>
      <c r="L266" s="66"/>
      <c r="M266" s="66"/>
      <c r="N266" s="66"/>
      <c r="O266" s="66"/>
      <c r="P266" s="67"/>
      <c r="Q266" s="67"/>
      <c r="R266" s="67"/>
      <c r="S266" s="67"/>
      <c r="T266" s="67"/>
      <c r="U266" s="67"/>
    </row>
    <row r="267" spans="1:26" ht="15" customHeight="1" thickBot="1" x14ac:dyDescent="0.3">
      <c r="A267" s="491"/>
      <c r="B267" s="1298" t="s">
        <v>280</v>
      </c>
      <c r="C267" s="1299"/>
      <c r="D267" s="1299"/>
      <c r="E267" s="1299"/>
      <c r="F267" s="1300"/>
      <c r="G267" s="102">
        <f>F23</f>
        <v>0</v>
      </c>
      <c r="H267" s="956">
        <f>H265*G267</f>
        <v>0</v>
      </c>
      <c r="I267" s="956"/>
      <c r="J267" s="957"/>
      <c r="K267" s="66"/>
      <c r="L267" s="66"/>
      <c r="M267" s="66"/>
      <c r="N267" s="66"/>
      <c r="O267" s="66"/>
      <c r="P267" s="67"/>
      <c r="Q267" s="67"/>
      <c r="R267" s="67"/>
      <c r="S267" s="67"/>
      <c r="T267" s="67"/>
      <c r="U267" s="67"/>
    </row>
    <row r="268" spans="1:26" x14ac:dyDescent="0.25">
      <c r="A268" s="491"/>
      <c r="B268" s="846"/>
      <c r="C268" s="847"/>
      <c r="D268" s="847"/>
      <c r="E268" s="847"/>
      <c r="F268" s="848"/>
      <c r="G268" s="45"/>
      <c r="H268" s="46"/>
      <c r="I268" s="46"/>
      <c r="J268" s="105"/>
      <c r="K268" s="66"/>
      <c r="L268" s="66"/>
      <c r="M268" s="66"/>
      <c r="N268" s="66"/>
      <c r="O268" s="66"/>
      <c r="P268" s="67"/>
      <c r="Q268" s="67"/>
      <c r="R268" s="67"/>
      <c r="S268" s="67"/>
      <c r="T268" s="67"/>
      <c r="U268" s="67"/>
    </row>
    <row r="269" spans="1:26" x14ac:dyDescent="0.25">
      <c r="A269" s="491"/>
      <c r="B269" s="926" t="s">
        <v>57</v>
      </c>
      <c r="C269" s="927"/>
      <c r="D269" s="927"/>
      <c r="E269" s="927"/>
      <c r="F269" s="928"/>
      <c r="G269" s="101"/>
      <c r="H269" s="954">
        <f>'Berechnung - Tech. Ausrüstung'!E123</f>
        <v>0</v>
      </c>
      <c r="I269" s="954"/>
      <c r="J269" s="955"/>
      <c r="K269" s="66"/>
      <c r="L269" s="66"/>
      <c r="M269" s="66"/>
      <c r="N269" s="66"/>
      <c r="O269" s="66"/>
      <c r="P269" s="67"/>
      <c r="Q269" s="67"/>
      <c r="R269" s="67"/>
      <c r="S269" s="67"/>
      <c r="T269" s="67"/>
      <c r="U269" s="67"/>
    </row>
    <row r="270" spans="1:26" ht="14.55" thickBot="1" x14ac:dyDescent="0.3">
      <c r="A270" s="491"/>
      <c r="B270" s="846"/>
      <c r="C270" s="847"/>
      <c r="D270" s="847"/>
      <c r="E270" s="847"/>
      <c r="F270" s="848"/>
      <c r="G270" s="1333"/>
      <c r="H270" s="1334"/>
      <c r="I270" s="1334"/>
      <c r="J270" s="1335"/>
      <c r="K270" s="66"/>
      <c r="L270" s="66"/>
      <c r="M270" s="66"/>
      <c r="N270" s="66"/>
      <c r="O270" s="66"/>
      <c r="P270" s="67"/>
      <c r="Q270" s="67"/>
      <c r="R270" s="67"/>
      <c r="S270" s="67"/>
      <c r="T270" s="67"/>
      <c r="U270" s="67"/>
    </row>
    <row r="271" spans="1:26" ht="15.95" customHeight="1" thickBot="1" x14ac:dyDescent="0.3">
      <c r="A271" s="491"/>
      <c r="B271" s="929" t="s">
        <v>59</v>
      </c>
      <c r="C271" s="930"/>
      <c r="D271" s="930"/>
      <c r="E271" s="930"/>
      <c r="F271" s="931"/>
      <c r="G271" s="107"/>
      <c r="H271" s="935">
        <f>SUM(H265:J269)</f>
        <v>0</v>
      </c>
      <c r="I271" s="935"/>
      <c r="J271" s="936"/>
      <c r="K271" s="66"/>
      <c r="L271" s="66"/>
      <c r="M271" s="66"/>
      <c r="N271" s="66"/>
      <c r="O271" s="66"/>
      <c r="P271" s="67"/>
      <c r="Q271" s="67"/>
      <c r="R271" s="67"/>
      <c r="S271" s="67"/>
      <c r="T271" s="67"/>
      <c r="U271" s="67"/>
    </row>
    <row r="272" spans="1:26" x14ac:dyDescent="0.25">
      <c r="A272" s="491"/>
      <c r="B272" s="859"/>
      <c r="C272" s="860"/>
      <c r="D272" s="860"/>
      <c r="E272" s="860"/>
      <c r="F272" s="861"/>
      <c r="G272" s="45"/>
      <c r="H272" s="93"/>
      <c r="I272" s="93"/>
      <c r="J272" s="94"/>
      <c r="K272" s="66"/>
      <c r="L272" s="66"/>
      <c r="M272" s="66"/>
      <c r="N272" s="66"/>
      <c r="O272" s="66"/>
      <c r="P272" s="67"/>
      <c r="Q272" s="67"/>
      <c r="R272" s="67"/>
      <c r="S272" s="67"/>
      <c r="T272" s="67"/>
      <c r="U272" s="67"/>
    </row>
    <row r="273" spans="1:21" ht="15" customHeight="1" x14ac:dyDescent="0.25">
      <c r="A273" s="491"/>
      <c r="B273" s="917" t="s">
        <v>94</v>
      </c>
      <c r="C273" s="918"/>
      <c r="D273" s="918"/>
      <c r="E273" s="918"/>
      <c r="F273" s="919"/>
      <c r="G273" s="100">
        <f>Überblick!$G$98</f>
        <v>0.19</v>
      </c>
      <c r="H273" s="954">
        <f>H271*G273</f>
        <v>0</v>
      </c>
      <c r="I273" s="954"/>
      <c r="J273" s="955"/>
      <c r="K273" s="66"/>
      <c r="L273" s="66"/>
      <c r="M273" s="66"/>
      <c r="N273" s="66"/>
      <c r="O273" s="66"/>
      <c r="P273" s="67"/>
      <c r="Q273" s="67"/>
      <c r="R273" s="67"/>
      <c r="S273" s="67"/>
      <c r="T273" s="67"/>
      <c r="U273" s="67"/>
    </row>
    <row r="274" spans="1:21" ht="14.55" thickBot="1" x14ac:dyDescent="0.3">
      <c r="A274" s="491"/>
      <c r="B274" s="852"/>
      <c r="C274" s="853"/>
      <c r="D274" s="853"/>
      <c r="E274" s="853"/>
      <c r="F274" s="854"/>
      <c r="G274" s="102"/>
      <c r="H274" s="844"/>
      <c r="I274" s="844"/>
      <c r="J274" s="845"/>
      <c r="K274" s="66"/>
      <c r="L274" s="66"/>
      <c r="M274" s="66"/>
      <c r="N274" s="66"/>
      <c r="O274" s="66"/>
      <c r="P274" s="67"/>
      <c r="Q274" s="67"/>
      <c r="R274" s="67"/>
      <c r="S274" s="67"/>
      <c r="T274" s="67"/>
      <c r="U274" s="67"/>
    </row>
    <row r="275" spans="1:21" ht="15" customHeight="1" x14ac:dyDescent="0.25">
      <c r="A275" s="491"/>
      <c r="B275" s="920" t="s">
        <v>98</v>
      </c>
      <c r="C275" s="921"/>
      <c r="D275" s="921"/>
      <c r="E275" s="921"/>
      <c r="F275" s="922"/>
      <c r="G275" s="172"/>
      <c r="H275" s="937">
        <f>H271+H273</f>
        <v>0</v>
      </c>
      <c r="I275" s="937"/>
      <c r="J275" s="938"/>
      <c r="K275" s="66"/>
      <c r="L275" s="66"/>
      <c r="M275" s="66"/>
      <c r="N275" s="66"/>
      <c r="O275" s="66"/>
      <c r="P275" s="67"/>
      <c r="Q275" s="67"/>
      <c r="R275" s="67"/>
      <c r="S275" s="67"/>
      <c r="T275" s="67"/>
      <c r="U275" s="67"/>
    </row>
    <row r="276" spans="1:21" ht="14.55" thickBot="1" x14ac:dyDescent="0.3">
      <c r="A276" s="491"/>
      <c r="B276" s="923"/>
      <c r="C276" s="924"/>
      <c r="D276" s="924"/>
      <c r="E276" s="924"/>
      <c r="F276" s="925"/>
      <c r="G276" s="98"/>
      <c r="H276" s="939"/>
      <c r="I276" s="939"/>
      <c r="J276" s="940"/>
      <c r="K276" s="66"/>
      <c r="L276" s="66"/>
      <c r="M276" s="66"/>
      <c r="N276" s="66"/>
      <c r="O276" s="66"/>
      <c r="P276" s="67"/>
      <c r="Q276" s="67"/>
      <c r="R276" s="67"/>
      <c r="S276" s="67"/>
      <c r="T276" s="67"/>
      <c r="U276" s="67"/>
    </row>
    <row r="277" spans="1:21" x14ac:dyDescent="0.25">
      <c r="A277" s="491"/>
      <c r="B277" s="60"/>
      <c r="C277" s="60"/>
      <c r="D277" s="60"/>
      <c r="E277" s="60"/>
      <c r="F277" s="65"/>
      <c r="G277" s="65"/>
      <c r="H277" s="65"/>
      <c r="I277" s="66"/>
      <c r="J277" s="66"/>
      <c r="K277" s="66"/>
      <c r="L277" s="66"/>
      <c r="M277" s="66"/>
      <c r="N277" s="66"/>
      <c r="O277" s="66"/>
      <c r="P277" s="67"/>
      <c r="Q277" s="67"/>
      <c r="R277" s="67"/>
      <c r="S277" s="67"/>
      <c r="T277" s="67"/>
      <c r="U277" s="67"/>
    </row>
    <row r="278" spans="1:21" x14ac:dyDescent="0.25">
      <c r="A278" s="491" t="s">
        <v>284</v>
      </c>
      <c r="B278" s="40" t="str">
        <f>IF(B1=Q1,"Gemäß des Honorarangebotes werden die Stufen wie folgt vergütet (netto):","Gemäß der Honorarvereinbarung werden die Stufen wie folgt vergütet (netto): ")</f>
        <v>Gemäß des Honorarangebotes werden die Stufen wie folgt vergütet (netto):</v>
      </c>
      <c r="C278" s="40"/>
      <c r="D278" s="40"/>
      <c r="E278" s="40"/>
      <c r="F278" s="40"/>
      <c r="G278" s="40"/>
      <c r="H278" s="40"/>
      <c r="I278" s="40"/>
      <c r="J278" s="40"/>
      <c r="K278" s="40"/>
      <c r="L278" s="60"/>
      <c r="M278" s="66"/>
      <c r="N278" s="66"/>
      <c r="O278" s="40"/>
      <c r="P278" s="67"/>
      <c r="Q278" s="67"/>
      <c r="R278" s="67"/>
      <c r="S278" s="67"/>
      <c r="T278" s="67"/>
      <c r="U278" s="67"/>
    </row>
    <row r="279" spans="1:21" ht="14.55" thickBot="1" x14ac:dyDescent="0.3">
      <c r="A279" s="491"/>
      <c r="B279" s="60"/>
      <c r="C279" s="60"/>
      <c r="D279" s="60"/>
      <c r="E279" s="60"/>
      <c r="F279" s="65"/>
      <c r="G279" s="65"/>
      <c r="H279" s="65"/>
      <c r="I279" s="66"/>
      <c r="J279" s="66"/>
      <c r="K279" s="66"/>
      <c r="L279" s="66"/>
      <c r="M279" s="66"/>
      <c r="N279" s="66"/>
      <c r="O279" s="40"/>
      <c r="P279" s="67"/>
      <c r="Q279" s="67"/>
      <c r="R279" s="67"/>
      <c r="S279" s="67"/>
      <c r="T279" s="67"/>
      <c r="U279" s="67"/>
    </row>
    <row r="280" spans="1:21" ht="15.2" thickTop="1" thickBot="1" x14ac:dyDescent="0.3">
      <c r="A280" s="491"/>
      <c r="B280" s="357" t="s">
        <v>105</v>
      </c>
      <c r="C280" s="358" t="s">
        <v>285</v>
      </c>
      <c r="D280" s="359" t="s">
        <v>286</v>
      </c>
      <c r="E280" s="360" t="s">
        <v>287</v>
      </c>
      <c r="F280" s="360" t="s">
        <v>288</v>
      </c>
      <c r="G280" s="361" t="s">
        <v>289</v>
      </c>
      <c r="H280" s="361" t="s">
        <v>290</v>
      </c>
      <c r="I280" s="362" t="s">
        <v>291</v>
      </c>
      <c r="J280" s="362" t="s">
        <v>292</v>
      </c>
      <c r="K280" s="362" t="s">
        <v>293</v>
      </c>
      <c r="L280" s="362" t="s">
        <v>294</v>
      </c>
      <c r="M280" s="362" t="s">
        <v>295</v>
      </c>
      <c r="N280" s="362" t="s">
        <v>296</v>
      </c>
      <c r="O280" s="362" t="s">
        <v>297</v>
      </c>
      <c r="P280" s="363" t="s">
        <v>298</v>
      </c>
      <c r="Q280" s="67"/>
      <c r="R280" s="67"/>
      <c r="S280" s="67"/>
      <c r="T280" s="67"/>
      <c r="U280" s="67"/>
    </row>
    <row r="281" spans="1:21" x14ac:dyDescent="0.25">
      <c r="A281" s="492"/>
      <c r="B281" s="153" t="str">
        <f>IF(Überblick!$H$53&gt;=1,"1:",0)</f>
        <v>1:</v>
      </c>
      <c r="C281" s="481">
        <f>'Berechnung - Tech. Ausrüstung'!C135</f>
        <v>0</v>
      </c>
      <c r="D281" s="481">
        <f>'Berechnung - Tech. Ausrüstung'!D135</f>
        <v>0</v>
      </c>
      <c r="E281" s="481">
        <f>'Berechnung - Tech. Ausrüstung'!E135</f>
        <v>0</v>
      </c>
      <c r="F281" s="481">
        <f>'Berechnung - Tech. Ausrüstung'!F135</f>
        <v>0</v>
      </c>
      <c r="G281" s="481">
        <f>'Berechnung - Tech. Ausrüstung'!G135</f>
        <v>0</v>
      </c>
      <c r="H281" s="481">
        <f>'Berechnung - Tech. Ausrüstung'!H135</f>
        <v>0</v>
      </c>
      <c r="I281" s="481">
        <f>'Berechnung - Tech. Ausrüstung'!I135</f>
        <v>0</v>
      </c>
      <c r="J281" s="481">
        <f>'Berechnung - Tech. Ausrüstung'!J135</f>
        <v>0</v>
      </c>
      <c r="K281" s="481">
        <f>'Berechnung - Tech. Ausrüstung'!K135</f>
        <v>0</v>
      </c>
      <c r="L281" s="481">
        <f>'Berechnung - Tech. Ausrüstung'!L135</f>
        <v>0</v>
      </c>
      <c r="M281" s="481">
        <f>'Berechnung - Tech. Ausrüstung'!M135</f>
        <v>0</v>
      </c>
      <c r="N281" s="481">
        <f>'Berechnung - Tech. Ausrüstung'!N135</f>
        <v>0</v>
      </c>
      <c r="O281" s="481">
        <f>'Berechnung - Tech. Ausrüstung'!O135</f>
        <v>0</v>
      </c>
      <c r="P281" s="481">
        <f>'Berechnung - Tech. Ausrüstung'!P135</f>
        <v>0</v>
      </c>
      <c r="Q281" s="96">
        <f>SUM(C281:P281)</f>
        <v>0</v>
      </c>
      <c r="S281" s="63"/>
      <c r="T281" s="63"/>
      <c r="U281" s="63"/>
    </row>
    <row r="282" spans="1:21" ht="15.95" customHeight="1" x14ac:dyDescent="0.25">
      <c r="A282" s="492"/>
      <c r="B282" s="153" t="str">
        <f>IF(Überblick!$H$53&gt;=2,"2:",0)</f>
        <v>2:</v>
      </c>
      <c r="C282" s="481">
        <f>'Berechnung - Tech. Ausrüstung'!C136</f>
        <v>0</v>
      </c>
      <c r="D282" s="481">
        <f>'Berechnung - Tech. Ausrüstung'!D136</f>
        <v>0</v>
      </c>
      <c r="E282" s="481">
        <f>'Berechnung - Tech. Ausrüstung'!E136</f>
        <v>0</v>
      </c>
      <c r="F282" s="481">
        <f>'Berechnung - Tech. Ausrüstung'!F136</f>
        <v>0</v>
      </c>
      <c r="G282" s="481">
        <f>'Berechnung - Tech. Ausrüstung'!G136</f>
        <v>0</v>
      </c>
      <c r="H282" s="481">
        <f>'Berechnung - Tech. Ausrüstung'!H136</f>
        <v>0</v>
      </c>
      <c r="I282" s="481">
        <f>'Berechnung - Tech. Ausrüstung'!I136</f>
        <v>0</v>
      </c>
      <c r="J282" s="481">
        <f>'Berechnung - Tech. Ausrüstung'!J136</f>
        <v>0</v>
      </c>
      <c r="K282" s="481">
        <f>'Berechnung - Tech. Ausrüstung'!K136</f>
        <v>0</v>
      </c>
      <c r="L282" s="481">
        <f>'Berechnung - Tech. Ausrüstung'!L136</f>
        <v>0</v>
      </c>
      <c r="M282" s="481">
        <f>'Berechnung - Tech. Ausrüstung'!M136</f>
        <v>0</v>
      </c>
      <c r="N282" s="481">
        <f>'Berechnung - Tech. Ausrüstung'!N136</f>
        <v>0</v>
      </c>
      <c r="O282" s="481">
        <f>'Berechnung - Tech. Ausrüstung'!O136</f>
        <v>0</v>
      </c>
      <c r="P282" s="481">
        <f>'Berechnung - Tech. Ausrüstung'!P136</f>
        <v>0</v>
      </c>
      <c r="Q282" s="96">
        <f t="shared" ref="Q282:Q288" si="4">SUM(C282:P282)</f>
        <v>0</v>
      </c>
    </row>
    <row r="283" spans="1:21" x14ac:dyDescent="0.25">
      <c r="A283" s="59"/>
      <c r="B283" s="153" t="str">
        <f>IF(Überblick!$H$53&gt;=3,"3:",0)</f>
        <v>3:</v>
      </c>
      <c r="C283" s="481">
        <f>'Berechnung - Tech. Ausrüstung'!C137</f>
        <v>0</v>
      </c>
      <c r="D283" s="481">
        <f>'Berechnung - Tech. Ausrüstung'!D137</f>
        <v>0</v>
      </c>
      <c r="E283" s="481">
        <f>'Berechnung - Tech. Ausrüstung'!E137</f>
        <v>0</v>
      </c>
      <c r="F283" s="481">
        <f>'Berechnung - Tech. Ausrüstung'!F137</f>
        <v>0</v>
      </c>
      <c r="G283" s="481">
        <f>'Berechnung - Tech. Ausrüstung'!G137</f>
        <v>0</v>
      </c>
      <c r="H283" s="481">
        <f>'Berechnung - Tech. Ausrüstung'!H137</f>
        <v>0</v>
      </c>
      <c r="I283" s="481">
        <f>'Berechnung - Tech. Ausrüstung'!I137</f>
        <v>0</v>
      </c>
      <c r="J283" s="481">
        <f>'Berechnung - Tech. Ausrüstung'!J137</f>
        <v>0</v>
      </c>
      <c r="K283" s="481">
        <f>'Berechnung - Tech. Ausrüstung'!K137</f>
        <v>0</v>
      </c>
      <c r="L283" s="481">
        <f>'Berechnung - Tech. Ausrüstung'!L137</f>
        <v>0</v>
      </c>
      <c r="M283" s="481">
        <f>'Berechnung - Tech. Ausrüstung'!M137</f>
        <v>0</v>
      </c>
      <c r="N283" s="481">
        <f>'Berechnung - Tech. Ausrüstung'!N137</f>
        <v>0</v>
      </c>
      <c r="O283" s="481">
        <f>'Berechnung - Tech. Ausrüstung'!O137</f>
        <v>0</v>
      </c>
      <c r="P283" s="481">
        <f>'Berechnung - Tech. Ausrüstung'!P137</f>
        <v>0</v>
      </c>
      <c r="Q283" s="96">
        <f t="shared" si="4"/>
        <v>0</v>
      </c>
    </row>
    <row r="284" spans="1:21" x14ac:dyDescent="0.25">
      <c r="A284" s="491"/>
      <c r="B284" s="153" t="str">
        <f>IF(Überblick!$H$53&gt;=4,"4:",0)</f>
        <v>4:</v>
      </c>
      <c r="C284" s="481">
        <f>'Berechnung - Tech. Ausrüstung'!C138</f>
        <v>0</v>
      </c>
      <c r="D284" s="481">
        <f>'Berechnung - Tech. Ausrüstung'!D138</f>
        <v>0</v>
      </c>
      <c r="E284" s="481">
        <f>'Berechnung - Tech. Ausrüstung'!E138</f>
        <v>0</v>
      </c>
      <c r="F284" s="481">
        <f>'Berechnung - Tech. Ausrüstung'!F138</f>
        <v>0</v>
      </c>
      <c r="G284" s="481">
        <f>'Berechnung - Tech. Ausrüstung'!G138</f>
        <v>0</v>
      </c>
      <c r="H284" s="481">
        <f>'Berechnung - Tech. Ausrüstung'!H138</f>
        <v>0</v>
      </c>
      <c r="I284" s="481">
        <f>'Berechnung - Tech. Ausrüstung'!I138</f>
        <v>0</v>
      </c>
      <c r="J284" s="481">
        <f>'Berechnung - Tech. Ausrüstung'!J138</f>
        <v>0</v>
      </c>
      <c r="K284" s="481">
        <f>'Berechnung - Tech. Ausrüstung'!K138</f>
        <v>0</v>
      </c>
      <c r="L284" s="481">
        <f>'Berechnung - Tech. Ausrüstung'!L138</f>
        <v>0</v>
      </c>
      <c r="M284" s="481">
        <f>'Berechnung - Tech. Ausrüstung'!M138</f>
        <v>0</v>
      </c>
      <c r="N284" s="481">
        <f>'Berechnung - Tech. Ausrüstung'!N138</f>
        <v>0</v>
      </c>
      <c r="O284" s="481">
        <f>'Berechnung - Tech. Ausrüstung'!O138</f>
        <v>0</v>
      </c>
      <c r="P284" s="481">
        <f>'Berechnung - Tech. Ausrüstung'!P138</f>
        <v>0</v>
      </c>
      <c r="Q284" s="96">
        <f t="shared" si="4"/>
        <v>0</v>
      </c>
    </row>
    <row r="285" spans="1:21" x14ac:dyDescent="0.25">
      <c r="A285" s="491"/>
      <c r="B285" s="153" t="str">
        <f>IF(Überblick!$H$53&gt;=5,"5:",0)</f>
        <v>5:</v>
      </c>
      <c r="C285" s="481">
        <f>'Berechnung - Tech. Ausrüstung'!C139</f>
        <v>0</v>
      </c>
      <c r="D285" s="481">
        <f>'Berechnung - Tech. Ausrüstung'!D139</f>
        <v>0</v>
      </c>
      <c r="E285" s="481">
        <f>'Berechnung - Tech. Ausrüstung'!E139</f>
        <v>0</v>
      </c>
      <c r="F285" s="481">
        <f>'Berechnung - Tech. Ausrüstung'!F139</f>
        <v>0</v>
      </c>
      <c r="G285" s="481">
        <f>'Berechnung - Tech. Ausrüstung'!G139</f>
        <v>0</v>
      </c>
      <c r="H285" s="481">
        <f>'Berechnung - Tech. Ausrüstung'!H139</f>
        <v>0</v>
      </c>
      <c r="I285" s="481">
        <f>'Berechnung - Tech. Ausrüstung'!I139</f>
        <v>0</v>
      </c>
      <c r="J285" s="481">
        <f>'Berechnung - Tech. Ausrüstung'!J139</f>
        <v>0</v>
      </c>
      <c r="K285" s="481">
        <f>'Berechnung - Tech. Ausrüstung'!K139</f>
        <v>0</v>
      </c>
      <c r="L285" s="481">
        <f>'Berechnung - Tech. Ausrüstung'!L139</f>
        <v>0</v>
      </c>
      <c r="M285" s="481">
        <f>'Berechnung - Tech. Ausrüstung'!M139</f>
        <v>0</v>
      </c>
      <c r="N285" s="481">
        <f>'Berechnung - Tech. Ausrüstung'!N139</f>
        <v>0</v>
      </c>
      <c r="O285" s="481">
        <f>'Berechnung - Tech. Ausrüstung'!O139</f>
        <v>0</v>
      </c>
      <c r="P285" s="481">
        <f>'Berechnung - Tech. Ausrüstung'!P139</f>
        <v>0</v>
      </c>
      <c r="Q285" s="96">
        <f t="shared" si="4"/>
        <v>0</v>
      </c>
    </row>
    <row r="286" spans="1:21" ht="15.95" customHeight="1" x14ac:dyDescent="0.25">
      <c r="A286" s="491"/>
      <c r="B286" s="153" t="str">
        <f>IF(Überblick!$H$53&gt;=6,"6:",0)</f>
        <v>6:</v>
      </c>
      <c r="C286" s="481">
        <f>'Berechnung - Tech. Ausrüstung'!C140</f>
        <v>0</v>
      </c>
      <c r="D286" s="481">
        <f>'Berechnung - Tech. Ausrüstung'!D140</f>
        <v>0</v>
      </c>
      <c r="E286" s="481">
        <f>'Berechnung - Tech. Ausrüstung'!E140</f>
        <v>0</v>
      </c>
      <c r="F286" s="481">
        <f>'Berechnung - Tech. Ausrüstung'!F140</f>
        <v>0</v>
      </c>
      <c r="G286" s="481">
        <f>'Berechnung - Tech. Ausrüstung'!G140</f>
        <v>0</v>
      </c>
      <c r="H286" s="481">
        <f>'Berechnung - Tech. Ausrüstung'!H140</f>
        <v>0</v>
      </c>
      <c r="I286" s="481">
        <f>'Berechnung - Tech. Ausrüstung'!I140</f>
        <v>0</v>
      </c>
      <c r="J286" s="481">
        <f>'Berechnung - Tech. Ausrüstung'!J140</f>
        <v>0</v>
      </c>
      <c r="K286" s="481">
        <f>'Berechnung - Tech. Ausrüstung'!K140</f>
        <v>0</v>
      </c>
      <c r="L286" s="481">
        <f>'Berechnung - Tech. Ausrüstung'!L140</f>
        <v>0</v>
      </c>
      <c r="M286" s="481">
        <f>'Berechnung - Tech. Ausrüstung'!M140</f>
        <v>0</v>
      </c>
      <c r="N286" s="481">
        <f>'Berechnung - Tech. Ausrüstung'!N140</f>
        <v>0</v>
      </c>
      <c r="O286" s="481">
        <f>'Berechnung - Tech. Ausrüstung'!O140</f>
        <v>0</v>
      </c>
      <c r="P286" s="481">
        <f>'Berechnung - Tech. Ausrüstung'!P140</f>
        <v>0</v>
      </c>
      <c r="Q286" s="96">
        <f t="shared" si="4"/>
        <v>0</v>
      </c>
    </row>
    <row r="287" spans="1:21" x14ac:dyDescent="0.25">
      <c r="A287" s="491"/>
      <c r="B287" s="153">
        <f>IF(Überblick!$H$53&gt;=7,"7:",0)</f>
        <v>0</v>
      </c>
      <c r="C287" s="481">
        <f>'Berechnung - Tech. Ausrüstung'!C141</f>
        <v>0</v>
      </c>
      <c r="D287" s="481">
        <f>'Berechnung - Tech. Ausrüstung'!D141</f>
        <v>0</v>
      </c>
      <c r="E287" s="481">
        <f>'Berechnung - Tech. Ausrüstung'!E141</f>
        <v>0</v>
      </c>
      <c r="F287" s="481">
        <f>'Berechnung - Tech. Ausrüstung'!F141</f>
        <v>0</v>
      </c>
      <c r="G287" s="481">
        <f>'Berechnung - Tech. Ausrüstung'!G141</f>
        <v>0</v>
      </c>
      <c r="H287" s="481">
        <f>'Berechnung - Tech. Ausrüstung'!H141</f>
        <v>0</v>
      </c>
      <c r="I287" s="481">
        <f>'Berechnung - Tech. Ausrüstung'!I141</f>
        <v>0</v>
      </c>
      <c r="J287" s="481">
        <f>'Berechnung - Tech. Ausrüstung'!J141</f>
        <v>0</v>
      </c>
      <c r="K287" s="481">
        <f>'Berechnung - Tech. Ausrüstung'!K141</f>
        <v>0</v>
      </c>
      <c r="L287" s="481">
        <f>'Berechnung - Tech. Ausrüstung'!L141</f>
        <v>0</v>
      </c>
      <c r="M287" s="481">
        <f>'Berechnung - Tech. Ausrüstung'!M141</f>
        <v>0</v>
      </c>
      <c r="N287" s="481">
        <f>'Berechnung - Tech. Ausrüstung'!N141</f>
        <v>0</v>
      </c>
      <c r="O287" s="481">
        <f>'Berechnung - Tech. Ausrüstung'!O141</f>
        <v>0</v>
      </c>
      <c r="P287" s="481">
        <f>'Berechnung - Tech. Ausrüstung'!P141</f>
        <v>0</v>
      </c>
      <c r="Q287" s="96">
        <f t="shared" si="4"/>
        <v>0</v>
      </c>
    </row>
    <row r="288" spans="1:21" ht="15" customHeight="1" x14ac:dyDescent="0.25">
      <c r="A288" s="491"/>
      <c r="B288" s="153">
        <f>IF(Überblick!$H$53&gt;=8,"8:",0)</f>
        <v>0</v>
      </c>
      <c r="C288" s="481">
        <f>'Berechnung - Tech. Ausrüstung'!C142</f>
        <v>0</v>
      </c>
      <c r="D288" s="481">
        <f>'Berechnung - Tech. Ausrüstung'!D142</f>
        <v>0</v>
      </c>
      <c r="E288" s="481">
        <f>'Berechnung - Tech. Ausrüstung'!E142</f>
        <v>0</v>
      </c>
      <c r="F288" s="481">
        <f>'Berechnung - Tech. Ausrüstung'!F142</f>
        <v>0</v>
      </c>
      <c r="G288" s="481">
        <f>'Berechnung - Tech. Ausrüstung'!G142</f>
        <v>0</v>
      </c>
      <c r="H288" s="481">
        <f>'Berechnung - Tech. Ausrüstung'!H142</f>
        <v>0</v>
      </c>
      <c r="I288" s="481">
        <f>'Berechnung - Tech. Ausrüstung'!I142</f>
        <v>0</v>
      </c>
      <c r="J288" s="481">
        <f>'Berechnung - Tech. Ausrüstung'!J142</f>
        <v>0</v>
      </c>
      <c r="K288" s="481">
        <f>'Berechnung - Tech. Ausrüstung'!K142</f>
        <v>0</v>
      </c>
      <c r="L288" s="481">
        <f>'Berechnung - Tech. Ausrüstung'!L142</f>
        <v>0</v>
      </c>
      <c r="M288" s="481">
        <f>'Berechnung - Tech. Ausrüstung'!M142</f>
        <v>0</v>
      </c>
      <c r="N288" s="481">
        <f>'Berechnung - Tech. Ausrüstung'!N142</f>
        <v>0</v>
      </c>
      <c r="O288" s="481">
        <f>'Berechnung - Tech. Ausrüstung'!O142</f>
        <v>0</v>
      </c>
      <c r="P288" s="481">
        <f>'Berechnung - Tech. Ausrüstung'!P142</f>
        <v>0</v>
      </c>
      <c r="Q288" s="96">
        <f t="shared" si="4"/>
        <v>0</v>
      </c>
    </row>
    <row r="289" spans="2:16" x14ac:dyDescent="0.25">
      <c r="B289" s="153">
        <f>IF(Überblick!$H$53&gt;=9,"9:",0)</f>
        <v>0</v>
      </c>
      <c r="C289" s="481">
        <f>'Berechnung - Tech. Ausrüstung'!C143</f>
        <v>0</v>
      </c>
      <c r="D289" s="481">
        <f>'Berechnung - Tech. Ausrüstung'!D143</f>
        <v>0</v>
      </c>
      <c r="E289" s="481">
        <f>'Berechnung - Tech. Ausrüstung'!E143</f>
        <v>0</v>
      </c>
      <c r="F289" s="481">
        <f>'Berechnung - Tech. Ausrüstung'!F143</f>
        <v>0</v>
      </c>
      <c r="G289" s="481">
        <f>'Berechnung - Tech. Ausrüstung'!G143</f>
        <v>0</v>
      </c>
      <c r="H289" s="481">
        <f>'Berechnung - Tech. Ausrüstung'!H143</f>
        <v>0</v>
      </c>
      <c r="I289" s="481">
        <f>'Berechnung - Tech. Ausrüstung'!I143</f>
        <v>0</v>
      </c>
      <c r="J289" s="481">
        <f>'Berechnung - Tech. Ausrüstung'!J143</f>
        <v>0</v>
      </c>
      <c r="K289" s="481">
        <f>'Berechnung - Tech. Ausrüstung'!K143</f>
        <v>0</v>
      </c>
      <c r="L289" s="481">
        <f>'Berechnung - Tech. Ausrüstung'!L143</f>
        <v>0</v>
      </c>
      <c r="M289" s="481">
        <f>'Berechnung - Tech. Ausrüstung'!M143</f>
        <v>0</v>
      </c>
      <c r="N289" s="481">
        <f>'Berechnung - Tech. Ausrüstung'!N143</f>
        <v>0</v>
      </c>
      <c r="O289" s="481">
        <f>'Berechnung - Tech. Ausrüstung'!O143</f>
        <v>0</v>
      </c>
      <c r="P289" s="481">
        <f>'Berechnung - Tech. Ausrüstung'!P143</f>
        <v>0</v>
      </c>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row r="294" spans="2:16" x14ac:dyDescent="0.25">
      <c r="B294" s="140"/>
      <c r="C294" s="140"/>
      <c r="D294" s="140"/>
      <c r="E294" s="140"/>
      <c r="F294" s="140"/>
      <c r="G294" s="140"/>
      <c r="H294" s="140"/>
      <c r="I294" s="140"/>
      <c r="J294" s="140"/>
      <c r="K294" s="140"/>
      <c r="L294" s="140"/>
      <c r="M294" s="140"/>
      <c r="N294" s="140"/>
      <c r="O294" s="140"/>
      <c r="P294" s="140"/>
    </row>
  </sheetData>
  <sheetProtection algorithmName="SHA-512" hashValue="YxLi9XIoLcvC/s0CezkkHuHgFpjUmZ6Ooei8Os3h1T15xSkBzc1RoOPm/U9K0cbeETGv2cf+s8bjOVE1MXZJZA==" saltValue="2ycU5rOqh+Gw3ZmPycsM6w==" spinCount="100000" sheet="1" objects="1" scenarios="1"/>
  <mergeCells count="475">
    <mergeCell ref="F6:G6"/>
    <mergeCell ref="H6:I6"/>
    <mergeCell ref="J6:K6"/>
    <mergeCell ref="L6:M6"/>
    <mergeCell ref="N6:O6"/>
    <mergeCell ref="P6:Q6"/>
    <mergeCell ref="T1:U1"/>
    <mergeCell ref="S2:U2"/>
    <mergeCell ref="S3:U3"/>
    <mergeCell ref="S4:U4"/>
    <mergeCell ref="F5:I5"/>
    <mergeCell ref="J5:M5"/>
    <mergeCell ref="N5:Q5"/>
    <mergeCell ref="B15:E15"/>
    <mergeCell ref="F15:Q15"/>
    <mergeCell ref="B16:E16"/>
    <mergeCell ref="F16:Q16"/>
    <mergeCell ref="P7:Q7"/>
    <mergeCell ref="B8:E8"/>
    <mergeCell ref="F8:G8"/>
    <mergeCell ref="H8:I8"/>
    <mergeCell ref="J8:K8"/>
    <mergeCell ref="L8:M8"/>
    <mergeCell ref="N8:O8"/>
    <mergeCell ref="P8:Q8"/>
    <mergeCell ref="B7:E7"/>
    <mergeCell ref="F7:G7"/>
    <mergeCell ref="H7:I7"/>
    <mergeCell ref="J7:K7"/>
    <mergeCell ref="L7:M7"/>
    <mergeCell ref="N7:O7"/>
    <mergeCell ref="F17:I18"/>
    <mergeCell ref="J17:M18"/>
    <mergeCell ref="N17:Q18"/>
    <mergeCell ref="F19:I19"/>
    <mergeCell ref="J19:M19"/>
    <mergeCell ref="N19:Q19"/>
    <mergeCell ref="F9:I11"/>
    <mergeCell ref="J9:M11"/>
    <mergeCell ref="N9:Q11"/>
    <mergeCell ref="B23:E23"/>
    <mergeCell ref="F23:Q23"/>
    <mergeCell ref="A32:A126"/>
    <mergeCell ref="B32:G34"/>
    <mergeCell ref="H32:H34"/>
    <mergeCell ref="I32:I34"/>
    <mergeCell ref="J32:K34"/>
    <mergeCell ref="B35:G37"/>
    <mergeCell ref="H35:H37"/>
    <mergeCell ref="I35:K37"/>
    <mergeCell ref="L35:P37"/>
    <mergeCell ref="Q35:Q37"/>
    <mergeCell ref="B42:G44"/>
    <mergeCell ref="H42:H44"/>
    <mergeCell ref="B45:G53"/>
    <mergeCell ref="H45:H53"/>
    <mergeCell ref="Q61:Q63"/>
    <mergeCell ref="B76:G77"/>
    <mergeCell ref="H76:H77"/>
    <mergeCell ref="L76:P77"/>
    <mergeCell ref="Q76:Q77"/>
    <mergeCell ref="B109:G110"/>
    <mergeCell ref="H109:H110"/>
    <mergeCell ref="B101:G106"/>
    <mergeCell ref="R35:S37"/>
    <mergeCell ref="T35:T37"/>
    <mergeCell ref="U35:U37"/>
    <mergeCell ref="B38:G38"/>
    <mergeCell ref="I38:K38"/>
    <mergeCell ref="L38:P38"/>
    <mergeCell ref="R38:S38"/>
    <mergeCell ref="B39:G41"/>
    <mergeCell ref="H39:H41"/>
    <mergeCell ref="I39:I53"/>
    <mergeCell ref="J39:K53"/>
    <mergeCell ref="L39:P43"/>
    <mergeCell ref="Q39:Q43"/>
    <mergeCell ref="L47:P48"/>
    <mergeCell ref="Q47:Q48"/>
    <mergeCell ref="L53:P53"/>
    <mergeCell ref="R47:S48"/>
    <mergeCell ref="L49:P49"/>
    <mergeCell ref="R49:S49"/>
    <mergeCell ref="L50:P50"/>
    <mergeCell ref="R50:S50"/>
    <mergeCell ref="L51:P52"/>
    <mergeCell ref="Q51:Q52"/>
    <mergeCell ref="R51:S52"/>
    <mergeCell ref="R39:S43"/>
    <mergeCell ref="L44:P46"/>
    <mergeCell ref="Q44:Q46"/>
    <mergeCell ref="R44:S46"/>
    <mergeCell ref="T55:T77"/>
    <mergeCell ref="U55:U77"/>
    <mergeCell ref="B57:G64"/>
    <mergeCell ref="H57:H64"/>
    <mergeCell ref="L58:P60"/>
    <mergeCell ref="Q58:Q60"/>
    <mergeCell ref="R58:S60"/>
    <mergeCell ref="L61:P63"/>
    <mergeCell ref="R53:S53"/>
    <mergeCell ref="B54:G54"/>
    <mergeCell ref="I54:K54"/>
    <mergeCell ref="L54:P54"/>
    <mergeCell ref="R54:S54"/>
    <mergeCell ref="B55:G56"/>
    <mergeCell ref="H55:H56"/>
    <mergeCell ref="I55:I77"/>
    <mergeCell ref="J55:K77"/>
    <mergeCell ref="L55:P57"/>
    <mergeCell ref="T39:T53"/>
    <mergeCell ref="U39:U53"/>
    <mergeCell ref="R61:S63"/>
    <mergeCell ref="L64:P66"/>
    <mergeCell ref="Q64:Q66"/>
    <mergeCell ref="R64:S66"/>
    <mergeCell ref="B65:G66"/>
    <mergeCell ref="H65:H66"/>
    <mergeCell ref="Q55:Q57"/>
    <mergeCell ref="R55:S57"/>
    <mergeCell ref="B67:G70"/>
    <mergeCell ref="H67:H70"/>
    <mergeCell ref="L67:P69"/>
    <mergeCell ref="Q67:Q69"/>
    <mergeCell ref="R67:S69"/>
    <mergeCell ref="L70:P72"/>
    <mergeCell ref="Q70:Q72"/>
    <mergeCell ref="R70:S72"/>
    <mergeCell ref="B71:G73"/>
    <mergeCell ref="H71:H73"/>
    <mergeCell ref="L73:P75"/>
    <mergeCell ref="Q73:Q75"/>
    <mergeCell ref="R73:S75"/>
    <mergeCell ref="B74:G75"/>
    <mergeCell ref="H74:H75"/>
    <mergeCell ref="R76:S77"/>
    <mergeCell ref="T78:T80"/>
    <mergeCell ref="U78:U80"/>
    <mergeCell ref="B81:G81"/>
    <mergeCell ref="I81:K81"/>
    <mergeCell ref="L81:P81"/>
    <mergeCell ref="R81:S81"/>
    <mergeCell ref="B78:G80"/>
    <mergeCell ref="H78:H80"/>
    <mergeCell ref="I78:K80"/>
    <mergeCell ref="L78:P80"/>
    <mergeCell ref="Q78:Q80"/>
    <mergeCell ref="R78:S80"/>
    <mergeCell ref="T82:T114"/>
    <mergeCell ref="L85:P87"/>
    <mergeCell ref="Q85:Q87"/>
    <mergeCell ref="R85:S87"/>
    <mergeCell ref="L88:P90"/>
    <mergeCell ref="Q88:Q90"/>
    <mergeCell ref="R88:S90"/>
    <mergeCell ref="L91:P93"/>
    <mergeCell ref="L82:P84"/>
    <mergeCell ref="Q82:Q84"/>
    <mergeCell ref="Q91:Q93"/>
    <mergeCell ref="R107:S109"/>
    <mergeCell ref="L110:P112"/>
    <mergeCell ref="Q110:Q112"/>
    <mergeCell ref="R110:S112"/>
    <mergeCell ref="B107:G108"/>
    <mergeCell ref="H107:H108"/>
    <mergeCell ref="L107:P109"/>
    <mergeCell ref="Q107:Q109"/>
    <mergeCell ref="H101:H106"/>
    <mergeCell ref="L101:P103"/>
    <mergeCell ref="Q101:Q103"/>
    <mergeCell ref="R101:S103"/>
    <mergeCell ref="L104:P106"/>
    <mergeCell ref="Q104:Q106"/>
    <mergeCell ref="R104:S106"/>
    <mergeCell ref="I82:I114"/>
    <mergeCell ref="J82:K114"/>
    <mergeCell ref="R91:S93"/>
    <mergeCell ref="L94:P97"/>
    <mergeCell ref="Q94:Q97"/>
    <mergeCell ref="R94:S97"/>
    <mergeCell ref="L98:P100"/>
    <mergeCell ref="Q98:Q100"/>
    <mergeCell ref="R98:S100"/>
    <mergeCell ref="R82:S84"/>
    <mergeCell ref="U115:U117"/>
    <mergeCell ref="B118:G118"/>
    <mergeCell ref="I118:K118"/>
    <mergeCell ref="L118:P118"/>
    <mergeCell ref="R118:S118"/>
    <mergeCell ref="R113:S114"/>
    <mergeCell ref="B115:G117"/>
    <mergeCell ref="H115:H117"/>
    <mergeCell ref="I115:K117"/>
    <mergeCell ref="L115:P117"/>
    <mergeCell ref="Q115:Q117"/>
    <mergeCell ref="R115:S117"/>
    <mergeCell ref="U82:U114"/>
    <mergeCell ref="B82:G86"/>
    <mergeCell ref="H82:H86"/>
    <mergeCell ref="B87:G87"/>
    <mergeCell ref="B88:G100"/>
    <mergeCell ref="H88:H100"/>
    <mergeCell ref="B111:G112"/>
    <mergeCell ref="H111:H112"/>
    <mergeCell ref="B113:G114"/>
    <mergeCell ref="H113:H114"/>
    <mergeCell ref="L113:P114"/>
    <mergeCell ref="Q113:Q114"/>
    <mergeCell ref="B119:G123"/>
    <mergeCell ref="H119:H123"/>
    <mergeCell ref="I119:I126"/>
    <mergeCell ref="J119:K126"/>
    <mergeCell ref="L119:P121"/>
    <mergeCell ref="Q119:Q121"/>
    <mergeCell ref="B124:G126"/>
    <mergeCell ref="H124:H126"/>
    <mergeCell ref="T115:T117"/>
    <mergeCell ref="R119:S121"/>
    <mergeCell ref="T119:T126"/>
    <mergeCell ref="U119:U126"/>
    <mergeCell ref="L122:P124"/>
    <mergeCell ref="Q122:Q124"/>
    <mergeCell ref="R122:S124"/>
    <mergeCell ref="L125:P126"/>
    <mergeCell ref="Q125:Q126"/>
    <mergeCell ref="R125:S126"/>
    <mergeCell ref="T128:T132"/>
    <mergeCell ref="U128:U132"/>
    <mergeCell ref="L131:P132"/>
    <mergeCell ref="Q131:Q132"/>
    <mergeCell ref="R131:S132"/>
    <mergeCell ref="B127:G127"/>
    <mergeCell ref="I127:K127"/>
    <mergeCell ref="L127:P127"/>
    <mergeCell ref="R127:S127"/>
    <mergeCell ref="B128:G132"/>
    <mergeCell ref="H128:H132"/>
    <mergeCell ref="I128:I132"/>
    <mergeCell ref="J128:K132"/>
    <mergeCell ref="L128:P130"/>
    <mergeCell ref="A133:A142"/>
    <mergeCell ref="B133:G142"/>
    <mergeCell ref="H133:H142"/>
    <mergeCell ref="I133:I142"/>
    <mergeCell ref="J133:K142"/>
    <mergeCell ref="L133:P135"/>
    <mergeCell ref="L142:P142"/>
    <mergeCell ref="Q128:Q130"/>
    <mergeCell ref="R128:S130"/>
    <mergeCell ref="A128:A132"/>
    <mergeCell ref="Q133:Q135"/>
    <mergeCell ref="R133:S135"/>
    <mergeCell ref="T133:T142"/>
    <mergeCell ref="U133:U142"/>
    <mergeCell ref="L136:P138"/>
    <mergeCell ref="Q136:Q138"/>
    <mergeCell ref="R136:S138"/>
    <mergeCell ref="L139:P141"/>
    <mergeCell ref="Q139:Q141"/>
    <mergeCell ref="R139:S141"/>
    <mergeCell ref="R142:S142"/>
    <mergeCell ref="B143:G143"/>
    <mergeCell ref="J143:K143"/>
    <mergeCell ref="L143:P143"/>
    <mergeCell ref="R143:S143"/>
    <mergeCell ref="B144:G144"/>
    <mergeCell ref="J144:K144"/>
    <mergeCell ref="L144:P144"/>
    <mergeCell ref="R144:S144"/>
    <mergeCell ref="Q145:Q147"/>
    <mergeCell ref="R145:S147"/>
    <mergeCell ref="T145:T149"/>
    <mergeCell ref="U145:U149"/>
    <mergeCell ref="L148:P149"/>
    <mergeCell ref="Q148:Q149"/>
    <mergeCell ref="R148:S149"/>
    <mergeCell ref="A145:A149"/>
    <mergeCell ref="B145:G149"/>
    <mergeCell ref="H145:H149"/>
    <mergeCell ref="I145:I149"/>
    <mergeCell ref="J145:K149"/>
    <mergeCell ref="L145:P147"/>
    <mergeCell ref="Q150:Q152"/>
    <mergeCell ref="R150:S152"/>
    <mergeCell ref="T150:T152"/>
    <mergeCell ref="U150:U152"/>
    <mergeCell ref="A153:A244"/>
    <mergeCell ref="B153:G153"/>
    <mergeCell ref="I153:K153"/>
    <mergeCell ref="L153:P153"/>
    <mergeCell ref="R153:S153"/>
    <mergeCell ref="B154:G156"/>
    <mergeCell ref="A150:A152"/>
    <mergeCell ref="B150:G152"/>
    <mergeCell ref="H150:H152"/>
    <mergeCell ref="I150:I152"/>
    <mergeCell ref="J150:K152"/>
    <mergeCell ref="L150:P152"/>
    <mergeCell ref="T154:T177"/>
    <mergeCell ref="U154:U177"/>
    <mergeCell ref="B157:G167"/>
    <mergeCell ref="H157:H167"/>
    <mergeCell ref="L157:P166"/>
    <mergeCell ref="Q157:Q166"/>
    <mergeCell ref="R157:S166"/>
    <mergeCell ref="L167:P169"/>
    <mergeCell ref="Q167:Q169"/>
    <mergeCell ref="R167:S169"/>
    <mergeCell ref="H154:H156"/>
    <mergeCell ref="I154:I177"/>
    <mergeCell ref="J154:K177"/>
    <mergeCell ref="L154:P156"/>
    <mergeCell ref="Q154:Q156"/>
    <mergeCell ref="R154:S156"/>
    <mergeCell ref="B174:G176"/>
    <mergeCell ref="H174:H176"/>
    <mergeCell ref="L174:P176"/>
    <mergeCell ref="Q174:Q176"/>
    <mergeCell ref="R174:S176"/>
    <mergeCell ref="B177:G177"/>
    <mergeCell ref="L177:P177"/>
    <mergeCell ref="R177:S177"/>
    <mergeCell ref="B168:G170"/>
    <mergeCell ref="H168:H170"/>
    <mergeCell ref="L170:P173"/>
    <mergeCell ref="Q170:Q173"/>
    <mergeCell ref="R170:S173"/>
    <mergeCell ref="B171:G173"/>
    <mergeCell ref="H171:H173"/>
    <mergeCell ref="B178:G178"/>
    <mergeCell ref="I178:K178"/>
    <mergeCell ref="L178:P178"/>
    <mergeCell ref="R178:S178"/>
    <mergeCell ref="B179:G179"/>
    <mergeCell ref="I179:I192"/>
    <mergeCell ref="J179:K192"/>
    <mergeCell ref="L179:P181"/>
    <mergeCell ref="Q179:Q181"/>
    <mergeCell ref="R179:S181"/>
    <mergeCell ref="T179:T192"/>
    <mergeCell ref="U179:U192"/>
    <mergeCell ref="B180:G184"/>
    <mergeCell ref="H180:H184"/>
    <mergeCell ref="L182:P184"/>
    <mergeCell ref="Q182:Q184"/>
    <mergeCell ref="R182:S184"/>
    <mergeCell ref="B185:G185"/>
    <mergeCell ref="L185:P187"/>
    <mergeCell ref="Q185:Q187"/>
    <mergeCell ref="B191:G192"/>
    <mergeCell ref="H191:H192"/>
    <mergeCell ref="L191:P192"/>
    <mergeCell ref="Q191:Q192"/>
    <mergeCell ref="R191:S192"/>
    <mergeCell ref="B193:G193"/>
    <mergeCell ref="L193:P193"/>
    <mergeCell ref="R193:S193"/>
    <mergeCell ref="R185:S187"/>
    <mergeCell ref="B186:G188"/>
    <mergeCell ref="H186:H188"/>
    <mergeCell ref="L188:P190"/>
    <mergeCell ref="Q188:Q190"/>
    <mergeCell ref="R188:S190"/>
    <mergeCell ref="B189:G190"/>
    <mergeCell ref="H189:H190"/>
    <mergeCell ref="R194:S203"/>
    <mergeCell ref="T194:T234"/>
    <mergeCell ref="U194:U234"/>
    <mergeCell ref="B201:G201"/>
    <mergeCell ref="B202:G203"/>
    <mergeCell ref="H202:H203"/>
    <mergeCell ref="B204:G204"/>
    <mergeCell ref="L204:P205"/>
    <mergeCell ref="Q204:Q205"/>
    <mergeCell ref="R204:S205"/>
    <mergeCell ref="B194:G200"/>
    <mergeCell ref="H194:H200"/>
    <mergeCell ref="I194:I234"/>
    <mergeCell ref="J194:K234"/>
    <mergeCell ref="L194:P203"/>
    <mergeCell ref="Q194:Q203"/>
    <mergeCell ref="B205:G207"/>
    <mergeCell ref="H205:H207"/>
    <mergeCell ref="L206:P208"/>
    <mergeCell ref="Q206:Q208"/>
    <mergeCell ref="B213:G216"/>
    <mergeCell ref="H213:H216"/>
    <mergeCell ref="B217:G217"/>
    <mergeCell ref="B218:G218"/>
    <mergeCell ref="R206:S208"/>
    <mergeCell ref="B208:G208"/>
    <mergeCell ref="B209:G212"/>
    <mergeCell ref="H209:H212"/>
    <mergeCell ref="L209:P211"/>
    <mergeCell ref="Q209:Q211"/>
    <mergeCell ref="R209:S211"/>
    <mergeCell ref="L212:P217"/>
    <mergeCell ref="Q212:Q217"/>
    <mergeCell ref="R212:S217"/>
    <mergeCell ref="H228:H229"/>
    <mergeCell ref="B230:G231"/>
    <mergeCell ref="H230:H231"/>
    <mergeCell ref="L230:P234"/>
    <mergeCell ref="Q230:Q234"/>
    <mergeCell ref="R230:S234"/>
    <mergeCell ref="B232:G234"/>
    <mergeCell ref="H232:H234"/>
    <mergeCell ref="R218:S226"/>
    <mergeCell ref="B219:G222"/>
    <mergeCell ref="H219:H222"/>
    <mergeCell ref="B223:G223"/>
    <mergeCell ref="B224:G227"/>
    <mergeCell ref="H224:H227"/>
    <mergeCell ref="L227:P229"/>
    <mergeCell ref="Q227:Q229"/>
    <mergeCell ref="R227:S229"/>
    <mergeCell ref="B228:G229"/>
    <mergeCell ref="L218:P226"/>
    <mergeCell ref="Q218:Q226"/>
    <mergeCell ref="B235:G235"/>
    <mergeCell ref="I235:K235"/>
    <mergeCell ref="L235:P235"/>
    <mergeCell ref="R235:S235"/>
    <mergeCell ref="B236:G240"/>
    <mergeCell ref="H236:H240"/>
    <mergeCell ref="I236:I244"/>
    <mergeCell ref="J236:K244"/>
    <mergeCell ref="L236:P238"/>
    <mergeCell ref="Q236:Q238"/>
    <mergeCell ref="B241:G243"/>
    <mergeCell ref="H241:H243"/>
    <mergeCell ref="L242:P244"/>
    <mergeCell ref="Q242:Q244"/>
    <mergeCell ref="R242:S244"/>
    <mergeCell ref="B244:G244"/>
    <mergeCell ref="R236:S238"/>
    <mergeCell ref="T236:T244"/>
    <mergeCell ref="U236:U244"/>
    <mergeCell ref="L239:P241"/>
    <mergeCell ref="Q239:Q241"/>
    <mergeCell ref="R239:S241"/>
    <mergeCell ref="T245:T246"/>
    <mergeCell ref="U245:U246"/>
    <mergeCell ref="B250:F250"/>
    <mergeCell ref="H250:J250"/>
    <mergeCell ref="B252:F252"/>
    <mergeCell ref="H252:J252"/>
    <mergeCell ref="B245:H246"/>
    <mergeCell ref="I245:I246"/>
    <mergeCell ref="J245:K246"/>
    <mergeCell ref="L245:P246"/>
    <mergeCell ref="Q245:Q246"/>
    <mergeCell ref="R245:S246"/>
    <mergeCell ref="B260:F261"/>
    <mergeCell ref="H260:J261"/>
    <mergeCell ref="B265:F265"/>
    <mergeCell ref="H265:J265"/>
    <mergeCell ref="B267:F267"/>
    <mergeCell ref="H267:J267"/>
    <mergeCell ref="B254:F254"/>
    <mergeCell ref="H254:J254"/>
    <mergeCell ref="G255:J255"/>
    <mergeCell ref="B256:F256"/>
    <mergeCell ref="H256:J256"/>
    <mergeCell ref="B258:F258"/>
    <mergeCell ref="H258:J258"/>
    <mergeCell ref="B275:F276"/>
    <mergeCell ref="H275:J276"/>
    <mergeCell ref="B269:F269"/>
    <mergeCell ref="H269:J269"/>
    <mergeCell ref="G270:J270"/>
    <mergeCell ref="B271:F271"/>
    <mergeCell ref="H271:J271"/>
    <mergeCell ref="B273:F273"/>
    <mergeCell ref="H273:J273"/>
  </mergeCells>
  <conditionalFormatting sqref="AA39">
    <cfRule type="containsText" dxfId="594" priority="70" operator="containsText" text="Ja">
      <formula>NOT(ISERROR(SEARCH("Ja",AA39)))</formula>
    </cfRule>
  </conditionalFormatting>
  <conditionalFormatting sqref="AA233">
    <cfRule type="containsText" dxfId="593" priority="62" operator="containsText" text="Ja">
      <formula>NOT(ISERROR(SEARCH("Ja",AA233)))</formula>
    </cfRule>
  </conditionalFormatting>
  <conditionalFormatting sqref="AA55">
    <cfRule type="containsText" dxfId="592" priority="69" operator="containsText" text="Ja">
      <formula>NOT(ISERROR(SEARCH("Ja",AA55)))</formula>
    </cfRule>
  </conditionalFormatting>
  <conditionalFormatting sqref="AA79">
    <cfRule type="containsText" dxfId="591" priority="68" operator="containsText" text="Ja">
      <formula>NOT(ISERROR(SEARCH("Ja",AA79)))</formula>
    </cfRule>
  </conditionalFormatting>
  <conditionalFormatting sqref="AA113">
    <cfRule type="containsText" dxfId="590" priority="67" operator="containsText" text="Ja">
      <formula>NOT(ISERROR(SEARCH("Ja",AA113)))</formula>
    </cfRule>
  </conditionalFormatting>
  <conditionalFormatting sqref="AA125">
    <cfRule type="containsText" dxfId="589" priority="66" operator="containsText" text="Ja">
      <formula>NOT(ISERROR(SEARCH("Ja",AA125)))</formula>
    </cfRule>
  </conditionalFormatting>
  <conditionalFormatting sqref="AA151">
    <cfRule type="containsText" dxfId="588" priority="65" operator="containsText" text="Ja">
      <formula>NOT(ISERROR(SEARCH("Ja",AA151)))</formula>
    </cfRule>
  </conditionalFormatting>
  <conditionalFormatting sqref="AA176">
    <cfRule type="containsText" dxfId="587" priority="64" operator="containsText" text="Ja">
      <formula>NOT(ISERROR(SEARCH("Ja",AA176)))</formula>
    </cfRule>
  </conditionalFormatting>
  <conditionalFormatting sqref="AA191">
    <cfRule type="containsText" dxfId="586" priority="63" operator="containsText" text="Ja">
      <formula>NOT(ISERROR(SEARCH("Ja",AA191)))</formula>
    </cfRule>
  </conditionalFormatting>
  <conditionalFormatting sqref="B281:B289">
    <cfRule type="cellIs" dxfId="585" priority="61" operator="greaterThan">
      <formula>0</formula>
    </cfRule>
  </conditionalFormatting>
  <conditionalFormatting sqref="C281:P289">
    <cfRule type="expression" dxfId="584" priority="60">
      <formula>$B281&gt;=1</formula>
    </cfRule>
  </conditionalFormatting>
  <conditionalFormatting sqref="C282:P282">
    <cfRule type="expression" dxfId="583" priority="59">
      <formula>$B282&gt;=1</formula>
    </cfRule>
  </conditionalFormatting>
  <conditionalFormatting sqref="C283:P283">
    <cfRule type="expression" dxfId="582" priority="58">
      <formula>$B283&gt;=1</formula>
    </cfRule>
  </conditionalFormatting>
  <conditionalFormatting sqref="C284:P284">
    <cfRule type="expression" dxfId="581" priority="57">
      <formula>$B284&gt;=1</formula>
    </cfRule>
  </conditionalFormatting>
  <conditionalFormatting sqref="C285:P285">
    <cfRule type="expression" dxfId="580" priority="56">
      <formula>$B285&gt;=1</formula>
    </cfRule>
  </conditionalFormatting>
  <conditionalFormatting sqref="C286:P286">
    <cfRule type="expression" dxfId="579" priority="55">
      <formula>$B286&gt;=1</formula>
    </cfRule>
  </conditionalFormatting>
  <conditionalFormatting sqref="C287:P287">
    <cfRule type="expression" dxfId="578" priority="54">
      <formula>$B287&gt;=1</formula>
    </cfRule>
  </conditionalFormatting>
  <conditionalFormatting sqref="C288:P289">
    <cfRule type="expression" dxfId="577" priority="53">
      <formula>$B288&gt;=1</formula>
    </cfRule>
  </conditionalFormatting>
  <conditionalFormatting sqref="C281:P289">
    <cfRule type="cellIs" dxfId="576" priority="52" operator="greaterThan">
      <formula>0</formula>
    </cfRule>
  </conditionalFormatting>
  <conditionalFormatting sqref="F23">
    <cfRule type="expression" dxfId="575" priority="51">
      <formula>$H$8+$L$8+$P$8&gt;0</formula>
    </cfRule>
  </conditionalFormatting>
  <conditionalFormatting sqref="R230">
    <cfRule type="expression" dxfId="574" priority="9">
      <formula>Q230="ja"</formula>
    </cfRule>
  </conditionalFormatting>
  <conditionalFormatting sqref="R236">
    <cfRule type="expression" dxfId="573" priority="8">
      <formula>Q236="ja"</formula>
    </cfRule>
  </conditionalFormatting>
  <conditionalFormatting sqref="R239">
    <cfRule type="expression" dxfId="572" priority="7">
      <formula>Q239="ja"</formula>
    </cfRule>
  </conditionalFormatting>
  <conditionalFormatting sqref="R242">
    <cfRule type="expression" dxfId="571" priority="6">
      <formula>Q242="ja"</formula>
    </cfRule>
  </conditionalFormatting>
  <conditionalFormatting sqref="R39">
    <cfRule type="expression" dxfId="570" priority="50">
      <formula>Q39="ja"</formula>
    </cfRule>
  </conditionalFormatting>
  <conditionalFormatting sqref="R44">
    <cfRule type="expression" dxfId="569" priority="49">
      <formula>Q44="ja"</formula>
    </cfRule>
  </conditionalFormatting>
  <conditionalFormatting sqref="R47">
    <cfRule type="expression" dxfId="568" priority="48">
      <formula>Q47="ja"</formula>
    </cfRule>
  </conditionalFormatting>
  <conditionalFormatting sqref="R49 R51 R53">
    <cfRule type="expression" dxfId="567" priority="47">
      <formula>Q49="ja"</formula>
    </cfRule>
  </conditionalFormatting>
  <conditionalFormatting sqref="R50">
    <cfRule type="expression" dxfId="566" priority="46">
      <formula>Q50="ja"</formula>
    </cfRule>
  </conditionalFormatting>
  <conditionalFormatting sqref="R55">
    <cfRule type="expression" dxfId="565" priority="45">
      <formula>Q55="ja"</formula>
    </cfRule>
  </conditionalFormatting>
  <conditionalFormatting sqref="R58 R61 R64 R67 R70 R73">
    <cfRule type="expression" dxfId="564" priority="44">
      <formula>Q58="ja"</formula>
    </cfRule>
  </conditionalFormatting>
  <conditionalFormatting sqref="R76">
    <cfRule type="expression" dxfId="563" priority="43">
      <formula>Q76="ja"</formula>
    </cfRule>
  </conditionalFormatting>
  <conditionalFormatting sqref="R82 R85 R88 R91 R94:R95 R98 R101 R104 R107 R110">
    <cfRule type="expression" dxfId="562" priority="42">
      <formula>Q82="ja"</formula>
    </cfRule>
  </conditionalFormatting>
  <conditionalFormatting sqref="R113">
    <cfRule type="expression" dxfId="561" priority="41">
      <formula>Q113="ja"</formula>
    </cfRule>
  </conditionalFormatting>
  <conditionalFormatting sqref="R125">
    <cfRule type="expression" dxfId="560" priority="38">
      <formula>Q125="ja"</formula>
    </cfRule>
  </conditionalFormatting>
  <conditionalFormatting sqref="R119">
    <cfRule type="expression" dxfId="559" priority="40">
      <formula>Q119="ja"</formula>
    </cfRule>
  </conditionalFormatting>
  <conditionalFormatting sqref="R122">
    <cfRule type="expression" dxfId="558" priority="39">
      <formula>Q122="ja"</formula>
    </cfRule>
  </conditionalFormatting>
  <conditionalFormatting sqref="R128">
    <cfRule type="expression" dxfId="557" priority="37">
      <formula>Q128="ja"</formula>
    </cfRule>
  </conditionalFormatting>
  <conditionalFormatting sqref="R131">
    <cfRule type="expression" dxfId="556" priority="36">
      <formula>Q131="ja"</formula>
    </cfRule>
  </conditionalFormatting>
  <conditionalFormatting sqref="R133">
    <cfRule type="expression" dxfId="555" priority="35">
      <formula>Q133="ja"</formula>
    </cfRule>
  </conditionalFormatting>
  <conditionalFormatting sqref="R136">
    <cfRule type="expression" dxfId="554" priority="34">
      <formula>Q136="ja"</formula>
    </cfRule>
  </conditionalFormatting>
  <conditionalFormatting sqref="R139">
    <cfRule type="expression" dxfId="553" priority="33">
      <formula>Q139="ja"</formula>
    </cfRule>
  </conditionalFormatting>
  <conditionalFormatting sqref="R142">
    <cfRule type="expression" dxfId="552" priority="32">
      <formula>Q142="ja"</formula>
    </cfRule>
  </conditionalFormatting>
  <conditionalFormatting sqref="R143">
    <cfRule type="expression" dxfId="551" priority="31">
      <formula>Q143="ja"</formula>
    </cfRule>
  </conditionalFormatting>
  <conditionalFormatting sqref="R144">
    <cfRule type="expression" dxfId="550" priority="30">
      <formula>Q144="ja"</formula>
    </cfRule>
  </conditionalFormatting>
  <conditionalFormatting sqref="R145">
    <cfRule type="expression" dxfId="549" priority="29">
      <formula>Q145="ja"</formula>
    </cfRule>
  </conditionalFormatting>
  <conditionalFormatting sqref="R148">
    <cfRule type="expression" dxfId="548" priority="28">
      <formula>Q148="ja"</formula>
    </cfRule>
  </conditionalFormatting>
  <conditionalFormatting sqref="R150">
    <cfRule type="expression" dxfId="547" priority="27">
      <formula>Q150="ja"</formula>
    </cfRule>
  </conditionalFormatting>
  <conditionalFormatting sqref="R154">
    <cfRule type="expression" dxfId="546" priority="26">
      <formula>Q154="ja"</formula>
    </cfRule>
  </conditionalFormatting>
  <conditionalFormatting sqref="R157:R164">
    <cfRule type="expression" dxfId="545" priority="25">
      <formula>Q157="ja"</formula>
    </cfRule>
  </conditionalFormatting>
  <conditionalFormatting sqref="R167">
    <cfRule type="expression" dxfId="544" priority="24">
      <formula>Q167="ja"</formula>
    </cfRule>
  </conditionalFormatting>
  <conditionalFormatting sqref="R170">
    <cfRule type="expression" dxfId="543" priority="23">
      <formula>Q170="ja"</formula>
    </cfRule>
  </conditionalFormatting>
  <conditionalFormatting sqref="R174">
    <cfRule type="expression" dxfId="542" priority="22">
      <formula>Q174="ja"</formula>
    </cfRule>
  </conditionalFormatting>
  <conditionalFormatting sqref="R177">
    <cfRule type="expression" dxfId="541" priority="21">
      <formula>Q177="ja"</formula>
    </cfRule>
  </conditionalFormatting>
  <conditionalFormatting sqref="R179">
    <cfRule type="expression" dxfId="540" priority="20">
      <formula>Q179="ja"</formula>
    </cfRule>
  </conditionalFormatting>
  <conditionalFormatting sqref="R182">
    <cfRule type="expression" dxfId="539" priority="19">
      <formula>Q182="ja"</formula>
    </cfRule>
  </conditionalFormatting>
  <conditionalFormatting sqref="R185">
    <cfRule type="expression" dxfId="538" priority="18">
      <formula>Q185="ja"</formula>
    </cfRule>
  </conditionalFormatting>
  <conditionalFormatting sqref="R188">
    <cfRule type="expression" dxfId="537" priority="17">
      <formula>Q188="ja"</formula>
    </cfRule>
  </conditionalFormatting>
  <conditionalFormatting sqref="R191">
    <cfRule type="expression" dxfId="536" priority="16">
      <formula>Q191="ja"</formula>
    </cfRule>
  </conditionalFormatting>
  <conditionalFormatting sqref="R227">
    <cfRule type="expression" dxfId="535" priority="10">
      <formula>Q227="ja"</formula>
    </cfRule>
  </conditionalFormatting>
  <conditionalFormatting sqref="R194">
    <cfRule type="expression" dxfId="534" priority="15">
      <formula>Q194="ja"</formula>
    </cfRule>
  </conditionalFormatting>
  <conditionalFormatting sqref="R206">
    <cfRule type="expression" dxfId="533" priority="14">
      <formula>Q206="ja"</formula>
    </cfRule>
  </conditionalFormatting>
  <conditionalFormatting sqref="R209">
    <cfRule type="expression" dxfId="532" priority="13">
      <formula>Q209="ja"</formula>
    </cfRule>
  </conditionalFormatting>
  <conditionalFormatting sqref="R212">
    <cfRule type="expression" dxfId="531" priority="12">
      <formula>Q212="ja"</formula>
    </cfRule>
  </conditionalFormatting>
  <conditionalFormatting sqref="R218">
    <cfRule type="expression" dxfId="530" priority="11">
      <formula>Q218="ja"</formula>
    </cfRule>
  </conditionalFormatting>
  <conditionalFormatting sqref="T154:T177">
    <cfRule type="cellIs" dxfId="529" priority="5" operator="equal">
      <formula>"ja"</formula>
    </cfRule>
  </conditionalFormatting>
  <conditionalFormatting sqref="T39:T53 T55:T77 T82:T114">
    <cfRule type="cellIs" dxfId="528" priority="4" operator="equal">
      <formula>"ja"</formula>
    </cfRule>
  </conditionalFormatting>
  <conditionalFormatting sqref="T119:T126">
    <cfRule type="cellIs" dxfId="527" priority="3" operator="equal">
      <formula>"ja"</formula>
    </cfRule>
  </conditionalFormatting>
  <conditionalFormatting sqref="T128:T152">
    <cfRule type="cellIs" dxfId="526" priority="2" operator="equal">
      <formula>"ja"</formula>
    </cfRule>
  </conditionalFormatting>
  <conditionalFormatting sqref="T179:T192 T194:T234 T236:T244">
    <cfRule type="cellIs" dxfId="525" priority="1" operator="equal">
      <formula>"ja"</formula>
    </cfRule>
  </conditionalFormatting>
  <conditionalFormatting sqref="R204">
    <cfRule type="expression" dxfId="524" priority="71">
      <formula>Q204="ja"</formula>
    </cfRule>
  </conditionalFormatting>
  <dataValidations count="2">
    <dataValidation type="list" allowBlank="1" showInputMessage="1" showErrorMessage="1" sqref="F15:Q15" xr:uid="{8DB4B496-468C-481D-BC2E-4D80AD908DFE}">
      <formula1>$V$15:$V$17</formula1>
    </dataValidation>
    <dataValidation type="list" allowBlank="1" showInputMessage="1" showErrorMessage="1" sqref="Q39:Q53 H154:H177 H128:H152 H119:H126 H236:H244 H82:H114 H55:H77 H194:H234 H179:H192 H39:H53 Q55:Q77 Q82:Q114 Q236:Q244 Q179:Q192 Q154:Q177 Q128:Q152 Q119:Q126 Q194 Q204 Q206:Q212 Q218 Q227:Q230" xr:uid="{61F716EF-9F03-46E7-BF1F-D36AE38F7643}">
      <formula1>$T$32:$T$33</formula1>
    </dataValidation>
  </dataValidations>
  <pageMargins left="0.23622047244094491" right="0.23622047244094491" top="0.74803149606299213" bottom="0.74803149606299213" header="0.31496062992125984" footer="0.31496062992125984"/>
  <pageSetup paperSize="9" scale="50" fitToHeight="8" orientation="portrait" r:id="rId1"/>
  <rowBreaks count="3" manualBreakCount="3">
    <brk id="87" max="16383" man="1"/>
    <brk id="188" max="16383" man="1"/>
    <brk id="27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21FF8EA0-EC99-42C2-84F3-720E21D23258}">
          <x14:formula1>
            <xm:f>'Berechnung - Abwasser'!$B$138:$B$147</xm:f>
          </x14:formula1>
          <xm:sqref>U39:U114 U119:U126 U128:U152 U154:U177 U179:U234 U236:U244</xm:sqref>
        </x14:dataValidation>
        <x14:dataValidation type="list" allowBlank="1" showInputMessage="1" showErrorMessage="1" xr:uid="{154D018B-F4B5-42F5-85F9-4C01F8AB1253}">
          <x14:formula1>
            <xm:f>'Berechnung - Hochbau'!$H$52:$H$56</xm:f>
          </x14:formula1>
          <xm:sqref>F16</xm:sqref>
        </x14:dataValidation>
        <x14:dataValidation type="list" allowBlank="1" showInputMessage="1" showErrorMessage="1" xr:uid="{C60C7AA2-BB72-4CDF-8A28-5518E6564D46}">
          <x14:formula1>
            <xm:f>'Berechnung - Hochbau'!$B$109:$B$112</xm:f>
          </x14:formula1>
          <xm:sqref>R5:S6 W5:X6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175C-2F31-492B-AA89-EA53EFEBD1B9}">
  <sheetPr>
    <tabColor rgb="FFFFC000"/>
  </sheetPr>
  <dimension ref="A1:Q156"/>
  <sheetViews>
    <sheetView topLeftCell="A91" workbookViewId="0">
      <selection activeCell="C122" sqref="C122:D122"/>
    </sheetView>
  </sheetViews>
  <sheetFormatPr baseColWidth="10" defaultColWidth="11.44140625" defaultRowHeight="14.55" x14ac:dyDescent="0.3"/>
  <cols>
    <col min="1" max="1" width="12.777343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2" width="12" style="594" bestFit="1" customWidth="1"/>
    <col min="13" max="16" width="11.5546875" style="594" bestFit="1" customWidth="1"/>
    <col min="17" max="17" width="12"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864" t="s">
        <v>311</v>
      </c>
      <c r="D4" s="865" t="s">
        <v>312</v>
      </c>
      <c r="E4" s="593"/>
      <c r="F4" s="864" t="s">
        <v>311</v>
      </c>
      <c r="G4" s="865" t="s">
        <v>312</v>
      </c>
      <c r="H4" s="593"/>
      <c r="I4" s="864" t="s">
        <v>311</v>
      </c>
      <c r="J4" s="865"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8">
        <v>2547</v>
      </c>
      <c r="G6" s="609">
        <v>2990</v>
      </c>
      <c r="H6" s="605"/>
      <c r="I6" s="608">
        <v>2990</v>
      </c>
      <c r="J6" s="609">
        <v>3405</v>
      </c>
    </row>
    <row r="7" spans="1:13" x14ac:dyDescent="0.3">
      <c r="A7" s="610">
        <v>10000</v>
      </c>
      <c r="B7" s="605"/>
      <c r="C7" s="611">
        <v>3689</v>
      </c>
      <c r="D7" s="612">
        <v>4408</v>
      </c>
      <c r="E7" s="605"/>
      <c r="F7" s="611">
        <v>4408</v>
      </c>
      <c r="G7" s="613">
        <v>5174</v>
      </c>
      <c r="H7" s="605"/>
      <c r="I7" s="611">
        <v>5174</v>
      </c>
      <c r="J7" s="613">
        <v>5893</v>
      </c>
    </row>
    <row r="8" spans="1:13" x14ac:dyDescent="0.3">
      <c r="A8" s="610">
        <v>15000</v>
      </c>
      <c r="B8" s="605"/>
      <c r="C8" s="611">
        <v>5084</v>
      </c>
      <c r="D8" s="612">
        <v>6075</v>
      </c>
      <c r="E8" s="605"/>
      <c r="F8" s="611">
        <v>6075</v>
      </c>
      <c r="G8" s="613">
        <v>7131</v>
      </c>
      <c r="H8" s="605"/>
      <c r="I8" s="611">
        <v>7131</v>
      </c>
      <c r="J8" s="613">
        <v>8122</v>
      </c>
    </row>
    <row r="9" spans="1:13" x14ac:dyDescent="0.3">
      <c r="A9" s="610">
        <v>25000</v>
      </c>
      <c r="B9" s="605"/>
      <c r="C9" s="611">
        <v>7615</v>
      </c>
      <c r="D9" s="612">
        <v>9098</v>
      </c>
      <c r="E9" s="605"/>
      <c r="F9" s="611">
        <v>9098</v>
      </c>
      <c r="G9" s="613">
        <v>10681</v>
      </c>
      <c r="H9" s="605"/>
      <c r="I9" s="611">
        <v>10681</v>
      </c>
      <c r="J9" s="613">
        <v>12164</v>
      </c>
    </row>
    <row r="10" spans="1:13" x14ac:dyDescent="0.3">
      <c r="A10" s="610">
        <v>35000</v>
      </c>
      <c r="B10" s="605"/>
      <c r="C10" s="611">
        <v>9934</v>
      </c>
      <c r="D10" s="612">
        <v>11869</v>
      </c>
      <c r="E10" s="605"/>
      <c r="F10" s="611">
        <v>11869</v>
      </c>
      <c r="G10" s="613">
        <v>13934</v>
      </c>
      <c r="H10" s="605"/>
      <c r="I10" s="611">
        <v>13934</v>
      </c>
      <c r="J10" s="613">
        <v>15869</v>
      </c>
    </row>
    <row r="11" spans="1:13" x14ac:dyDescent="0.3">
      <c r="A11" s="610">
        <v>50000</v>
      </c>
      <c r="B11" s="605"/>
      <c r="C11" s="611">
        <v>13165</v>
      </c>
      <c r="D11" s="612">
        <v>15729</v>
      </c>
      <c r="E11" s="605"/>
      <c r="F11" s="611">
        <v>15729</v>
      </c>
      <c r="G11" s="613">
        <v>18465</v>
      </c>
      <c r="H11" s="605"/>
      <c r="I11" s="611">
        <v>18465</v>
      </c>
      <c r="J11" s="613">
        <v>21029</v>
      </c>
    </row>
    <row r="12" spans="1:13" x14ac:dyDescent="0.3">
      <c r="A12" s="610">
        <v>75000</v>
      </c>
      <c r="B12" s="605"/>
      <c r="C12" s="611">
        <v>18122</v>
      </c>
      <c r="D12" s="612">
        <v>21652</v>
      </c>
      <c r="E12" s="605"/>
      <c r="F12" s="611">
        <v>21652</v>
      </c>
      <c r="G12" s="613">
        <v>25418</v>
      </c>
      <c r="H12" s="605"/>
      <c r="I12" s="611">
        <v>25418</v>
      </c>
      <c r="J12" s="613">
        <v>28948</v>
      </c>
    </row>
    <row r="13" spans="1:13" x14ac:dyDescent="0.3">
      <c r="A13" s="610">
        <v>100000</v>
      </c>
      <c r="B13" s="605"/>
      <c r="C13" s="611">
        <v>22723</v>
      </c>
      <c r="D13" s="612">
        <v>27150</v>
      </c>
      <c r="E13" s="605"/>
      <c r="F13" s="611">
        <v>27150</v>
      </c>
      <c r="G13" s="613">
        <v>31872</v>
      </c>
      <c r="H13" s="605"/>
      <c r="I13" s="611">
        <v>31872</v>
      </c>
      <c r="J13" s="613">
        <v>36299</v>
      </c>
    </row>
    <row r="14" spans="1:13" x14ac:dyDescent="0.3">
      <c r="A14" s="610">
        <v>150000</v>
      </c>
      <c r="B14" s="605"/>
      <c r="C14" s="611">
        <v>31228</v>
      </c>
      <c r="D14" s="612">
        <v>37311</v>
      </c>
      <c r="E14" s="605"/>
      <c r="F14" s="611">
        <v>37311</v>
      </c>
      <c r="G14" s="613">
        <v>43800</v>
      </c>
      <c r="H14" s="605"/>
      <c r="I14" s="611">
        <v>43800</v>
      </c>
      <c r="J14" s="613">
        <v>49883</v>
      </c>
    </row>
    <row r="15" spans="1:13" x14ac:dyDescent="0.3">
      <c r="A15" s="610">
        <v>250000</v>
      </c>
      <c r="B15" s="605"/>
      <c r="C15" s="611">
        <v>46640</v>
      </c>
      <c r="D15" s="612">
        <v>55726</v>
      </c>
      <c r="E15" s="605"/>
      <c r="F15" s="611">
        <v>55726</v>
      </c>
      <c r="G15" s="613">
        <v>65418</v>
      </c>
      <c r="H15" s="605"/>
      <c r="I15" s="611">
        <v>65418</v>
      </c>
      <c r="J15" s="613">
        <v>74504</v>
      </c>
    </row>
    <row r="16" spans="1:13" x14ac:dyDescent="0.3">
      <c r="A16" s="610">
        <v>500000</v>
      </c>
      <c r="B16" s="605"/>
      <c r="C16" s="611">
        <v>80684</v>
      </c>
      <c r="D16" s="612">
        <v>96402</v>
      </c>
      <c r="E16" s="605"/>
      <c r="F16" s="611">
        <v>96402</v>
      </c>
      <c r="G16" s="613">
        <v>113168</v>
      </c>
      <c r="H16" s="605"/>
      <c r="I16" s="611">
        <v>113168</v>
      </c>
      <c r="J16" s="613">
        <v>128886</v>
      </c>
    </row>
    <row r="17" spans="1:10" x14ac:dyDescent="0.3">
      <c r="A17" s="610">
        <v>750000</v>
      </c>
      <c r="B17" s="605"/>
      <c r="C17" s="611">
        <v>111105</v>
      </c>
      <c r="D17" s="612">
        <v>132749</v>
      </c>
      <c r="E17" s="605"/>
      <c r="F17" s="611">
        <v>132749</v>
      </c>
      <c r="G17" s="613">
        <v>155836</v>
      </c>
      <c r="H17" s="605"/>
      <c r="I17" s="611">
        <v>155836</v>
      </c>
      <c r="J17" s="613">
        <v>177480</v>
      </c>
    </row>
    <row r="18" spans="1:10" x14ac:dyDescent="0.3">
      <c r="A18" s="610">
        <v>1000000</v>
      </c>
      <c r="B18" s="605"/>
      <c r="C18" s="611">
        <v>139347</v>
      </c>
      <c r="D18" s="612">
        <v>166493</v>
      </c>
      <c r="E18" s="605"/>
      <c r="F18" s="611">
        <v>166493</v>
      </c>
      <c r="G18" s="613">
        <v>195448</v>
      </c>
      <c r="H18" s="605"/>
      <c r="I18" s="611">
        <v>195448</v>
      </c>
      <c r="J18" s="613">
        <v>222594</v>
      </c>
    </row>
    <row r="19" spans="1:10" x14ac:dyDescent="0.3">
      <c r="A19" s="610">
        <v>1250000</v>
      </c>
      <c r="B19" s="605"/>
      <c r="C19" s="611">
        <v>166043</v>
      </c>
      <c r="D19" s="612">
        <v>198389</v>
      </c>
      <c r="E19" s="605"/>
      <c r="F19" s="611">
        <v>198389</v>
      </c>
      <c r="G19" s="613">
        <v>232891</v>
      </c>
      <c r="H19" s="605"/>
      <c r="I19" s="611">
        <v>232891</v>
      </c>
      <c r="J19" s="613">
        <v>265237</v>
      </c>
    </row>
    <row r="20" spans="1:10" x14ac:dyDescent="0.3">
      <c r="A20" s="610">
        <v>1500000</v>
      </c>
      <c r="B20" s="605"/>
      <c r="C20" s="611">
        <v>191545</v>
      </c>
      <c r="D20" s="612">
        <v>228859</v>
      </c>
      <c r="E20" s="605"/>
      <c r="F20" s="611">
        <v>228859</v>
      </c>
      <c r="G20" s="613">
        <v>268660</v>
      </c>
      <c r="H20" s="605"/>
      <c r="I20" s="611">
        <v>268660</v>
      </c>
      <c r="J20" s="613">
        <v>305974</v>
      </c>
    </row>
    <row r="21" spans="1:10" x14ac:dyDescent="0.3">
      <c r="A21" s="610">
        <v>2000000</v>
      </c>
      <c r="B21" s="605"/>
      <c r="C21" s="611">
        <v>239792</v>
      </c>
      <c r="D21" s="612">
        <v>286504</v>
      </c>
      <c r="E21" s="605"/>
      <c r="F21" s="611">
        <v>286504</v>
      </c>
      <c r="G21" s="613">
        <v>336331</v>
      </c>
      <c r="H21" s="605"/>
      <c r="I21" s="611">
        <v>336331</v>
      </c>
      <c r="J21" s="613">
        <v>383044</v>
      </c>
    </row>
    <row r="22" spans="1:10" x14ac:dyDescent="0.3">
      <c r="A22" s="610">
        <v>2500000</v>
      </c>
      <c r="B22" s="605"/>
      <c r="C22" s="611">
        <v>285649</v>
      </c>
      <c r="D22" s="612">
        <v>341295</v>
      </c>
      <c r="E22" s="605"/>
      <c r="F22" s="611">
        <v>341295</v>
      </c>
      <c r="G22" s="613">
        <v>400650</v>
      </c>
      <c r="H22" s="605"/>
      <c r="I22" s="611">
        <v>400650</v>
      </c>
      <c r="J22" s="613">
        <v>456296</v>
      </c>
    </row>
    <row r="23" spans="1:10" x14ac:dyDescent="0.3">
      <c r="A23" s="610">
        <v>3000000</v>
      </c>
      <c r="B23" s="605"/>
      <c r="C23" s="611">
        <v>329420</v>
      </c>
      <c r="D23" s="612">
        <v>393593</v>
      </c>
      <c r="E23" s="605"/>
      <c r="F23" s="611">
        <v>393593</v>
      </c>
      <c r="G23" s="613">
        <v>462044</v>
      </c>
      <c r="H23" s="605"/>
      <c r="I23" s="611">
        <v>462044</v>
      </c>
      <c r="J23" s="613">
        <v>526217</v>
      </c>
    </row>
    <row r="24" spans="1:10" x14ac:dyDescent="0.3">
      <c r="A24" s="610">
        <v>3500000</v>
      </c>
      <c r="B24" s="605"/>
      <c r="C24" s="611">
        <v>371491</v>
      </c>
      <c r="D24" s="612">
        <v>443859</v>
      </c>
      <c r="E24" s="605"/>
      <c r="F24" s="611">
        <v>443859</v>
      </c>
      <c r="G24" s="613">
        <v>521052</v>
      </c>
      <c r="H24" s="605"/>
      <c r="I24" s="611">
        <v>521052</v>
      </c>
      <c r="J24" s="613">
        <v>593420</v>
      </c>
    </row>
    <row r="25" spans="1:10" ht="15.2" thickBot="1" x14ac:dyDescent="0.35">
      <c r="A25" s="610">
        <v>4000000</v>
      </c>
      <c r="B25" s="614"/>
      <c r="C25" s="611">
        <v>412126</v>
      </c>
      <c r="D25" s="612">
        <v>492410</v>
      </c>
      <c r="E25" s="615"/>
      <c r="F25" s="611">
        <v>492410</v>
      </c>
      <c r="G25" s="612">
        <v>578046</v>
      </c>
      <c r="H25" s="605"/>
      <c r="I25" s="611">
        <v>578046</v>
      </c>
      <c r="J25" s="612">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960</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'Technische Ausrüstung'!H8</f>
        <v>0</v>
      </c>
      <c r="H62" s="1648"/>
      <c r="I62" s="1647">
        <f>'Technische Ausrüstung'!L8</f>
        <v>0</v>
      </c>
      <c r="J62" s="1648"/>
      <c r="K62" s="1647">
        <f>'Technische Ausrüstung'!P8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'Technische Ausrüstung'!F15</f>
        <v>1</v>
      </c>
      <c r="H64" s="1463"/>
      <c r="J64" s="1643"/>
      <c r="K64" s="1643"/>
      <c r="L64" s="642"/>
      <c r="M64" s="645"/>
      <c r="N64" s="626"/>
      <c r="O64" s="626"/>
      <c r="P64" s="626"/>
      <c r="Q64" s="627"/>
    </row>
    <row r="65" spans="1:17" x14ac:dyDescent="0.3">
      <c r="A65" s="629"/>
      <c r="B65" s="1422" t="s">
        <v>317</v>
      </c>
      <c r="C65" s="1423"/>
      <c r="D65" s="1423"/>
      <c r="E65" s="1424"/>
      <c r="F65" s="644"/>
      <c r="G65" s="1462" t="str">
        <f>'Technische Ausrüstung'!F16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649"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651"/>
      <c r="F71" s="603"/>
      <c r="G71" s="863" t="s">
        <v>135</v>
      </c>
      <c r="H71" s="866" t="s">
        <v>321</v>
      </c>
      <c r="I71" s="863" t="s">
        <v>135</v>
      </c>
      <c r="J71" s="866" t="s">
        <v>321</v>
      </c>
      <c r="K71" s="863" t="s">
        <v>135</v>
      </c>
      <c r="L71" s="866" t="s">
        <v>321</v>
      </c>
      <c r="M71" s="651"/>
      <c r="N71" s="627"/>
      <c r="O71" s="627"/>
      <c r="P71" s="627"/>
      <c r="Q71" s="627"/>
    </row>
    <row r="72" spans="1:17" x14ac:dyDescent="0.3">
      <c r="A72" s="629"/>
      <c r="B72" s="709"/>
      <c r="C72" s="709"/>
      <c r="D72" s="1398"/>
      <c r="E72" s="597">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597">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597">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652"/>
      <c r="E75" s="603"/>
      <c r="F75" s="603"/>
      <c r="G75" s="653"/>
      <c r="H75" s="651"/>
      <c r="I75" s="641"/>
      <c r="J75" s="641"/>
      <c r="K75" s="641"/>
      <c r="L75" s="654"/>
      <c r="M75" s="641"/>
      <c r="N75" s="627"/>
      <c r="O75" s="627"/>
      <c r="P75" s="627"/>
      <c r="Q75" s="627"/>
    </row>
    <row r="76" spans="1:17" x14ac:dyDescent="0.3">
      <c r="A76" s="629"/>
      <c r="B76" s="708"/>
      <c r="C76" s="709"/>
      <c r="D76" s="1397" t="s">
        <v>925</v>
      </c>
      <c r="E76" s="1649" t="s">
        <v>316</v>
      </c>
      <c r="F76" s="603"/>
      <c r="G76" s="647" t="s">
        <v>328</v>
      </c>
      <c r="H76" s="648">
        <f>IF(G62&lt;$A$6,0,IF(G62&gt;$A$44,0,INDEX($A$6:$A$44,MATCH(G62,$A$6:$A$44,1)+1,1)))</f>
        <v>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651"/>
      <c r="F77" s="603"/>
      <c r="G77" s="863" t="s">
        <v>135</v>
      </c>
      <c r="H77" s="866" t="s">
        <v>321</v>
      </c>
      <c r="I77" s="863" t="s">
        <v>135</v>
      </c>
      <c r="J77" s="866" t="s">
        <v>321</v>
      </c>
      <c r="K77" s="863" t="s">
        <v>135</v>
      </c>
      <c r="L77" s="866" t="s">
        <v>321</v>
      </c>
      <c r="M77" s="651"/>
      <c r="N77" s="627"/>
      <c r="O77" s="627"/>
      <c r="P77" s="627"/>
      <c r="Q77" s="627"/>
    </row>
    <row r="78" spans="1:17" x14ac:dyDescent="0.3">
      <c r="A78" s="629"/>
      <c r="B78" s="709"/>
      <c r="C78" s="709"/>
      <c r="D78" s="1398"/>
      <c r="E78" s="597">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597">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597">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863" t="s">
        <v>135</v>
      </c>
      <c r="H84" s="866" t="s">
        <v>321</v>
      </c>
      <c r="I84" s="863" t="s">
        <v>135</v>
      </c>
      <c r="J84" s="866" t="s">
        <v>321</v>
      </c>
      <c r="K84" s="863" t="s">
        <v>135</v>
      </c>
      <c r="L84" s="866" t="s">
        <v>321</v>
      </c>
      <c r="M84" s="651"/>
      <c r="N84" s="627"/>
      <c r="O84" s="627"/>
      <c r="P84" s="627"/>
      <c r="Q84" s="627"/>
    </row>
    <row r="85" spans="1:17" x14ac:dyDescent="0.3">
      <c r="A85" s="629"/>
      <c r="B85" s="1416" t="s">
        <v>327</v>
      </c>
      <c r="C85" s="1416"/>
      <c r="D85" s="1416"/>
      <c r="E85" s="1416"/>
      <c r="F85" s="603"/>
      <c r="G85" s="867">
        <f>VLOOKUP(G64,E72:H74,3)</f>
        <v>0</v>
      </c>
      <c r="H85" s="867">
        <f>VLOOKUP(G64,E72:H74,4)</f>
        <v>0</v>
      </c>
      <c r="I85" s="867">
        <f>VLOOKUP(G64,E72:J74,5)</f>
        <v>0</v>
      </c>
      <c r="J85" s="867">
        <f>VLOOKUP(G64,E72:J74,6)</f>
        <v>0</v>
      </c>
      <c r="K85" s="867">
        <f>VLOOKUP(G64,E72:K74,7)</f>
        <v>0</v>
      </c>
      <c r="L85" s="867">
        <f>VLOOKUP(G64,E72:L74,8)</f>
        <v>0</v>
      </c>
      <c r="M85" s="656"/>
      <c r="N85" s="627"/>
      <c r="O85" s="627"/>
      <c r="P85" s="627"/>
      <c r="Q85" s="627"/>
    </row>
    <row r="86" spans="1:17" x14ac:dyDescent="0.3">
      <c r="A86" s="629"/>
      <c r="B86" s="1416" t="s">
        <v>329</v>
      </c>
      <c r="C86" s="1416"/>
      <c r="D86" s="1416"/>
      <c r="E86" s="1416"/>
      <c r="F86" s="603"/>
      <c r="G86" s="867">
        <f>VLOOKUP(G64,E78:H80,3)</f>
        <v>0</v>
      </c>
      <c r="H86" s="867">
        <f>VLOOKUP(G64,E78:H80,4)</f>
        <v>0</v>
      </c>
      <c r="I86" s="867">
        <f>VLOOKUP(G64,E78:J80,5)</f>
        <v>0</v>
      </c>
      <c r="J86" s="867">
        <f>VLOOKUP(G64,E78:J80,6)</f>
        <v>0</v>
      </c>
      <c r="K86" s="867">
        <f>VLOOKUP(G64,E78:K80,7)</f>
        <v>0</v>
      </c>
      <c r="L86" s="867">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868">
        <f>G64</f>
        <v>1</v>
      </c>
      <c r="I88" s="657">
        <f>I62-J70</f>
        <v>0</v>
      </c>
      <c r="J88" s="868">
        <f>G64</f>
        <v>1</v>
      </c>
      <c r="K88" s="657">
        <f>K62-L70</f>
        <v>0</v>
      </c>
      <c r="L88" s="868">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863" t="s">
        <v>135</v>
      </c>
      <c r="H92" s="866" t="s">
        <v>321</v>
      </c>
      <c r="I92" s="863" t="s">
        <v>135</v>
      </c>
      <c r="J92" s="866" t="s">
        <v>321</v>
      </c>
      <c r="K92" s="863" t="s">
        <v>135</v>
      </c>
      <c r="L92" s="866" t="s">
        <v>321</v>
      </c>
      <c r="M92" s="651"/>
    </row>
    <row r="93" spans="1:17" x14ac:dyDescent="0.3">
      <c r="A93" s="629"/>
      <c r="B93" s="1416" t="s">
        <v>334</v>
      </c>
      <c r="C93" s="1416"/>
      <c r="D93" s="1416"/>
      <c r="E93" s="1416"/>
      <c r="F93" s="660"/>
      <c r="G93" s="867">
        <f t="shared" ref="G93:L93" si="3">G85</f>
        <v>0</v>
      </c>
      <c r="H93" s="867">
        <f t="shared" si="3"/>
        <v>0</v>
      </c>
      <c r="I93" s="867">
        <f t="shared" si="3"/>
        <v>0</v>
      </c>
      <c r="J93" s="867">
        <f t="shared" si="3"/>
        <v>0</v>
      </c>
      <c r="K93" s="867">
        <f t="shared" si="3"/>
        <v>0</v>
      </c>
      <c r="L93" s="867">
        <f t="shared" si="3"/>
        <v>0</v>
      </c>
      <c r="M93" s="656"/>
    </row>
    <row r="94" spans="1:17" x14ac:dyDescent="0.3">
      <c r="A94" s="629"/>
      <c r="B94" s="1416" t="s">
        <v>335</v>
      </c>
      <c r="C94" s="1416"/>
      <c r="D94" s="1416"/>
      <c r="E94" s="1416"/>
      <c r="F94" s="660"/>
      <c r="G94" s="867">
        <f>G88</f>
        <v>0</v>
      </c>
      <c r="H94" s="867">
        <f>G88</f>
        <v>0</v>
      </c>
      <c r="I94" s="867">
        <f>I88</f>
        <v>0</v>
      </c>
      <c r="J94" s="867">
        <f>I88</f>
        <v>0</v>
      </c>
      <c r="K94" s="867">
        <f>K88</f>
        <v>0</v>
      </c>
      <c r="L94" s="867">
        <f>K88</f>
        <v>0</v>
      </c>
      <c r="M94" s="656"/>
    </row>
    <row r="95" spans="1:17" x14ac:dyDescent="0.3">
      <c r="A95" s="629"/>
      <c r="B95" s="1416" t="s">
        <v>336</v>
      </c>
      <c r="C95" s="1416"/>
      <c r="D95" s="1416"/>
      <c r="E95" s="1416"/>
      <c r="F95" s="660"/>
      <c r="G95" s="867">
        <f t="shared" ref="G95:L95" si="4">G87</f>
        <v>0</v>
      </c>
      <c r="H95" s="867">
        <f t="shared" si="4"/>
        <v>0</v>
      </c>
      <c r="I95" s="867">
        <f t="shared" si="4"/>
        <v>0</v>
      </c>
      <c r="J95" s="867">
        <f t="shared" si="4"/>
        <v>0</v>
      </c>
      <c r="K95" s="867">
        <f t="shared" si="4"/>
        <v>0</v>
      </c>
      <c r="L95" s="867">
        <f t="shared" si="4"/>
        <v>0</v>
      </c>
      <c r="M95" s="656"/>
    </row>
    <row r="96" spans="1:17" x14ac:dyDescent="0.3">
      <c r="A96" s="629"/>
      <c r="B96" s="1416" t="s">
        <v>337</v>
      </c>
      <c r="C96" s="1416"/>
      <c r="D96" s="1416"/>
      <c r="E96" s="1416"/>
      <c r="F96" s="660"/>
      <c r="G96" s="867">
        <f>H76-H70</f>
        <v>0</v>
      </c>
      <c r="H96" s="867">
        <f>H76-H70</f>
        <v>0</v>
      </c>
      <c r="I96" s="867">
        <f>J76-J70</f>
        <v>0</v>
      </c>
      <c r="J96" s="867">
        <f>J76-J70</f>
        <v>0</v>
      </c>
      <c r="K96" s="867">
        <f>L76-L70</f>
        <v>0</v>
      </c>
      <c r="L96" s="867">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0</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IF('Technische Ausrüstung'!$T39="ja",'Technische Ausrüstung'!J39,0)</f>
        <v>0</v>
      </c>
      <c r="D109" s="1639"/>
      <c r="E109" s="1669">
        <f>IF('Technische Ausrüstung'!T39="ja",'Technische Ausrüstung'!L54,0)</f>
        <v>0</v>
      </c>
      <c r="F109" s="1639"/>
      <c r="G109" s="681">
        <f>C109*1.1+E109</f>
        <v>0</v>
      </c>
    </row>
    <row r="110" spans="1:13" x14ac:dyDescent="0.3">
      <c r="B110" s="682">
        <v>2</v>
      </c>
      <c r="C110" s="1408">
        <f>IF('Technische Ausrüstung'!$T55="ja",'Technische Ausrüstung'!J55,0)</f>
        <v>0</v>
      </c>
      <c r="D110" s="1409"/>
      <c r="E110" s="1670">
        <f>IF('Technische Ausrüstung'!T55="ja",'Technische Ausrüstung'!L78,0)</f>
        <v>0</v>
      </c>
      <c r="F110" s="1409"/>
      <c r="G110" s="681">
        <f t="shared" ref="G110:G122" si="5">C110*1.1+E110</f>
        <v>0</v>
      </c>
    </row>
    <row r="111" spans="1:13" x14ac:dyDescent="0.3">
      <c r="B111" s="682">
        <v>3</v>
      </c>
      <c r="C111" s="1408">
        <f>IF('Technische Ausrüstung'!$T82="ja",'Technische Ausrüstung'!J82,0)</f>
        <v>0</v>
      </c>
      <c r="D111" s="1409"/>
      <c r="E111" s="1670">
        <f>IF('Technische Ausrüstung'!T82="ja",'Technische Ausrüstung'!L115,0)</f>
        <v>0</v>
      </c>
      <c r="F111" s="1409"/>
      <c r="G111" s="681">
        <f t="shared" si="5"/>
        <v>0</v>
      </c>
    </row>
    <row r="112" spans="1:13" x14ac:dyDescent="0.3">
      <c r="B112" s="682">
        <v>4</v>
      </c>
      <c r="C112" s="1408">
        <f>IF('Technische Ausrüstung'!$T119="ja",'Technische Ausrüstung'!J119,0)</f>
        <v>0</v>
      </c>
      <c r="D112" s="1409"/>
      <c r="E112" s="1670">
        <f>IF('Technische Ausrüstung'!T119="ja",'Technische Ausrüstung'!L127,0)</f>
        <v>0</v>
      </c>
      <c r="F112" s="1409"/>
      <c r="G112" s="681">
        <f t="shared" si="5"/>
        <v>0</v>
      </c>
    </row>
    <row r="113" spans="2:7" x14ac:dyDescent="0.3">
      <c r="B113" s="682" t="s">
        <v>351</v>
      </c>
      <c r="C113" s="1408">
        <f>IF('Technische Ausrüstung'!$T128="ja",'Technische Ausrüstung'!J128,0)</f>
        <v>0</v>
      </c>
      <c r="D113" s="1409"/>
      <c r="E113" s="1670">
        <f>IF('Technische Ausrüstung'!T128="ja",'Technische Ausrüstung'!R128+'Technische Ausrüstung'!R131,0)</f>
        <v>0</v>
      </c>
      <c r="F113" s="1409"/>
      <c r="G113" s="681">
        <f t="shared" si="5"/>
        <v>0</v>
      </c>
    </row>
    <row r="114" spans="2:7" x14ac:dyDescent="0.3">
      <c r="B114" s="682" t="s">
        <v>352</v>
      </c>
      <c r="C114" s="1408">
        <f>IF('Technische Ausrüstung'!$T133="ja",'Technische Ausrüstung'!J133,0)</f>
        <v>0</v>
      </c>
      <c r="D114" s="1409"/>
      <c r="E114" s="1670">
        <f>IF('Technische Ausrüstung'!T133="ja",'Technische Ausrüstung'!R133+'Technische Ausrüstung'!R136+'Technische Ausrüstung'!R139+'Technische Ausrüstung'!R142,0)</f>
        <v>0</v>
      </c>
      <c r="F114" s="1409"/>
      <c r="G114" s="681">
        <f t="shared" si="5"/>
        <v>0</v>
      </c>
    </row>
    <row r="115" spans="2:7" x14ac:dyDescent="0.3">
      <c r="B115" s="682" t="s">
        <v>353</v>
      </c>
      <c r="C115" s="1408">
        <f>IF('Technische Ausrüstung'!$T143="ja",'Technische Ausrüstung'!J143,0)</f>
        <v>0</v>
      </c>
      <c r="D115" s="1409"/>
      <c r="E115" s="1670">
        <f>IF('Technische Ausrüstung'!T143="ja",'Technische Ausrüstung'!R143,0)</f>
        <v>0</v>
      </c>
      <c r="F115" s="1409"/>
      <c r="G115" s="681">
        <f t="shared" si="5"/>
        <v>0</v>
      </c>
    </row>
    <row r="116" spans="2:7" x14ac:dyDescent="0.3">
      <c r="B116" s="682" t="s">
        <v>354</v>
      </c>
      <c r="C116" s="1408">
        <f>IF('Technische Ausrüstung'!$T144="ja",'Technische Ausrüstung'!J144,0)</f>
        <v>0</v>
      </c>
      <c r="D116" s="1409"/>
      <c r="E116" s="1670">
        <f>IF('Technische Ausrüstung'!T144="ja",'Technische Ausrüstung'!R144,0)</f>
        <v>0</v>
      </c>
      <c r="F116" s="1409"/>
      <c r="G116" s="681">
        <f t="shared" si="5"/>
        <v>0</v>
      </c>
    </row>
    <row r="117" spans="2:7" x14ac:dyDescent="0.3">
      <c r="B117" s="682" t="s">
        <v>355</v>
      </c>
      <c r="C117" s="1408">
        <f>IF('Technische Ausrüstung'!$T145="ja",'Technische Ausrüstung'!J145,0)</f>
        <v>0</v>
      </c>
      <c r="D117" s="1409"/>
      <c r="E117" s="1670">
        <f>IF('Technische Ausrüstung'!T145="ja",'Technische Ausrüstung'!R145+'Technische Ausrüstung'!R148,0)</f>
        <v>0</v>
      </c>
      <c r="F117" s="1409"/>
      <c r="G117" s="681">
        <f t="shared" si="5"/>
        <v>0</v>
      </c>
    </row>
    <row r="118" spans="2:7" x14ac:dyDescent="0.3">
      <c r="B118" s="682" t="s">
        <v>356</v>
      </c>
      <c r="C118" s="1408">
        <f>IF('Technische Ausrüstung'!$T150="ja",'Technische Ausrüstung'!J150,0)</f>
        <v>0</v>
      </c>
      <c r="D118" s="1409"/>
      <c r="E118" s="1670">
        <f>IF('Technische Ausrüstung'!T150="ja",'Technische Ausrüstung'!R150,0)</f>
        <v>0</v>
      </c>
      <c r="F118" s="1409"/>
      <c r="G118" s="681">
        <f t="shared" si="5"/>
        <v>0</v>
      </c>
    </row>
    <row r="119" spans="2:7" x14ac:dyDescent="0.3">
      <c r="B119" s="683">
        <v>6</v>
      </c>
      <c r="C119" s="1408">
        <f>IF('Technische Ausrüstung'!$T154="ja",'Technische Ausrüstung'!J154,0)</f>
        <v>0</v>
      </c>
      <c r="D119" s="1409"/>
      <c r="E119" s="1670">
        <f>IF('Technische Ausrüstung'!T154="ja",'Technische Ausrüstung'!L178,0)</f>
        <v>0</v>
      </c>
      <c r="F119" s="1409"/>
      <c r="G119" s="681">
        <f t="shared" si="5"/>
        <v>0</v>
      </c>
    </row>
    <row r="120" spans="2:7" x14ac:dyDescent="0.3">
      <c r="B120" s="683">
        <v>7</v>
      </c>
      <c r="C120" s="1408">
        <f>IF('Technische Ausrüstung'!$T179="ja",'Technische Ausrüstung'!J179,0)</f>
        <v>0</v>
      </c>
      <c r="D120" s="1409"/>
      <c r="E120" s="1670">
        <f>IF('Technische Ausrüstung'!T179="ja",'Technische Ausrüstung'!L193,0)</f>
        <v>0</v>
      </c>
      <c r="F120" s="1409"/>
      <c r="G120" s="681">
        <f t="shared" si="5"/>
        <v>0</v>
      </c>
    </row>
    <row r="121" spans="2:7" x14ac:dyDescent="0.3">
      <c r="B121" s="683">
        <v>8</v>
      </c>
      <c r="C121" s="1408">
        <f>IF('Technische Ausrüstung'!$T194="ja",'Technische Ausrüstung'!J194,0)</f>
        <v>0</v>
      </c>
      <c r="D121" s="1409"/>
      <c r="E121" s="1670">
        <f>IF('Technische Ausrüstung'!T194="ja",'Technische Ausrüstung'!L235,0)</f>
        <v>0</v>
      </c>
      <c r="F121" s="1409"/>
      <c r="G121" s="681">
        <f t="shared" si="5"/>
        <v>0</v>
      </c>
    </row>
    <row r="122" spans="2:7" ht="15.2" thickBot="1" x14ac:dyDescent="0.35">
      <c r="B122" s="684">
        <v>9</v>
      </c>
      <c r="C122" s="1674">
        <f>IF('Technische Ausrüstung'!$T236="ja",'Technische Ausrüstung'!J236,0)</f>
        <v>0</v>
      </c>
      <c r="D122" s="1675"/>
      <c r="E122" s="1676">
        <f>IF('Technische Ausrüstung'!T236="ja",'Technische Ausrüstung'!L245,0)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C123*'Technische Ausrüstung'!F23+C123</f>
        <v>0</v>
      </c>
      <c r="D125" s="1658"/>
      <c r="E125" s="1657">
        <f>'Technische Ausrüstung'!R245</f>
        <v>0</v>
      </c>
      <c r="F125" s="1658"/>
    </row>
    <row r="128" spans="2:7" x14ac:dyDescent="0.3">
      <c r="B128" s="594" t="s">
        <v>463</v>
      </c>
      <c r="D128" s="687">
        <f>Überblick!G98</f>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742" t="s">
        <v>105</v>
      </c>
      <c r="C134" s="765" t="s">
        <v>285</v>
      </c>
      <c r="D134" s="766" t="s">
        <v>286</v>
      </c>
      <c r="E134" s="766" t="s">
        <v>287</v>
      </c>
      <c r="F134" s="766" t="s">
        <v>288</v>
      </c>
      <c r="G134" s="766" t="s">
        <v>289</v>
      </c>
      <c r="H134" s="766" t="s">
        <v>290</v>
      </c>
      <c r="I134" s="766" t="s">
        <v>291</v>
      </c>
      <c r="J134" s="766" t="s">
        <v>292</v>
      </c>
      <c r="K134" s="766" t="s">
        <v>293</v>
      </c>
      <c r="L134" s="766" t="s">
        <v>294</v>
      </c>
      <c r="M134" s="766" t="s">
        <v>295</v>
      </c>
      <c r="N134" s="766" t="s">
        <v>296</v>
      </c>
      <c r="O134" s="766" t="s">
        <v>297</v>
      </c>
      <c r="P134" s="766" t="s">
        <v>359</v>
      </c>
      <c r="Q134" s="767" t="s">
        <v>360</v>
      </c>
    </row>
    <row r="135" spans="2:17" x14ac:dyDescent="0.3">
      <c r="B135" s="777">
        <f>IF(Überblick!$H$53&gt;=1,1,"")</f>
        <v>1</v>
      </c>
      <c r="C135" s="694">
        <f>IF($B135='Technische Ausrüstung'!$U$39,'Technische Ausrüstung'!$J$39*'Technische Ausrüstung'!$F$23+'Technische Ausrüstung'!$J$39+'Technische Ausrüstung'!$L$54,0)</f>
        <v>0</v>
      </c>
      <c r="D135" s="694">
        <f>IF($B135='Technische Ausrüstung'!$U$55,'Technische Ausrüstung'!$J$55*'Technische Ausrüstung'!$F$23+'Technische Ausrüstung'!$J$55+'Technische Ausrüstung'!$L$78,0)</f>
        <v>0</v>
      </c>
      <c r="E135" s="694">
        <f>IF($B135='Technische Ausrüstung'!$U$82,'Technische Ausrüstung'!$J$82*'Technische Ausrüstung'!$F$23+'Technische Ausrüstung'!$J$82+'Technische Ausrüstung'!$L$115,0)</f>
        <v>0</v>
      </c>
      <c r="F135" s="694">
        <f>IF($B135='Technische Ausrüstung'!$U$119,'Technische Ausrüstung'!$J$119*'Technische Ausrüstung'!$F$23+'Technische Ausrüstung'!$J$119+'Technische Ausrüstung'!$L$127,0)</f>
        <v>0</v>
      </c>
      <c r="G135" s="694">
        <f>IF($B135='Technische Ausrüstung'!$U$128,'Technische Ausrüstung'!$J$128*'Technische Ausrüstung'!$F$23+'Technische Ausrüstung'!$J$128+'Technische Ausrüstung'!$R$128+'Technische Ausrüstung'!$R$131,0)</f>
        <v>0</v>
      </c>
      <c r="H135" s="694">
        <f>IF($B135='Technische Ausrüstung'!$U$133,'Technische Ausrüstung'!$J$133*'Technische Ausrüstung'!$F$23+'Technische Ausrüstung'!$J$133+'Technische Ausrüstung'!$R$133+'Technische Ausrüstung'!$R$136+'Technische Ausrüstung'!$R$139+'Technische Ausrüstung'!$R$142,0)</f>
        <v>0</v>
      </c>
      <c r="I135" s="694">
        <f>IF($B135='Technische Ausrüstung'!$U$143,'Technische Ausrüstung'!$J$143*'Technische Ausrüstung'!$F$23+'Technische Ausrüstung'!$J$143+'Technische Ausrüstung'!$R$143,0)</f>
        <v>0</v>
      </c>
      <c r="J135" s="694">
        <f>IF($B135='Technische Ausrüstung'!$U$144,'Technische Ausrüstung'!$J$144*'Technische Ausrüstung'!$F$23+'Technische Ausrüstung'!$J$144+'Technische Ausrüstung'!$R$144,0)</f>
        <v>0</v>
      </c>
      <c r="K135" s="694">
        <f>IF($B135='Technische Ausrüstung'!$U$145,'Technische Ausrüstung'!$J$145*'Technische Ausrüstung'!$F$23+'Technische Ausrüstung'!$J$145+'Technische Ausrüstung'!$R$145+'Technische Ausrüstung'!$R$148,0)</f>
        <v>0</v>
      </c>
      <c r="L135" s="694">
        <f>IF($B135='Technische Ausrüstung'!$U$150,'Technische Ausrüstung'!$J$150*'Technische Ausrüstung'!$F$23+'Technische Ausrüstung'!$J$150+'Technische Ausrüstung'!$R$150,0)</f>
        <v>0</v>
      </c>
      <c r="M135" s="694">
        <f>IF($B135='Technische Ausrüstung'!$U$154,'Technische Ausrüstung'!$J$154*'Technische Ausrüstung'!$F$23+'Technische Ausrüstung'!$J$154+'Technische Ausrüstung'!$L$178,0)</f>
        <v>0</v>
      </c>
      <c r="N135" s="694">
        <f>IF($B135='Technische Ausrüstung'!$U$179,'Technische Ausrüstung'!$J$179*'Technische Ausrüstung'!$F$23+'Technische Ausrüstung'!$J$179+'Technische Ausrüstung'!$L$193,0)</f>
        <v>0</v>
      </c>
      <c r="O135" s="694">
        <f>IF($B135='Technische Ausrüstung'!$U$194,'Technische Ausrüstung'!$J$194*'Technische Ausrüstung'!$F$23+'Technische Ausrüstung'!$J$194+'Technische Ausrüstung'!$L$235,0)</f>
        <v>0</v>
      </c>
      <c r="P135" s="694">
        <f>IF($B135='Technische Ausrüstung'!$U$236,'Technische Ausrüstung'!$J$236*'Technische Ausrüstung'!$F$23+'Technische Ausrüstung'!$J$236+'Technische Ausrüstung'!$L$245,0)</f>
        <v>0</v>
      </c>
      <c r="Q135" s="695">
        <f>SUM(C135:P135)</f>
        <v>0</v>
      </c>
    </row>
    <row r="136" spans="2:17" x14ac:dyDescent="0.3">
      <c r="B136" s="775">
        <f>IF(Überblick!$H$53&gt;=2,2,"")</f>
        <v>2</v>
      </c>
      <c r="C136" s="698">
        <f>IF($B136='Technische Ausrüstung'!$U$39,'Technische Ausrüstung'!$J$39*'Technische Ausrüstung'!$F$23+'Technische Ausrüstung'!$J$39+'Technische Ausrüstung'!$L$54,0)</f>
        <v>0</v>
      </c>
      <c r="D136" s="698">
        <f>IF($B136='Technische Ausrüstung'!$U$55,'Technische Ausrüstung'!$J$55*'Technische Ausrüstung'!$F$23+'Technische Ausrüstung'!$J$55+'Technische Ausrüstung'!$L$78,0)</f>
        <v>0</v>
      </c>
      <c r="E136" s="698">
        <f>IF($B136='Technische Ausrüstung'!$U$82,'Technische Ausrüstung'!$J$82*'Technische Ausrüstung'!$F$23+'Technische Ausrüstung'!$J$82+'Technische Ausrüstung'!$L$115,0)</f>
        <v>0</v>
      </c>
      <c r="F136" s="698">
        <f>IF($B136='Technische Ausrüstung'!$U$119,'Technische Ausrüstung'!$J$119*'Technische Ausrüstung'!$F$23+'Technische Ausrüstung'!$J$119+'Technische Ausrüstung'!$L$127,0)</f>
        <v>0</v>
      </c>
      <c r="G136" s="698">
        <f>IF($B136='Technische Ausrüstung'!$U$128,'Technische Ausrüstung'!$J$128*'Technische Ausrüstung'!$F$23+'Technische Ausrüstung'!$J$128+'Technische Ausrüstung'!$R$128+'Technische Ausrüstung'!$R$131,0)</f>
        <v>0</v>
      </c>
      <c r="H136" s="698">
        <f>IF($B136='Technische Ausrüstung'!$U$133,'Technische Ausrüstung'!$J$133*'Technische Ausrüstung'!$F$23+'Technische Ausrüstung'!$J$133+'Technische Ausrüstung'!$R$133+'Technische Ausrüstung'!$R$136+'Technische Ausrüstung'!$R$139+'Technische Ausrüstung'!$R$142,0)</f>
        <v>0</v>
      </c>
      <c r="I136" s="698">
        <f>IF($B136='Technische Ausrüstung'!$U$143,'Technische Ausrüstung'!$J$143*'Technische Ausrüstung'!$F$23+'Technische Ausrüstung'!$J$143+'Technische Ausrüstung'!$R$143,0)</f>
        <v>0</v>
      </c>
      <c r="J136" s="698">
        <f>IF($B136='Technische Ausrüstung'!$U$144,'Technische Ausrüstung'!$J$144*'Technische Ausrüstung'!$F$23+'Technische Ausrüstung'!$J$144+'Technische Ausrüstung'!$R$144,0)</f>
        <v>0</v>
      </c>
      <c r="K136" s="698">
        <f>IF($B136='Technische Ausrüstung'!$U$145,'Technische Ausrüstung'!$J$145*'Technische Ausrüstung'!$F$23+'Technische Ausrüstung'!$J$145+'Technische Ausrüstung'!$R$145+'Technische Ausrüstung'!$R$148,0)</f>
        <v>0</v>
      </c>
      <c r="L136" s="698">
        <f>IF($B136='Technische Ausrüstung'!$U$150,'Technische Ausrüstung'!$J$150*'Technische Ausrüstung'!$F$23+'Technische Ausrüstung'!$J$150+'Technische Ausrüstung'!$R$150,0)</f>
        <v>0</v>
      </c>
      <c r="M136" s="698">
        <f>IF($B136='Technische Ausrüstung'!$U$154,'Technische Ausrüstung'!$J$154*'Technische Ausrüstung'!$F$23+'Technische Ausrüstung'!$J$154+'Technische Ausrüstung'!$L$178,0)</f>
        <v>0</v>
      </c>
      <c r="N136" s="698">
        <f>IF($B136='Technische Ausrüstung'!$U$179,'Technische Ausrüstung'!$J$179*'Technische Ausrüstung'!$F$23+'Technische Ausrüstung'!$J$179+'Technische Ausrüstung'!$L$193,0)</f>
        <v>0</v>
      </c>
      <c r="O136" s="698">
        <f>IF($B136='Technische Ausrüstung'!$U$194,'Technische Ausrüstung'!$J$194*'Technische Ausrüstung'!$F$23+'Technische Ausrüstung'!$J$194+'Technische Ausrüstung'!$L$235,0)</f>
        <v>0</v>
      </c>
      <c r="P136" s="698">
        <f>IF($B136='Technische Ausrüstung'!$U$236,'Technische Ausrüstung'!$J$236*'Technische Ausrüstung'!$F$23+'Technische Ausrüstung'!$J$236+'Technische Ausrüstung'!$L$245,0)</f>
        <v>0</v>
      </c>
      <c r="Q136" s="699">
        <f t="shared" ref="Q136:Q143" si="6">SUM(C136:P136)</f>
        <v>0</v>
      </c>
    </row>
    <row r="137" spans="2:17" x14ac:dyDescent="0.3">
      <c r="B137" s="775">
        <f>IF(Überblick!$H$53&gt;=3,3,"")</f>
        <v>3</v>
      </c>
      <c r="C137" s="698">
        <f>IF($B137='Technische Ausrüstung'!$U$39,'Technische Ausrüstung'!$J$39*'Technische Ausrüstung'!$F$23+'Technische Ausrüstung'!$J$39+'Technische Ausrüstung'!$L$54,0)</f>
        <v>0</v>
      </c>
      <c r="D137" s="698">
        <f>IF($B137='Technische Ausrüstung'!$U$55,'Technische Ausrüstung'!$J$55*'Technische Ausrüstung'!$F$23+'Technische Ausrüstung'!$J$55+'Technische Ausrüstung'!$L$78,0)</f>
        <v>0</v>
      </c>
      <c r="E137" s="698">
        <f>IF($B137='Technische Ausrüstung'!$U$82,'Technische Ausrüstung'!$J$82*'Technische Ausrüstung'!$F$23+'Technische Ausrüstung'!$J$82+'Technische Ausrüstung'!$L$115,0)</f>
        <v>0</v>
      </c>
      <c r="F137" s="698">
        <f>IF($B137='Technische Ausrüstung'!$U$119,'Technische Ausrüstung'!$J$119*'Technische Ausrüstung'!$F$23+'Technische Ausrüstung'!$J$119+'Technische Ausrüstung'!$L$127,0)</f>
        <v>0</v>
      </c>
      <c r="G137" s="698">
        <f>IF($B137='Technische Ausrüstung'!$U$128,'Technische Ausrüstung'!$J$128*'Technische Ausrüstung'!$F$23+'Technische Ausrüstung'!$J$128+'Technische Ausrüstung'!$R$128+'Technische Ausrüstung'!$R$131,0)</f>
        <v>0</v>
      </c>
      <c r="H137" s="698">
        <f>IF($B137='Technische Ausrüstung'!$U$133,'Technische Ausrüstung'!$J$133*'Technische Ausrüstung'!$F$23+'Technische Ausrüstung'!$J$133+'Technische Ausrüstung'!$R$133+'Technische Ausrüstung'!$R$136+'Technische Ausrüstung'!$R$139+'Technische Ausrüstung'!$R$142,0)</f>
        <v>0</v>
      </c>
      <c r="I137" s="698">
        <f>IF($B137='Technische Ausrüstung'!$U$143,'Technische Ausrüstung'!$J$143*'Technische Ausrüstung'!$F$23+'Technische Ausrüstung'!$J$143+'Technische Ausrüstung'!$R$143,0)</f>
        <v>0</v>
      </c>
      <c r="J137" s="698">
        <f>IF($B137='Technische Ausrüstung'!$U$144,'Technische Ausrüstung'!$J$144*'Technische Ausrüstung'!$F$23+'Technische Ausrüstung'!$J$144+'Technische Ausrüstung'!$R$144,0)</f>
        <v>0</v>
      </c>
      <c r="K137" s="698">
        <f>IF($B137='Technische Ausrüstung'!$U$145,'Technische Ausrüstung'!$J$145*'Technische Ausrüstung'!$F$23+'Technische Ausrüstung'!$J$145+'Technische Ausrüstung'!$R$145+'Technische Ausrüstung'!$R$148,0)</f>
        <v>0</v>
      </c>
      <c r="L137" s="698">
        <f>IF($B137='Technische Ausrüstung'!$U$150,'Technische Ausrüstung'!$J$150*'Technische Ausrüstung'!$F$23+'Technische Ausrüstung'!$J$150+'Technische Ausrüstung'!$R$150,0)</f>
        <v>0</v>
      </c>
      <c r="M137" s="698">
        <f>IF($B137='Technische Ausrüstung'!$U$154,'Technische Ausrüstung'!$J$154*'Technische Ausrüstung'!$F$23+'Technische Ausrüstung'!$J$154+'Technische Ausrüstung'!$L$178,0)</f>
        <v>0</v>
      </c>
      <c r="N137" s="698">
        <f>IF($B137='Technische Ausrüstung'!$U$179,'Technische Ausrüstung'!$J$179*'Technische Ausrüstung'!$F$23+'Technische Ausrüstung'!$J$179+'Technische Ausrüstung'!$L$193,0)</f>
        <v>0</v>
      </c>
      <c r="O137" s="698">
        <f>IF($B137='Technische Ausrüstung'!$U$194,'Technische Ausrüstung'!$J$194*'Technische Ausrüstung'!$F$23+'Technische Ausrüstung'!$J$194+'Technische Ausrüstung'!$L$235,0)</f>
        <v>0</v>
      </c>
      <c r="P137" s="698">
        <f>IF($B137='Technische Ausrüstung'!$U$236,'Technische Ausrüstung'!$J$236*'Technische Ausrüstung'!$F$23+'Technische Ausrüstung'!$J$236+'Technische Ausrüstung'!$L$245,0)</f>
        <v>0</v>
      </c>
      <c r="Q137" s="699">
        <f t="shared" si="6"/>
        <v>0</v>
      </c>
    </row>
    <row r="138" spans="2:17" x14ac:dyDescent="0.3">
      <c r="B138" s="775">
        <f>IF(Überblick!$H$53&gt;=4,4,"")</f>
        <v>4</v>
      </c>
      <c r="C138" s="698">
        <f>IF($B138='Technische Ausrüstung'!$U$39,'Technische Ausrüstung'!$J$39*'Technische Ausrüstung'!$F$23+'Technische Ausrüstung'!$J$39+'Technische Ausrüstung'!$L$54,0)</f>
        <v>0</v>
      </c>
      <c r="D138" s="698">
        <f>IF($B138='Technische Ausrüstung'!$U$55,'Technische Ausrüstung'!$J$55*'Technische Ausrüstung'!$F$23+'Technische Ausrüstung'!$J$55+'Technische Ausrüstung'!$L$78,0)</f>
        <v>0</v>
      </c>
      <c r="E138" s="698">
        <f>IF($B138='Technische Ausrüstung'!$U$82,'Technische Ausrüstung'!$J$82*'Technische Ausrüstung'!$F$23+'Technische Ausrüstung'!$J$82+'Technische Ausrüstung'!$L$115,0)</f>
        <v>0</v>
      </c>
      <c r="F138" s="698">
        <f>IF($B138='Technische Ausrüstung'!$U$119,'Technische Ausrüstung'!$J$119*'Technische Ausrüstung'!$F$23+'Technische Ausrüstung'!$J$119+'Technische Ausrüstung'!$L$127,0)</f>
        <v>0</v>
      </c>
      <c r="G138" s="698">
        <f>IF($B138='Technische Ausrüstung'!$U$128,'Technische Ausrüstung'!$J$128*'Technische Ausrüstung'!$F$23+'Technische Ausrüstung'!$J$128+'Technische Ausrüstung'!$R$128+'Technische Ausrüstung'!$R$131,0)</f>
        <v>0</v>
      </c>
      <c r="H138" s="698">
        <f>IF($B138='Technische Ausrüstung'!$U$133,'Technische Ausrüstung'!$J$133*'Technische Ausrüstung'!$F$23+'Technische Ausrüstung'!$J$133+'Technische Ausrüstung'!$R$133+'Technische Ausrüstung'!$R$136+'Technische Ausrüstung'!$R$139+'Technische Ausrüstung'!$R$142,0)</f>
        <v>0</v>
      </c>
      <c r="I138" s="698">
        <f>IF($B138='Technische Ausrüstung'!$U$143,'Technische Ausrüstung'!$J$143*'Technische Ausrüstung'!$F$23+'Technische Ausrüstung'!$J$143+'Technische Ausrüstung'!$R$143,0)</f>
        <v>0</v>
      </c>
      <c r="J138" s="698">
        <f>IF($B138='Technische Ausrüstung'!$U$144,'Technische Ausrüstung'!$J$144*'Technische Ausrüstung'!$F$23+'Technische Ausrüstung'!$J$144+'Technische Ausrüstung'!$R$144,0)</f>
        <v>0</v>
      </c>
      <c r="K138" s="698">
        <f>IF($B138='Technische Ausrüstung'!$U$145,'Technische Ausrüstung'!$J$145*'Technische Ausrüstung'!$F$23+'Technische Ausrüstung'!$J$145+'Technische Ausrüstung'!$R$145+'Technische Ausrüstung'!$R$148,0)</f>
        <v>0</v>
      </c>
      <c r="L138" s="698">
        <f>IF($B138='Technische Ausrüstung'!$U$150,'Technische Ausrüstung'!$J$150*'Technische Ausrüstung'!$F$23+'Technische Ausrüstung'!$J$150+'Technische Ausrüstung'!$R$150,0)</f>
        <v>0</v>
      </c>
      <c r="M138" s="698">
        <f>IF($B138='Technische Ausrüstung'!$U$154,'Technische Ausrüstung'!$J$154*'Technische Ausrüstung'!$F$23+'Technische Ausrüstung'!$J$154+'Technische Ausrüstung'!$L$178,0)</f>
        <v>0</v>
      </c>
      <c r="N138" s="698">
        <f>IF($B138='Technische Ausrüstung'!$U$179,'Technische Ausrüstung'!$J$179*'Technische Ausrüstung'!$F$23+'Technische Ausrüstung'!$J$179+'Technische Ausrüstung'!$L$193,0)</f>
        <v>0</v>
      </c>
      <c r="O138" s="698">
        <f>IF($B138='Technische Ausrüstung'!$U$194,'Technische Ausrüstung'!$J$194*'Technische Ausrüstung'!$F$23+'Technische Ausrüstung'!$J$194+'Technische Ausrüstung'!$L$235,0)</f>
        <v>0</v>
      </c>
      <c r="P138" s="698">
        <f>IF($B138='Technische Ausrüstung'!$U$236,'Technische Ausrüstung'!$J$236*'Technische Ausrüstung'!$F$23+'Technische Ausrüstung'!$J$236+'Technische Ausrüstung'!$L$245,0)</f>
        <v>0</v>
      </c>
      <c r="Q138" s="699">
        <f t="shared" si="6"/>
        <v>0</v>
      </c>
    </row>
    <row r="139" spans="2:17" x14ac:dyDescent="0.3">
      <c r="B139" s="775">
        <f>IF(Überblick!$H$53&gt;=5,5,"")</f>
        <v>5</v>
      </c>
      <c r="C139" s="698">
        <f>IF($B139='Technische Ausrüstung'!$U$39,'Technische Ausrüstung'!$J$39*'Technische Ausrüstung'!$F$23+'Technische Ausrüstung'!$J$39+'Technische Ausrüstung'!$L$54,0)</f>
        <v>0</v>
      </c>
      <c r="D139" s="698">
        <f>IF($B139='Technische Ausrüstung'!$U$55,'Technische Ausrüstung'!$J$55*'Technische Ausrüstung'!$F$23+'Technische Ausrüstung'!$J$55+'Technische Ausrüstung'!$L$78,0)</f>
        <v>0</v>
      </c>
      <c r="E139" s="698">
        <f>IF($B139='Technische Ausrüstung'!$U$82,'Technische Ausrüstung'!$J$82*'Technische Ausrüstung'!$F$23+'Technische Ausrüstung'!$J$82+'Technische Ausrüstung'!$L$115,0)</f>
        <v>0</v>
      </c>
      <c r="F139" s="698">
        <f>IF($B139='Technische Ausrüstung'!$U$119,'Technische Ausrüstung'!$J$119*'Technische Ausrüstung'!$F$23+'Technische Ausrüstung'!$J$119+'Technische Ausrüstung'!$L$127,0)</f>
        <v>0</v>
      </c>
      <c r="G139" s="698">
        <f>IF($B139='Technische Ausrüstung'!$U$128,'Technische Ausrüstung'!$J$128*'Technische Ausrüstung'!$F$23+'Technische Ausrüstung'!$J$128+'Technische Ausrüstung'!$R$128+'Technische Ausrüstung'!$R$131,0)</f>
        <v>0</v>
      </c>
      <c r="H139" s="698">
        <f>IF($B139='Technische Ausrüstung'!$U$133,'Technische Ausrüstung'!$J$133*'Technische Ausrüstung'!$F$23+'Technische Ausrüstung'!$J$133+'Technische Ausrüstung'!$R$133+'Technische Ausrüstung'!$R$136+'Technische Ausrüstung'!$R$139+'Technische Ausrüstung'!$R$142,0)</f>
        <v>0</v>
      </c>
      <c r="I139" s="698">
        <f>IF($B139='Technische Ausrüstung'!$U$143,'Technische Ausrüstung'!$J$143*'Technische Ausrüstung'!$F$23+'Technische Ausrüstung'!$J$143+'Technische Ausrüstung'!$R$143,0)</f>
        <v>0</v>
      </c>
      <c r="J139" s="698">
        <f>IF($B139='Technische Ausrüstung'!$U$144,'Technische Ausrüstung'!$J$144*'Technische Ausrüstung'!$F$23+'Technische Ausrüstung'!$J$144+'Technische Ausrüstung'!$R$144,0)</f>
        <v>0</v>
      </c>
      <c r="K139" s="698">
        <f>IF($B139='Technische Ausrüstung'!$U$145,'Technische Ausrüstung'!$J$145*'Technische Ausrüstung'!$F$23+'Technische Ausrüstung'!$J$145+'Technische Ausrüstung'!$R$145+'Technische Ausrüstung'!$R$148,0)</f>
        <v>0</v>
      </c>
      <c r="L139" s="698">
        <f>IF($B139='Technische Ausrüstung'!$U$150,'Technische Ausrüstung'!$J$150*'Technische Ausrüstung'!$F$23+'Technische Ausrüstung'!$J$150+'Technische Ausrüstung'!$R$150,0)</f>
        <v>0</v>
      </c>
      <c r="M139" s="698">
        <f>IF($B139='Technische Ausrüstung'!$U$154,'Technische Ausrüstung'!$J$154*'Technische Ausrüstung'!$F$23+'Technische Ausrüstung'!$J$154+'Technische Ausrüstung'!$L$178,0)</f>
        <v>0</v>
      </c>
      <c r="N139" s="698">
        <f>IF($B139='Technische Ausrüstung'!$U$179,'Technische Ausrüstung'!$J$179*'Technische Ausrüstung'!$F$23+'Technische Ausrüstung'!$J$179+'Technische Ausrüstung'!$L$193,0)</f>
        <v>0</v>
      </c>
      <c r="O139" s="698">
        <f>IF($B139='Technische Ausrüstung'!$U$194,'Technische Ausrüstung'!$J$194*'Technische Ausrüstung'!$F$23+'Technische Ausrüstung'!$J$194+'Technische Ausrüstung'!$L$235,0)</f>
        <v>0</v>
      </c>
      <c r="P139" s="698">
        <f>IF($B139='Technische Ausrüstung'!$U$236,'Technische Ausrüstung'!$J$236*'Technische Ausrüstung'!$F$23+'Technische Ausrüstung'!$J$236+'Technische Ausrüstung'!$L$245,0)</f>
        <v>0</v>
      </c>
      <c r="Q139" s="699">
        <f t="shared" si="6"/>
        <v>0</v>
      </c>
    </row>
    <row r="140" spans="2:17" x14ac:dyDescent="0.3">
      <c r="B140" s="775">
        <f>IF(Überblick!$H$53&gt;=6,6,"")</f>
        <v>6</v>
      </c>
      <c r="C140" s="698">
        <f>IF($B140='Technische Ausrüstung'!$U$39,'Technische Ausrüstung'!$J$39*'Technische Ausrüstung'!$F$23+'Technische Ausrüstung'!$J$39+'Technische Ausrüstung'!$L$54,0)</f>
        <v>0</v>
      </c>
      <c r="D140" s="698">
        <f>IF($B140='Technische Ausrüstung'!$U$55,'Technische Ausrüstung'!$J$55*'Technische Ausrüstung'!$F$23+'Technische Ausrüstung'!$J$55+'Technische Ausrüstung'!$L$78,0)</f>
        <v>0</v>
      </c>
      <c r="E140" s="698">
        <f>IF($B140='Technische Ausrüstung'!$U$82,'Technische Ausrüstung'!$J$82*'Technische Ausrüstung'!$F$23+'Technische Ausrüstung'!$J$82+'Technische Ausrüstung'!$L$115,0)</f>
        <v>0</v>
      </c>
      <c r="F140" s="698">
        <f>IF($B140='Technische Ausrüstung'!$U$119,'Technische Ausrüstung'!$J$119*'Technische Ausrüstung'!$F$23+'Technische Ausrüstung'!$J$119+'Technische Ausrüstung'!$L$127,0)</f>
        <v>0</v>
      </c>
      <c r="G140" s="698">
        <f>IF($B140='Technische Ausrüstung'!$U$128,'Technische Ausrüstung'!$J$128*'Technische Ausrüstung'!$F$23+'Technische Ausrüstung'!$J$128+'Technische Ausrüstung'!$R$128+'Technische Ausrüstung'!$R$131,0)</f>
        <v>0</v>
      </c>
      <c r="H140" s="698">
        <f>IF($B140='Technische Ausrüstung'!$U$133,'Technische Ausrüstung'!$J$133*'Technische Ausrüstung'!$F$23+'Technische Ausrüstung'!$J$133+'Technische Ausrüstung'!$R$133+'Technische Ausrüstung'!$R$136+'Technische Ausrüstung'!$R$139+'Technische Ausrüstung'!$R$142,0)</f>
        <v>0</v>
      </c>
      <c r="I140" s="698">
        <f>IF($B140='Technische Ausrüstung'!$U$143,'Technische Ausrüstung'!$J$143*'Technische Ausrüstung'!$F$23+'Technische Ausrüstung'!$J$143+'Technische Ausrüstung'!$R$143,0)</f>
        <v>0</v>
      </c>
      <c r="J140" s="698">
        <f>IF($B140='Technische Ausrüstung'!$U$144,'Technische Ausrüstung'!$J$144*'Technische Ausrüstung'!$F$23+'Technische Ausrüstung'!$J$144+'Technische Ausrüstung'!$R$144,0)</f>
        <v>0</v>
      </c>
      <c r="K140" s="698">
        <f>IF($B140='Technische Ausrüstung'!$U$145,'Technische Ausrüstung'!$J$145*'Technische Ausrüstung'!$F$23+'Technische Ausrüstung'!$J$145+'Technische Ausrüstung'!$R$145+'Technische Ausrüstung'!$R$148,0)</f>
        <v>0</v>
      </c>
      <c r="L140" s="698">
        <f>IF($B140='Technische Ausrüstung'!$U$150,'Technische Ausrüstung'!$J$150*'Technische Ausrüstung'!$F$23+'Technische Ausrüstung'!$J$150+'Technische Ausrüstung'!$R$150,0)</f>
        <v>0</v>
      </c>
      <c r="M140" s="698">
        <f>IF($B140='Technische Ausrüstung'!$U$154,'Technische Ausrüstung'!$J$154*'Technische Ausrüstung'!$F$23+'Technische Ausrüstung'!$J$154+'Technische Ausrüstung'!$L$178,0)</f>
        <v>0</v>
      </c>
      <c r="N140" s="698">
        <f>IF($B140='Technische Ausrüstung'!$U$179,'Technische Ausrüstung'!$J$179*'Technische Ausrüstung'!$F$23+'Technische Ausrüstung'!$J$179+'Technische Ausrüstung'!$L$193,0)</f>
        <v>0</v>
      </c>
      <c r="O140" s="698">
        <f>IF($B140='Technische Ausrüstung'!$U$194,'Technische Ausrüstung'!$J$194*'Technische Ausrüstung'!$F$23+'Technische Ausrüstung'!$J$194+'Technische Ausrüstung'!$L$235,0)</f>
        <v>0</v>
      </c>
      <c r="P140" s="698">
        <f>IF($B140='Technische Ausrüstung'!$U$236,'Technische Ausrüstung'!$J$236*'Technische Ausrüstung'!$F$23+'Technische Ausrüstung'!$J$236+'Technische Ausrüstung'!$L$245,0)</f>
        <v>0</v>
      </c>
      <c r="Q140" s="699">
        <f t="shared" si="6"/>
        <v>0</v>
      </c>
    </row>
    <row r="141" spans="2:17" x14ac:dyDescent="0.3">
      <c r="B141" s="775" t="str">
        <f>IF(Überblick!$H$53&gt;=7,7,"")</f>
        <v/>
      </c>
      <c r="C141" s="698">
        <f>IF($B141='Technische Ausrüstung'!$U$39,'Technische Ausrüstung'!$J$39*'Technische Ausrüstung'!$F$23+'Technische Ausrüstung'!$J$39+'Technische Ausrüstung'!$L$54,0)</f>
        <v>0</v>
      </c>
      <c r="D141" s="698">
        <f>IF($B141='Technische Ausrüstung'!$U$55,'Technische Ausrüstung'!$J$55*'Technische Ausrüstung'!$F$23+'Technische Ausrüstung'!$J$55+'Technische Ausrüstung'!$L$78,0)</f>
        <v>0</v>
      </c>
      <c r="E141" s="698">
        <f>IF($B141='Technische Ausrüstung'!$U$82,'Technische Ausrüstung'!$J$82*'Technische Ausrüstung'!$F$23+'Technische Ausrüstung'!$J$82+'Technische Ausrüstung'!$L$115,0)</f>
        <v>0</v>
      </c>
      <c r="F141" s="698">
        <f>IF($B141='Technische Ausrüstung'!$U$119,'Technische Ausrüstung'!$J$119*'Technische Ausrüstung'!$F$23+'Technische Ausrüstung'!$J$119+'Technische Ausrüstung'!$L$127,0)</f>
        <v>0</v>
      </c>
      <c r="G141" s="698">
        <f>IF($B141='Technische Ausrüstung'!$U$128,'Technische Ausrüstung'!$J$128*'Technische Ausrüstung'!$F$23+'Technische Ausrüstung'!$J$128+'Technische Ausrüstung'!$R$128+'Technische Ausrüstung'!$R$131,0)</f>
        <v>0</v>
      </c>
      <c r="H141" s="698">
        <f>IF($B141='Technische Ausrüstung'!$U$133,'Technische Ausrüstung'!$J$133*'Technische Ausrüstung'!$F$23+'Technische Ausrüstung'!$J$133+'Technische Ausrüstung'!$R$133+'Technische Ausrüstung'!$R$136+'Technische Ausrüstung'!$R$139+'Technische Ausrüstung'!$R$142,0)</f>
        <v>0</v>
      </c>
      <c r="I141" s="698">
        <f>IF($B141='Technische Ausrüstung'!$U$143,'Technische Ausrüstung'!$J$143*'Technische Ausrüstung'!$F$23+'Technische Ausrüstung'!$J$143+'Technische Ausrüstung'!$R$143,0)</f>
        <v>0</v>
      </c>
      <c r="J141" s="698">
        <f>IF($B141='Technische Ausrüstung'!$U$144,'Technische Ausrüstung'!$J$144*'Technische Ausrüstung'!$F$23+'Technische Ausrüstung'!$J$144+'Technische Ausrüstung'!$R$144,0)</f>
        <v>0</v>
      </c>
      <c r="K141" s="698">
        <f>IF($B141='Technische Ausrüstung'!$U$145,'Technische Ausrüstung'!$J$145*'Technische Ausrüstung'!$F$23+'Technische Ausrüstung'!$J$145+'Technische Ausrüstung'!$R$145+'Technische Ausrüstung'!$R$148,0)</f>
        <v>0</v>
      </c>
      <c r="L141" s="698">
        <f>IF($B141='Technische Ausrüstung'!$U$150,'Technische Ausrüstung'!$J$150*'Technische Ausrüstung'!$F$23+'Technische Ausrüstung'!$J$150+'Technische Ausrüstung'!$R$150,0)</f>
        <v>0</v>
      </c>
      <c r="M141" s="698">
        <f>IF($B141='Technische Ausrüstung'!$U$154,'Technische Ausrüstung'!$J$154*'Technische Ausrüstung'!$F$23+'Technische Ausrüstung'!$J$154+'Technische Ausrüstung'!$L$178,0)</f>
        <v>0</v>
      </c>
      <c r="N141" s="698">
        <f>IF($B141='Technische Ausrüstung'!$U$179,'Technische Ausrüstung'!$J$179*'Technische Ausrüstung'!$F$23+'Technische Ausrüstung'!$J$179+'Technische Ausrüstung'!$L$193,0)</f>
        <v>0</v>
      </c>
      <c r="O141" s="698">
        <f>IF($B141='Technische Ausrüstung'!$U$194,'Technische Ausrüstung'!$J$194*'Technische Ausrüstung'!$F$23+'Technische Ausrüstung'!$J$194+'Technische Ausrüstung'!$L$235,0)</f>
        <v>0</v>
      </c>
      <c r="P141" s="698">
        <f>IF($B141='Technische Ausrüstung'!$U$236,'Technische Ausrüstung'!$J$236*'Technische Ausrüstung'!$F$23+'Technische Ausrüstung'!$J$236+'Technische Ausrüstung'!$L$245,0)</f>
        <v>0</v>
      </c>
      <c r="Q141" s="699">
        <f t="shared" si="6"/>
        <v>0</v>
      </c>
    </row>
    <row r="142" spans="2:17" x14ac:dyDescent="0.3">
      <c r="B142" s="775" t="str">
        <f>IF(Überblick!$H$53&gt;=8,8,"")</f>
        <v/>
      </c>
      <c r="C142" s="698">
        <f>IF($B142='Technische Ausrüstung'!$U$39,'Technische Ausrüstung'!$J$39*'Technische Ausrüstung'!$F$23+'Technische Ausrüstung'!$J$39+'Technische Ausrüstung'!$L$54,0)</f>
        <v>0</v>
      </c>
      <c r="D142" s="698">
        <f>IF($B142='Technische Ausrüstung'!$U$55,'Technische Ausrüstung'!$J$55*'Technische Ausrüstung'!$F$23+'Technische Ausrüstung'!$J$55+'Technische Ausrüstung'!$L$78,0)</f>
        <v>0</v>
      </c>
      <c r="E142" s="698">
        <f>IF($B142='Technische Ausrüstung'!$U$82,'Technische Ausrüstung'!$J$82*'Technische Ausrüstung'!$F$23+'Technische Ausrüstung'!$J$82+'Technische Ausrüstung'!$L$115,0)</f>
        <v>0</v>
      </c>
      <c r="F142" s="698">
        <f>IF($B142='Technische Ausrüstung'!$U$119,'Technische Ausrüstung'!$J$119*'Technische Ausrüstung'!$F$23+'Technische Ausrüstung'!$J$119+'Technische Ausrüstung'!$L$127,0)</f>
        <v>0</v>
      </c>
      <c r="G142" s="698">
        <f>IF($B142='Technische Ausrüstung'!$U$128,'Technische Ausrüstung'!$J$128*'Technische Ausrüstung'!$F$23+'Technische Ausrüstung'!$J$128+'Technische Ausrüstung'!$R$128+'Technische Ausrüstung'!$R$131,0)</f>
        <v>0</v>
      </c>
      <c r="H142" s="698">
        <f>IF($B142='Technische Ausrüstung'!$U$133,'Technische Ausrüstung'!$J$133*'Technische Ausrüstung'!$F$23+'Technische Ausrüstung'!$J$133+'Technische Ausrüstung'!$R$133+'Technische Ausrüstung'!$R$136+'Technische Ausrüstung'!$R$139+'Technische Ausrüstung'!$R$142,0)</f>
        <v>0</v>
      </c>
      <c r="I142" s="698">
        <f>IF($B142='Technische Ausrüstung'!$U$143,'Technische Ausrüstung'!$J$143*'Technische Ausrüstung'!$F$23+'Technische Ausrüstung'!$J$143+'Technische Ausrüstung'!$R$143,0)</f>
        <v>0</v>
      </c>
      <c r="J142" s="698">
        <f>IF($B142='Technische Ausrüstung'!$U$144,'Technische Ausrüstung'!$J$144*'Technische Ausrüstung'!$F$23+'Technische Ausrüstung'!$J$144+'Technische Ausrüstung'!$R$144,0)</f>
        <v>0</v>
      </c>
      <c r="K142" s="698">
        <f>IF($B142='Technische Ausrüstung'!$U$145,'Technische Ausrüstung'!$J$145*'Technische Ausrüstung'!$F$23+'Technische Ausrüstung'!$J$145+'Technische Ausrüstung'!$R$145+'Technische Ausrüstung'!$R$148,0)</f>
        <v>0</v>
      </c>
      <c r="L142" s="698">
        <f>IF($B142='Technische Ausrüstung'!$U$150,'Technische Ausrüstung'!$J$150*'Technische Ausrüstung'!$F$23+'Technische Ausrüstung'!$J$150+'Technische Ausrüstung'!$R$150,0)</f>
        <v>0</v>
      </c>
      <c r="M142" s="698">
        <f>IF($B142='Technische Ausrüstung'!$U$154,'Technische Ausrüstung'!$J$154*'Technische Ausrüstung'!$F$23+'Technische Ausrüstung'!$J$154+'Technische Ausrüstung'!$L$178,0)</f>
        <v>0</v>
      </c>
      <c r="N142" s="698">
        <f>IF($B142='Technische Ausrüstung'!$U$179,'Technische Ausrüstung'!$J$179*'Technische Ausrüstung'!$F$23+'Technische Ausrüstung'!$J$179+'Technische Ausrüstung'!$L$193,0)</f>
        <v>0</v>
      </c>
      <c r="O142" s="698">
        <f>IF($B142='Technische Ausrüstung'!$U$194,'Technische Ausrüstung'!$J$194*'Technische Ausrüstung'!$F$23+'Technische Ausrüstung'!$J$194+'Technische Ausrüstung'!$L$235,0)</f>
        <v>0</v>
      </c>
      <c r="P142" s="698">
        <f>IF($B142='Technische Ausrüstung'!$U$236,'Technische Ausrüstung'!$J$236*'Technische Ausrüstung'!$F$23+'Technische Ausrüstung'!$J$236+'Technische Ausrüstung'!$L$245,0)</f>
        <v>0</v>
      </c>
      <c r="Q142" s="699">
        <f t="shared" si="6"/>
        <v>0</v>
      </c>
    </row>
    <row r="143" spans="2:17" ht="15.2" thickBot="1" x14ac:dyDescent="0.35">
      <c r="B143" s="771" t="str">
        <f>IF(Überblick!$H$53&gt;=9,9,"")</f>
        <v/>
      </c>
      <c r="C143" s="702">
        <f>IF($B143='Technische Ausrüstung'!$U$39,'Technische Ausrüstung'!$J$39*'Technische Ausrüstung'!$F$23+'Technische Ausrüstung'!$J$39+'Technische Ausrüstung'!$L$54,0)</f>
        <v>0</v>
      </c>
      <c r="D143" s="702">
        <f>IF($B143='Technische Ausrüstung'!$U$55,'Technische Ausrüstung'!$J$55*'Technische Ausrüstung'!$F$23+'Technische Ausrüstung'!$J$55+'Technische Ausrüstung'!$L$78,0)</f>
        <v>0</v>
      </c>
      <c r="E143" s="702">
        <f>IF($B143='Technische Ausrüstung'!$U$82,'Technische Ausrüstung'!$J$82*'Technische Ausrüstung'!$F$23+'Technische Ausrüstung'!$J$82+'Technische Ausrüstung'!$L$115,0)</f>
        <v>0</v>
      </c>
      <c r="F143" s="702">
        <f>IF($B143='Technische Ausrüstung'!$U$119,'Technische Ausrüstung'!$J$119*'Technische Ausrüstung'!$F$23+'Technische Ausrüstung'!$J$119+'Technische Ausrüstung'!$L$127,0)</f>
        <v>0</v>
      </c>
      <c r="G143" s="702">
        <f>IF($B143='Technische Ausrüstung'!$U$128,'Technische Ausrüstung'!$J$128*'Technische Ausrüstung'!$F$23+'Technische Ausrüstung'!$J$128+'Technische Ausrüstung'!$R$128+'Technische Ausrüstung'!$R$131,0)</f>
        <v>0</v>
      </c>
      <c r="H143" s="702">
        <f>IF($B143='Technische Ausrüstung'!$U$133,'Technische Ausrüstung'!$J$133*'Technische Ausrüstung'!$F$23+'Technische Ausrüstung'!$J$133+'Technische Ausrüstung'!$R$133+'Technische Ausrüstung'!$R$136+'Technische Ausrüstung'!$R$139+'Technische Ausrüstung'!$R$142,0)</f>
        <v>0</v>
      </c>
      <c r="I143" s="702">
        <f>IF($B143='Technische Ausrüstung'!$U$143,'Technische Ausrüstung'!$J$143*'Technische Ausrüstung'!$F$23+'Technische Ausrüstung'!$J$143+'Technische Ausrüstung'!$R$143,0)</f>
        <v>0</v>
      </c>
      <c r="J143" s="702">
        <f>IF($B143='Technische Ausrüstung'!$U$144,'Technische Ausrüstung'!$J$144*'Technische Ausrüstung'!$F$23+'Technische Ausrüstung'!$J$144+'Technische Ausrüstung'!$R$144,0)</f>
        <v>0</v>
      </c>
      <c r="K143" s="702">
        <f>IF($B143='Technische Ausrüstung'!$U$145,'Technische Ausrüstung'!$J$145*'Technische Ausrüstung'!$F$23+'Technische Ausrüstung'!$J$145+'Technische Ausrüstung'!$R$145+'Technische Ausrüstung'!$R$148,0)</f>
        <v>0</v>
      </c>
      <c r="L143" s="702">
        <f>IF($B143='Technische Ausrüstung'!$U$150,'Technische Ausrüstung'!$J$150*'Technische Ausrüstung'!$F$23+'Technische Ausrüstung'!$J$150+'Technische Ausrüstung'!$R$150,0)</f>
        <v>0</v>
      </c>
      <c r="M143" s="702">
        <f>IF($B143='Technische Ausrüstung'!$U$154,'Technische Ausrüstung'!$J$154*'Technische Ausrüstung'!$F$23+'Technische Ausrüstung'!$J$154+'Technische Ausrüstung'!$L$178,0)</f>
        <v>0</v>
      </c>
      <c r="N143" s="702">
        <f>IF($B143='Technische Ausrüstung'!$U$179,'Technische Ausrüstung'!$J$179*'Technische Ausrüstung'!$F$23+'Technische Ausrüstung'!$J$179+'Technische Ausrüstung'!$L$193,0)</f>
        <v>0</v>
      </c>
      <c r="O143" s="702">
        <f>IF($B143='Technische Ausrüstung'!$U$194,'Technische Ausrüstung'!$J$194*'Technische Ausrüstung'!$F$23+'Technische Ausrüstung'!$J$194+'Technische Ausrüstung'!$L$235,0)</f>
        <v>0</v>
      </c>
      <c r="P143" s="702">
        <f>IF($B143='Technische Ausrüstung'!$U$236,'Technische Ausrüstung'!$J$236*'Technische Ausrüstung'!$F$23+'Technische Ausrüstung'!$J$236+'Technische Ausrüstung'!$L$245,0)</f>
        <v>0</v>
      </c>
      <c r="Q143" s="703">
        <f t="shared" si="6"/>
        <v>0</v>
      </c>
    </row>
    <row r="144" spans="2:17" x14ac:dyDescent="0.3">
      <c r="Q144" s="704">
        <f>SUM(Q135:Q143)</f>
        <v>0</v>
      </c>
    </row>
    <row r="156" spans="2:4" x14ac:dyDescent="0.3">
      <c r="B156" s="705"/>
      <c r="C156" s="706"/>
      <c r="D156" s="707"/>
    </row>
  </sheetData>
  <mergeCells count="84">
    <mergeCell ref="A2:A5"/>
    <mergeCell ref="C2:D2"/>
    <mergeCell ref="F2:G2"/>
    <mergeCell ref="I2:J2"/>
    <mergeCell ref="C3:D3"/>
    <mergeCell ref="F3:G3"/>
    <mergeCell ref="I3:J3"/>
    <mergeCell ref="C5:D5"/>
    <mergeCell ref="F5:G5"/>
    <mergeCell ref="I5:J5"/>
    <mergeCell ref="B64:E64"/>
    <mergeCell ref="G64:H64"/>
    <mergeCell ref="J64:K64"/>
    <mergeCell ref="B26:B44"/>
    <mergeCell ref="E26:E44"/>
    <mergeCell ref="H26:H44"/>
    <mergeCell ref="G50:H50"/>
    <mergeCell ref="J50:K50"/>
    <mergeCell ref="G52:G54"/>
    <mergeCell ref="G56:G60"/>
    <mergeCell ref="B62:E62"/>
    <mergeCell ref="G62:H62"/>
    <mergeCell ref="I62:J62"/>
    <mergeCell ref="K62:L62"/>
    <mergeCell ref="B86:E86"/>
    <mergeCell ref="B65:E65"/>
    <mergeCell ref="G65:H65"/>
    <mergeCell ref="J65:K65"/>
    <mergeCell ref="G69:H69"/>
    <mergeCell ref="I69:J69"/>
    <mergeCell ref="K69:L69"/>
    <mergeCell ref="D70:D74"/>
    <mergeCell ref="E70:E71"/>
    <mergeCell ref="D76:D80"/>
    <mergeCell ref="E76:E77"/>
    <mergeCell ref="B85:E85"/>
    <mergeCell ref="C108:D108"/>
    <mergeCell ref="E108:F108"/>
    <mergeCell ref="B87:E87"/>
    <mergeCell ref="B88:E88"/>
    <mergeCell ref="B93:E93"/>
    <mergeCell ref="B94:E94"/>
    <mergeCell ref="B95:E95"/>
    <mergeCell ref="B96:E96"/>
    <mergeCell ref="G104:H104"/>
    <mergeCell ref="I104:J104"/>
    <mergeCell ref="K104:L104"/>
    <mergeCell ref="B105:E105"/>
    <mergeCell ref="C107:F107"/>
    <mergeCell ref="C109:D109"/>
    <mergeCell ref="E109:F109"/>
    <mergeCell ref="C110:D110"/>
    <mergeCell ref="E110:F110"/>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C123:D123"/>
    <mergeCell ref="E123:F123"/>
    <mergeCell ref="C125:D125"/>
    <mergeCell ref="E125:F125"/>
    <mergeCell ref="C130:D130"/>
    <mergeCell ref="E130:F130"/>
    <mergeCell ref="E132:F132"/>
  </mergeCells>
  <conditionalFormatting sqref="A6:A44">
    <cfRule type="colorScale" priority="7">
      <colorScale>
        <cfvo type="min"/>
        <cfvo type="percentile" val="50"/>
        <cfvo type="max"/>
        <color rgb="FF63BE7B"/>
        <color rgb="FFFFEB84"/>
        <color rgb="FFF8696B"/>
      </colorScale>
    </cfRule>
  </conditionalFormatting>
  <conditionalFormatting sqref="C6:C44">
    <cfRule type="colorScale" priority="6">
      <colorScale>
        <cfvo type="min"/>
        <cfvo type="percentile" val="50"/>
        <cfvo type="max"/>
        <color rgb="FF63BE7B"/>
        <color rgb="FFFFEB84"/>
        <color rgb="FFF8696B"/>
      </colorScale>
    </cfRule>
  </conditionalFormatting>
  <conditionalFormatting sqref="D6:D44">
    <cfRule type="colorScale" priority="5">
      <colorScale>
        <cfvo type="min"/>
        <cfvo type="percentile" val="50"/>
        <cfvo type="max"/>
        <color rgb="FF63BE7B"/>
        <color rgb="FFFFEB84"/>
        <color rgb="FFF8696B"/>
      </colorScale>
    </cfRule>
  </conditionalFormatting>
  <conditionalFormatting sqref="F6:F44">
    <cfRule type="colorScale" priority="4">
      <colorScale>
        <cfvo type="min"/>
        <cfvo type="percentile" val="50"/>
        <cfvo type="max"/>
        <color rgb="FF63BE7B"/>
        <color rgb="FFFFEB84"/>
        <color rgb="FFF8696B"/>
      </colorScale>
    </cfRule>
  </conditionalFormatting>
  <conditionalFormatting sqref="G6:G44">
    <cfRule type="colorScale" priority="3">
      <colorScale>
        <cfvo type="min"/>
        <cfvo type="percentile" val="50"/>
        <cfvo type="max"/>
        <color rgb="FF63BE7B"/>
        <color rgb="FFFFEB84"/>
        <color rgb="FFF8696B"/>
      </colorScale>
    </cfRule>
  </conditionalFormatting>
  <conditionalFormatting sqref="I6:I44">
    <cfRule type="colorScale" priority="2">
      <colorScale>
        <cfvo type="min"/>
        <cfvo type="percentile" val="50"/>
        <cfvo type="max"/>
        <color rgb="FF63BE7B"/>
        <color rgb="FFFFEB84"/>
        <color rgb="FFF8696B"/>
      </colorScale>
    </cfRule>
  </conditionalFormatting>
  <conditionalFormatting sqref="J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6F44A-4E68-4B5B-B6EC-6AFF6577B1DA}">
  <sheetPr>
    <tabColor rgb="FF00B0F0"/>
  </sheetPr>
  <dimension ref="A1:AS392"/>
  <sheetViews>
    <sheetView topLeftCell="A249" zoomScale="145" zoomScaleNormal="145" workbookViewId="0">
      <selection activeCell="B8" sqref="B8:I9"/>
    </sheetView>
  </sheetViews>
  <sheetFormatPr baseColWidth="10" defaultColWidth="11.44140625" defaultRowHeight="13.9" outlineLevelRow="1" x14ac:dyDescent="0.25"/>
  <cols>
    <col min="1" max="1" width="7.21875" style="491" customWidth="1"/>
    <col min="2" max="9" width="9.21875" style="39" customWidth="1"/>
    <col min="10" max="12" width="16.5546875" style="39" customWidth="1"/>
    <col min="13" max="14" width="9.21875" style="39" customWidth="1"/>
    <col min="15" max="15" width="15.21875" style="72" bestFit="1" customWidth="1"/>
    <col min="16" max="16" width="9.21875" style="39" customWidth="1"/>
    <col min="17" max="17" width="16.5546875" style="39" bestFit="1" customWidth="1"/>
    <col min="18" max="26" width="9.21875" style="39" customWidth="1"/>
    <col min="27" max="27" width="11" style="39" customWidth="1"/>
    <col min="28" max="29" width="8.21875" style="39" bestFit="1" customWidth="1"/>
    <col min="30" max="16384" width="11.44140625" style="39"/>
  </cols>
  <sheetData>
    <row r="1" spans="1:35" x14ac:dyDescent="0.25">
      <c r="A1" s="493" t="str">
        <f>Überblick!X116</f>
        <v>T.</v>
      </c>
      <c r="B1" s="188" t="str">
        <f>IF(Überblick!B2=Überblick!L4,'weitere Besondere Leistungen'!V1,'weitere Besondere Leistungen'!V2)</f>
        <v>Honorarangebot zu weiteren Besonderen Leistungen</v>
      </c>
      <c r="H1" s="127"/>
      <c r="I1" s="127"/>
      <c r="J1" s="127"/>
      <c r="K1" s="127"/>
      <c r="L1" s="72"/>
      <c r="M1" s="963" t="str">
        <f>'Hochbauplanung '!T1</f>
        <v>Version: 27.06.2023</v>
      </c>
      <c r="N1" s="963"/>
      <c r="O1" s="72" t="s">
        <v>99</v>
      </c>
      <c r="P1" s="72">
        <v>100</v>
      </c>
      <c r="Q1" s="72">
        <v>2000</v>
      </c>
      <c r="R1" s="72"/>
      <c r="S1" s="72"/>
      <c r="T1" s="72" t="s">
        <v>691</v>
      </c>
      <c r="U1" s="72"/>
      <c r="V1" s="72" t="s">
        <v>692</v>
      </c>
      <c r="W1" s="72"/>
      <c r="X1" s="72"/>
      <c r="Z1" s="127"/>
      <c r="AA1" s="127"/>
      <c r="AB1" s="127"/>
      <c r="AC1" s="127"/>
      <c r="AD1" s="72"/>
      <c r="AE1" s="72"/>
    </row>
    <row r="2" spans="1:35" x14ac:dyDescent="0.25">
      <c r="H2" s="127"/>
      <c r="I2" s="127"/>
      <c r="J2" s="127"/>
      <c r="K2" s="535" t="s">
        <v>110</v>
      </c>
      <c r="L2" s="1389" t="str">
        <f>IF(Überblick!J2=0,"",Überblick!J2)</f>
        <v/>
      </c>
      <c r="M2" s="1389"/>
      <c r="N2" s="1389"/>
      <c r="O2" s="72" t="s">
        <v>100</v>
      </c>
      <c r="P2" s="72"/>
      <c r="Q2" s="72"/>
      <c r="R2" s="72"/>
      <c r="S2" s="72"/>
      <c r="T2" s="72" t="s">
        <v>693</v>
      </c>
      <c r="U2" s="72"/>
      <c r="V2" s="72" t="s">
        <v>694</v>
      </c>
      <c r="W2" s="72"/>
      <c r="X2" s="72"/>
      <c r="Z2" s="127"/>
      <c r="AA2" s="127"/>
      <c r="AB2" s="127"/>
      <c r="AC2" s="127"/>
    </row>
    <row r="3" spans="1:35" x14ac:dyDescent="0.25">
      <c r="A3" s="491" t="s">
        <v>15</v>
      </c>
      <c r="B3" s="40" t="s">
        <v>695</v>
      </c>
      <c r="H3" s="127"/>
      <c r="I3" s="127"/>
      <c r="J3" s="127"/>
      <c r="K3" s="535" t="s">
        <v>24</v>
      </c>
      <c r="L3" s="1389" t="str">
        <f>IF(Überblick!G29=0,"",Überblick!G29)</f>
        <v>Breite Strasse, 10178 Berlin-Mitte, zw. Neumannsgasse und Scharrenstrasse</v>
      </c>
      <c r="M3" s="1389"/>
      <c r="N3" s="1389"/>
      <c r="P3" s="72"/>
      <c r="V3" s="72"/>
      <c r="W3" s="72"/>
      <c r="X3" s="72"/>
      <c r="Y3" s="127"/>
      <c r="Z3" s="127"/>
      <c r="AA3" s="127"/>
      <c r="AB3" s="127"/>
      <c r="AC3" s="127"/>
    </row>
    <row r="4" spans="1:35" ht="15.95" customHeight="1" thickBot="1" x14ac:dyDescent="0.3">
      <c r="B4" s="39" t="str">
        <f>IF(B1=V2,"","Die besonderen Leistungen sind in den orange markierten Feldern zu bepreisen. ")</f>
        <v xml:space="preserve">Die besonderen Leistungen sind in den orange markierten Feldern zu bepreisen. </v>
      </c>
      <c r="K4" s="535" t="s">
        <v>17</v>
      </c>
      <c r="L4" s="1389" t="str">
        <f>IF(Überblick!D19=0,"",Überblick!D19)</f>
        <v/>
      </c>
      <c r="M4" s="1389"/>
      <c r="N4" s="1389"/>
      <c r="P4" s="72"/>
      <c r="V4" s="72"/>
      <c r="W4" s="72"/>
      <c r="X4" s="127"/>
      <c r="Y4" s="127"/>
      <c r="Z4" s="127"/>
      <c r="AA4" s="127"/>
      <c r="AB4" s="127"/>
      <c r="AC4" s="127"/>
    </row>
    <row r="5" spans="1:35" ht="15.95" customHeight="1" outlineLevel="1" x14ac:dyDescent="0.25">
      <c r="A5" s="500"/>
      <c r="B5" s="2093" t="s">
        <v>696</v>
      </c>
      <c r="C5" s="2051"/>
      <c r="D5" s="2051"/>
      <c r="E5" s="2051"/>
      <c r="F5" s="2051"/>
      <c r="G5" s="2051"/>
      <c r="H5" s="2051"/>
      <c r="I5" s="2096" t="s">
        <v>151</v>
      </c>
      <c r="J5" s="2051" t="s">
        <v>697</v>
      </c>
      <c r="K5" s="2051" t="s">
        <v>698</v>
      </c>
      <c r="L5" s="2048" t="s">
        <v>691</v>
      </c>
      <c r="M5" s="2051" t="s">
        <v>156</v>
      </c>
      <c r="N5" s="2054" t="s">
        <v>157</v>
      </c>
      <c r="O5" s="184"/>
      <c r="P5" s="477"/>
      <c r="Q5" s="114"/>
      <c r="R5" s="114"/>
      <c r="S5" s="70"/>
      <c r="T5" s="70"/>
      <c r="U5" s="70"/>
      <c r="V5" s="73"/>
      <c r="W5" s="73"/>
      <c r="X5" s="419"/>
      <c r="Y5" s="127"/>
      <c r="Z5" s="127"/>
      <c r="AA5" s="127"/>
      <c r="AB5" s="127"/>
      <c r="AC5" s="127"/>
      <c r="AD5" s="68"/>
      <c r="AE5" s="68"/>
      <c r="AF5" s="68"/>
      <c r="AG5" s="68"/>
    </row>
    <row r="6" spans="1:35" ht="15.95" customHeight="1" outlineLevel="1" x14ac:dyDescent="0.25">
      <c r="A6" s="500"/>
      <c r="B6" s="2094"/>
      <c r="C6" s="2052"/>
      <c r="D6" s="2052"/>
      <c r="E6" s="2052"/>
      <c r="F6" s="2052"/>
      <c r="G6" s="2052"/>
      <c r="H6" s="2052"/>
      <c r="I6" s="2097"/>
      <c r="J6" s="2052"/>
      <c r="K6" s="2052"/>
      <c r="L6" s="2049"/>
      <c r="M6" s="2052"/>
      <c r="N6" s="2055"/>
      <c r="O6" s="184"/>
      <c r="P6" s="477"/>
      <c r="Q6" s="114"/>
      <c r="R6" s="114"/>
      <c r="S6" s="70"/>
      <c r="T6" s="70"/>
      <c r="U6" s="70"/>
      <c r="V6" s="73"/>
      <c r="W6" s="73"/>
      <c r="X6" s="420"/>
      <c r="Y6" s="127"/>
      <c r="Z6" s="127"/>
      <c r="AA6" s="127"/>
      <c r="AB6" s="127"/>
      <c r="AC6" s="127"/>
      <c r="AD6" s="68"/>
      <c r="AE6" s="68"/>
      <c r="AF6" s="68"/>
      <c r="AG6" s="68"/>
    </row>
    <row r="7" spans="1:35" ht="15" customHeight="1" outlineLevel="1" thickBot="1" x14ac:dyDescent="0.3">
      <c r="A7" s="500"/>
      <c r="B7" s="2095"/>
      <c r="C7" s="2053"/>
      <c r="D7" s="2053"/>
      <c r="E7" s="2053"/>
      <c r="F7" s="2053"/>
      <c r="G7" s="2053"/>
      <c r="H7" s="2053"/>
      <c r="I7" s="932"/>
      <c r="J7" s="2053"/>
      <c r="K7" s="2053"/>
      <c r="L7" s="2050"/>
      <c r="M7" s="2053"/>
      <c r="N7" s="2056"/>
      <c r="O7" s="184"/>
      <c r="P7" s="477"/>
      <c r="Q7" s="114"/>
      <c r="R7" s="114"/>
      <c r="S7" s="70"/>
      <c r="T7" s="70"/>
      <c r="U7" s="70"/>
      <c r="V7" s="73"/>
      <c r="W7" s="73"/>
      <c r="X7" s="420"/>
      <c r="Y7" s="127"/>
      <c r="Z7" s="127"/>
      <c r="AA7" s="127"/>
      <c r="AB7" s="127"/>
      <c r="AC7" s="127"/>
      <c r="AD7" s="68"/>
      <c r="AE7" s="68"/>
      <c r="AF7" s="68"/>
      <c r="AG7" s="68"/>
      <c r="AH7" s="68"/>
      <c r="AI7" s="68"/>
    </row>
    <row r="8" spans="1:35" ht="15" customHeight="1" outlineLevel="1" x14ac:dyDescent="0.25">
      <c r="A8" s="500"/>
      <c r="B8" s="2030" t="s">
        <v>699</v>
      </c>
      <c r="C8" s="2031"/>
      <c r="D8" s="2031"/>
      <c r="E8" s="2031"/>
      <c r="F8" s="2031"/>
      <c r="G8" s="2031"/>
      <c r="H8" s="2031"/>
      <c r="I8" s="1727" t="s">
        <v>100</v>
      </c>
      <c r="J8" s="2037"/>
      <c r="K8" s="2038"/>
      <c r="L8" s="1029">
        <f>J8*K8</f>
        <v>0</v>
      </c>
      <c r="M8" s="2032" t="str">
        <f>IFERROR(IF((VLOOKUP(N8,Überblick!$M$125:$N$133,2))="ja","ja","nein"),"")</f>
        <v/>
      </c>
      <c r="N8" s="2035"/>
      <c r="O8" s="72">
        <f t="shared" ref="O8:O46" si="0">IF(AND(I8="ja",J8=""),1,0)</f>
        <v>0</v>
      </c>
      <c r="P8" s="78">
        <f>IF(I8="ja",1,0)</f>
        <v>0</v>
      </c>
      <c r="T8" s="214"/>
      <c r="U8" s="214"/>
      <c r="V8" s="398"/>
      <c r="W8" s="398"/>
      <c r="X8" s="421"/>
      <c r="Y8" s="421"/>
      <c r="Z8" s="421"/>
      <c r="AA8" s="127"/>
      <c r="AB8" s="127"/>
      <c r="AC8" s="127"/>
    </row>
    <row r="9" spans="1:35" ht="15.95" customHeight="1" outlineLevel="1" x14ac:dyDescent="0.25">
      <c r="A9" s="500"/>
      <c r="B9" s="2024"/>
      <c r="C9" s="2025"/>
      <c r="D9" s="2025"/>
      <c r="E9" s="2025"/>
      <c r="F9" s="2025"/>
      <c r="G9" s="2025"/>
      <c r="H9" s="2025"/>
      <c r="I9" s="1743"/>
      <c r="J9" s="2034"/>
      <c r="K9" s="1619"/>
      <c r="L9" s="2057"/>
      <c r="M9" s="2033"/>
      <c r="N9" s="2036"/>
      <c r="P9" s="78"/>
      <c r="T9" s="214"/>
      <c r="U9" s="214"/>
      <c r="V9" s="398"/>
      <c r="W9" s="398"/>
      <c r="X9" s="421"/>
      <c r="Y9" s="421"/>
      <c r="Z9" s="421"/>
      <c r="AA9" s="127"/>
      <c r="AB9" s="127"/>
      <c r="AC9" s="127"/>
    </row>
    <row r="10" spans="1:35" ht="14.25" customHeight="1" outlineLevel="1" x14ac:dyDescent="0.25">
      <c r="A10" s="500"/>
      <c r="B10" s="2110" t="s">
        <v>700</v>
      </c>
      <c r="C10" s="2111"/>
      <c r="D10" s="2111"/>
      <c r="E10" s="2111"/>
      <c r="F10" s="2111"/>
      <c r="G10" s="2111"/>
      <c r="H10" s="2111"/>
      <c r="I10" s="1727" t="s">
        <v>100</v>
      </c>
      <c r="J10" s="2029"/>
      <c r="K10" s="974"/>
      <c r="L10" s="2018">
        <f t="shared" ref="L10" si="1">J10*K10</f>
        <v>0</v>
      </c>
      <c r="M10" s="2032" t="str">
        <f>IFERROR(IF((VLOOKUP(N10,Überblick!$M$125:$N$133,2))="ja","ja","nein"),"")</f>
        <v/>
      </c>
      <c r="N10" s="2022"/>
      <c r="O10" s="72">
        <f t="shared" si="0"/>
        <v>0</v>
      </c>
      <c r="P10" s="78">
        <f t="shared" ref="P10:P68" si="2">IF(I10="ja",1,0)</f>
        <v>0</v>
      </c>
      <c r="T10" s="214"/>
      <c r="U10" s="214"/>
      <c r="V10" s="398"/>
      <c r="W10" s="398"/>
      <c r="X10" s="421"/>
      <c r="Y10" s="421"/>
      <c r="Z10" s="421"/>
      <c r="AA10" s="422"/>
      <c r="AB10" s="127"/>
      <c r="AC10" s="127"/>
    </row>
    <row r="11" spans="1:35" ht="15" customHeight="1" outlineLevel="1" x14ac:dyDescent="0.25">
      <c r="A11" s="500"/>
      <c r="B11" s="2110"/>
      <c r="C11" s="2111"/>
      <c r="D11" s="2111"/>
      <c r="E11" s="2111"/>
      <c r="F11" s="2111"/>
      <c r="G11" s="2111"/>
      <c r="H11" s="2111"/>
      <c r="I11" s="1743"/>
      <c r="J11" s="2034"/>
      <c r="K11" s="1619"/>
      <c r="L11" s="2018"/>
      <c r="M11" s="2033"/>
      <c r="N11" s="2022"/>
      <c r="P11" s="78"/>
      <c r="T11" s="214"/>
      <c r="U11" s="214"/>
      <c r="V11" s="398"/>
      <c r="W11" s="398"/>
      <c r="X11" s="421"/>
      <c r="Y11" s="421"/>
      <c r="Z11" s="421"/>
      <c r="AA11" s="422"/>
      <c r="AB11" s="127"/>
      <c r="AC11" s="127"/>
    </row>
    <row r="12" spans="1:35" ht="13.6" customHeight="1" outlineLevel="1" x14ac:dyDescent="0.25">
      <c r="A12" s="500"/>
      <c r="B12" s="2024" t="s">
        <v>701</v>
      </c>
      <c r="C12" s="2025"/>
      <c r="D12" s="2025"/>
      <c r="E12" s="2025"/>
      <c r="F12" s="2025"/>
      <c r="G12" s="2025"/>
      <c r="H12" s="2025"/>
      <c r="I12" s="1727" t="s">
        <v>100</v>
      </c>
      <c r="J12" s="2029"/>
      <c r="K12" s="974"/>
      <c r="L12" s="2018">
        <f t="shared" ref="L12" si="3">J12*K12</f>
        <v>0</v>
      </c>
      <c r="M12" s="2032" t="str">
        <f>IFERROR(IF((VLOOKUP(N12,Überblick!$M$125:$N$133,2))="ja","ja","nein"),"")</f>
        <v/>
      </c>
      <c r="N12" s="2022"/>
      <c r="O12" s="72">
        <f t="shared" si="0"/>
        <v>0</v>
      </c>
      <c r="P12" s="78">
        <f t="shared" si="2"/>
        <v>0</v>
      </c>
      <c r="T12" s="214"/>
      <c r="U12" s="214"/>
      <c r="V12" s="398"/>
      <c r="W12" s="398"/>
      <c r="X12" s="421"/>
      <c r="Y12" s="421"/>
      <c r="Z12" s="421"/>
      <c r="AA12" s="422"/>
      <c r="AB12" s="127"/>
      <c r="AC12" s="127"/>
    </row>
    <row r="13" spans="1:35" ht="13.6" customHeight="1" outlineLevel="1" x14ac:dyDescent="0.25">
      <c r="A13" s="500"/>
      <c r="B13" s="2024"/>
      <c r="C13" s="2025"/>
      <c r="D13" s="2025"/>
      <c r="E13" s="2025"/>
      <c r="F13" s="2025"/>
      <c r="G13" s="2025"/>
      <c r="H13" s="2025"/>
      <c r="I13" s="1743"/>
      <c r="J13" s="2034"/>
      <c r="K13" s="1619"/>
      <c r="L13" s="2018"/>
      <c r="M13" s="2033"/>
      <c r="N13" s="2022"/>
      <c r="P13" s="78"/>
      <c r="T13" s="214"/>
      <c r="U13" s="214"/>
      <c r="V13" s="398"/>
      <c r="W13" s="398"/>
      <c r="X13" s="421"/>
      <c r="Y13" s="421"/>
      <c r="Z13" s="421"/>
      <c r="AA13" s="422"/>
      <c r="AB13" s="127"/>
      <c r="AC13" s="127"/>
    </row>
    <row r="14" spans="1:35" ht="15.95" customHeight="1" outlineLevel="1" x14ac:dyDescent="0.25">
      <c r="A14" s="500"/>
      <c r="B14" s="2024" t="s">
        <v>702</v>
      </c>
      <c r="C14" s="2025"/>
      <c r="D14" s="2025"/>
      <c r="E14" s="2025"/>
      <c r="F14" s="2025"/>
      <c r="G14" s="2025"/>
      <c r="H14" s="2025"/>
      <c r="I14" s="1727" t="s">
        <v>100</v>
      </c>
      <c r="J14" s="2029"/>
      <c r="K14" s="974"/>
      <c r="L14" s="2018">
        <f t="shared" ref="L14" si="4">J14*K14</f>
        <v>0</v>
      </c>
      <c r="M14" s="2032" t="str">
        <f>IFERROR(IF((VLOOKUP(N14,Überblick!$M$125:$N$133,2))="ja","ja","nein"),"")</f>
        <v/>
      </c>
      <c r="N14" s="2022"/>
      <c r="O14" s="72">
        <f t="shared" si="0"/>
        <v>0</v>
      </c>
      <c r="P14" s="78">
        <f t="shared" si="2"/>
        <v>0</v>
      </c>
      <c r="T14" s="214"/>
      <c r="U14" s="214"/>
      <c r="V14" s="398"/>
      <c r="W14" s="398"/>
      <c r="X14" s="421"/>
      <c r="Y14" s="421"/>
      <c r="Z14" s="421"/>
      <c r="AA14" s="422"/>
      <c r="AB14" s="127"/>
      <c r="AC14" s="127"/>
    </row>
    <row r="15" spans="1:35" ht="15.95" customHeight="1" outlineLevel="1" x14ac:dyDescent="0.25">
      <c r="A15" s="500"/>
      <c r="B15" s="2024"/>
      <c r="C15" s="2025"/>
      <c r="D15" s="2025"/>
      <c r="E15" s="2025"/>
      <c r="F15" s="2025"/>
      <c r="G15" s="2025"/>
      <c r="H15" s="2025"/>
      <c r="I15" s="1743"/>
      <c r="J15" s="2034"/>
      <c r="K15" s="1619"/>
      <c r="L15" s="2018"/>
      <c r="M15" s="2033"/>
      <c r="N15" s="2022"/>
      <c r="P15" s="78"/>
      <c r="T15" s="214"/>
      <c r="U15" s="214"/>
      <c r="V15" s="398"/>
      <c r="W15" s="398"/>
      <c r="X15" s="421"/>
      <c r="Y15" s="421"/>
      <c r="Z15" s="421"/>
      <c r="AA15" s="422"/>
      <c r="AB15" s="127"/>
      <c r="AC15" s="127"/>
    </row>
    <row r="16" spans="1:35" ht="14.25" customHeight="1" outlineLevel="1" x14ac:dyDescent="0.25">
      <c r="A16" s="500"/>
      <c r="B16" s="2024" t="s">
        <v>703</v>
      </c>
      <c r="C16" s="2025"/>
      <c r="D16" s="2025"/>
      <c r="E16" s="2025"/>
      <c r="F16" s="2025"/>
      <c r="G16" s="2025"/>
      <c r="H16" s="2025"/>
      <c r="I16" s="1727" t="s">
        <v>100</v>
      </c>
      <c r="J16" s="2029"/>
      <c r="K16" s="974"/>
      <c r="L16" s="2018">
        <f t="shared" ref="L16" si="5">J16*K16</f>
        <v>0</v>
      </c>
      <c r="M16" s="2032" t="str">
        <f>IFERROR(IF((VLOOKUP(N16,Überblick!$M$125:$N$133,2))="ja","ja","nein"),"")</f>
        <v/>
      </c>
      <c r="N16" s="2022"/>
      <c r="O16" s="72">
        <f t="shared" si="0"/>
        <v>0</v>
      </c>
      <c r="P16" s="78">
        <f t="shared" si="2"/>
        <v>0</v>
      </c>
      <c r="T16" s="214"/>
      <c r="U16" s="214"/>
      <c r="V16" s="398"/>
      <c r="W16" s="398"/>
      <c r="X16" s="421"/>
      <c r="Y16" s="421"/>
      <c r="Z16" s="421"/>
      <c r="AA16" s="423"/>
      <c r="AB16" s="423"/>
      <c r="AC16" s="127"/>
    </row>
    <row r="17" spans="1:39" ht="14.25" customHeight="1" outlineLevel="1" x14ac:dyDescent="0.25">
      <c r="A17" s="500"/>
      <c r="B17" s="2024"/>
      <c r="C17" s="2025"/>
      <c r="D17" s="2025"/>
      <c r="E17" s="2025"/>
      <c r="F17" s="2025"/>
      <c r="G17" s="2025"/>
      <c r="H17" s="2025"/>
      <c r="I17" s="1743"/>
      <c r="J17" s="2034"/>
      <c r="K17" s="1619"/>
      <c r="L17" s="2018"/>
      <c r="M17" s="2033"/>
      <c r="N17" s="2022"/>
      <c r="P17" s="78"/>
      <c r="T17" s="214"/>
      <c r="U17" s="214"/>
      <c r="V17" s="398"/>
      <c r="W17" s="398"/>
      <c r="X17" s="421"/>
      <c r="Y17" s="421"/>
      <c r="Z17" s="421"/>
      <c r="AA17" s="422"/>
      <c r="AB17" s="127"/>
      <c r="AC17" s="127"/>
    </row>
    <row r="18" spans="1:39" ht="14.25" customHeight="1" outlineLevel="1" x14ac:dyDescent="0.25">
      <c r="A18" s="500"/>
      <c r="B18" s="2024" t="s">
        <v>704</v>
      </c>
      <c r="C18" s="2025"/>
      <c r="D18" s="2025"/>
      <c r="E18" s="2025"/>
      <c r="F18" s="2025"/>
      <c r="G18" s="2025"/>
      <c r="H18" s="2025"/>
      <c r="I18" s="1727" t="s">
        <v>100</v>
      </c>
      <c r="J18" s="2029"/>
      <c r="K18" s="974"/>
      <c r="L18" s="2018">
        <f t="shared" ref="L18" si="6">J18*K18</f>
        <v>0</v>
      </c>
      <c r="M18" s="2032" t="str">
        <f>IFERROR(IF((VLOOKUP(N18,Überblick!$M$125:$N$133,2))="ja","ja","nein"),"")</f>
        <v/>
      </c>
      <c r="N18" s="2022"/>
      <c r="O18" s="72">
        <f t="shared" si="0"/>
        <v>0</v>
      </c>
      <c r="P18" s="78">
        <f t="shared" si="2"/>
        <v>0</v>
      </c>
      <c r="T18" s="214"/>
      <c r="U18" s="214"/>
      <c r="V18" s="398"/>
      <c r="W18" s="398"/>
      <c r="X18" s="421"/>
      <c r="Y18" s="421"/>
      <c r="Z18" s="421"/>
      <c r="AA18" s="422"/>
      <c r="AB18" s="127"/>
      <c r="AC18" s="127"/>
    </row>
    <row r="19" spans="1:39" ht="14.25" customHeight="1" outlineLevel="1" x14ac:dyDescent="0.25">
      <c r="A19" s="500"/>
      <c r="B19" s="2024"/>
      <c r="C19" s="2025"/>
      <c r="D19" s="2025"/>
      <c r="E19" s="2025"/>
      <c r="F19" s="2025"/>
      <c r="G19" s="2025"/>
      <c r="H19" s="2025"/>
      <c r="I19" s="1743"/>
      <c r="J19" s="2034"/>
      <c r="K19" s="1619"/>
      <c r="L19" s="2018"/>
      <c r="M19" s="2033"/>
      <c r="N19" s="2022"/>
      <c r="P19" s="78"/>
      <c r="T19" s="214"/>
      <c r="U19" s="214"/>
      <c r="V19" s="398"/>
      <c r="W19" s="421"/>
      <c r="X19" s="421"/>
      <c r="Y19" s="421"/>
      <c r="Z19" s="421"/>
      <c r="AA19" s="422"/>
      <c r="AB19" s="127"/>
      <c r="AC19" s="127"/>
    </row>
    <row r="20" spans="1:39" ht="14.25" customHeight="1" outlineLevel="1" x14ac:dyDescent="0.25">
      <c r="A20" s="500"/>
      <c r="B20" s="2024" t="s">
        <v>705</v>
      </c>
      <c r="C20" s="2025"/>
      <c r="D20" s="2025"/>
      <c r="E20" s="2025"/>
      <c r="F20" s="2025"/>
      <c r="G20" s="2025"/>
      <c r="H20" s="2025"/>
      <c r="I20" s="1727" t="s">
        <v>100</v>
      </c>
      <c r="J20" s="2029"/>
      <c r="K20" s="974"/>
      <c r="L20" s="2018">
        <f t="shared" ref="L20" si="7">J20*K20</f>
        <v>0</v>
      </c>
      <c r="M20" s="2032" t="str">
        <f>IFERROR(IF((VLOOKUP(N20,Überblick!$M$125:$N$133,2))="ja","ja","nein"),"")</f>
        <v/>
      </c>
      <c r="N20" s="2022"/>
      <c r="O20" s="72">
        <f t="shared" si="0"/>
        <v>0</v>
      </c>
      <c r="P20" s="78">
        <f t="shared" si="2"/>
        <v>0</v>
      </c>
      <c r="T20" s="214"/>
      <c r="U20" s="214"/>
      <c r="V20" s="398"/>
      <c r="W20" s="421"/>
      <c r="X20" s="421"/>
      <c r="Y20" s="421"/>
      <c r="Z20" s="421"/>
      <c r="AA20" s="422"/>
      <c r="AB20" s="127"/>
      <c r="AC20" s="127"/>
    </row>
    <row r="21" spans="1:39" ht="14.25" customHeight="1" outlineLevel="1" x14ac:dyDescent="0.25">
      <c r="A21" s="500"/>
      <c r="B21" s="2024"/>
      <c r="C21" s="2025"/>
      <c r="D21" s="2025"/>
      <c r="E21" s="2025"/>
      <c r="F21" s="2025"/>
      <c r="G21" s="2025"/>
      <c r="H21" s="2025"/>
      <c r="I21" s="1743"/>
      <c r="J21" s="2034"/>
      <c r="K21" s="1619"/>
      <c r="L21" s="2018"/>
      <c r="M21" s="2033"/>
      <c r="N21" s="2022"/>
      <c r="P21" s="78"/>
      <c r="T21" s="214"/>
      <c r="U21" s="214"/>
      <c r="V21" s="398"/>
      <c r="W21" s="421"/>
      <c r="X21" s="421"/>
      <c r="Y21" s="421"/>
      <c r="Z21" s="421"/>
      <c r="AA21" s="422"/>
      <c r="AB21" s="127"/>
      <c r="AC21" s="127"/>
    </row>
    <row r="22" spans="1:39" ht="14.25" customHeight="1" outlineLevel="1" x14ac:dyDescent="0.25">
      <c r="A22" s="500"/>
      <c r="B22" s="2024" t="s">
        <v>706</v>
      </c>
      <c r="C22" s="2025"/>
      <c r="D22" s="2025"/>
      <c r="E22" s="2025"/>
      <c r="F22" s="2025"/>
      <c r="G22" s="2025"/>
      <c r="H22" s="2025"/>
      <c r="I22" s="1727" t="s">
        <v>100</v>
      </c>
      <c r="J22" s="2029"/>
      <c r="K22" s="974"/>
      <c r="L22" s="2018">
        <f t="shared" ref="L22" si="8">J22*K22</f>
        <v>0</v>
      </c>
      <c r="M22" s="2032" t="str">
        <f>IFERROR(IF((VLOOKUP(N22,Überblick!$M$125:$N$133,2))="ja","ja","nein"),"")</f>
        <v/>
      </c>
      <c r="N22" s="2022"/>
      <c r="O22" s="72">
        <f t="shared" si="0"/>
        <v>0</v>
      </c>
      <c r="P22" s="78">
        <f t="shared" si="2"/>
        <v>0</v>
      </c>
      <c r="T22" s="214"/>
      <c r="U22" s="214"/>
      <c r="V22" s="398"/>
      <c r="W22" s="421"/>
      <c r="X22" s="421"/>
      <c r="Y22" s="421"/>
      <c r="Z22" s="421"/>
      <c r="AA22" s="422"/>
      <c r="AB22" s="127"/>
      <c r="AC22" s="127"/>
    </row>
    <row r="23" spans="1:39" ht="14.25" customHeight="1" outlineLevel="1" x14ac:dyDescent="0.25">
      <c r="A23" s="500"/>
      <c r="B23" s="2024"/>
      <c r="C23" s="2025"/>
      <c r="D23" s="2025"/>
      <c r="E23" s="2025"/>
      <c r="F23" s="2025"/>
      <c r="G23" s="2025"/>
      <c r="H23" s="2025"/>
      <c r="I23" s="1743"/>
      <c r="J23" s="2034"/>
      <c r="K23" s="1619"/>
      <c r="L23" s="2018"/>
      <c r="M23" s="2033"/>
      <c r="N23" s="2022"/>
      <c r="P23" s="78"/>
      <c r="T23" s="214"/>
      <c r="U23" s="214"/>
      <c r="V23" s="398"/>
      <c r="W23" s="421"/>
      <c r="X23" s="421"/>
      <c r="Y23" s="421"/>
      <c r="Z23" s="421"/>
      <c r="AA23" s="422"/>
      <c r="AB23" s="127"/>
      <c r="AC23" s="127"/>
    </row>
    <row r="24" spans="1:39" ht="14.25" customHeight="1" outlineLevel="1" x14ac:dyDescent="0.25">
      <c r="A24" s="500"/>
      <c r="B24" s="2024" t="s">
        <v>707</v>
      </c>
      <c r="C24" s="2025"/>
      <c r="D24" s="2025"/>
      <c r="E24" s="2025"/>
      <c r="F24" s="2025"/>
      <c r="G24" s="2025"/>
      <c r="H24" s="2025"/>
      <c r="I24" s="1727" t="s">
        <v>100</v>
      </c>
      <c r="J24" s="2026"/>
      <c r="K24" s="972"/>
      <c r="L24" s="2018">
        <f t="shared" ref="L24" si="9">J24*K24</f>
        <v>0</v>
      </c>
      <c r="M24" s="2032" t="str">
        <f>IFERROR(IF((VLOOKUP(N24,Überblick!$M$125:$N$133,2))="ja","ja","nein"),"")</f>
        <v/>
      </c>
      <c r="N24" s="2022"/>
      <c r="O24" s="72">
        <f t="shared" si="0"/>
        <v>0</v>
      </c>
      <c r="P24" s="78">
        <f t="shared" si="2"/>
        <v>0</v>
      </c>
      <c r="T24" s="214"/>
      <c r="U24" s="214"/>
      <c r="V24" s="398"/>
      <c r="W24" s="421"/>
      <c r="X24" s="421"/>
      <c r="Y24" s="421"/>
      <c r="Z24" s="421"/>
      <c r="AA24" s="422"/>
      <c r="AB24" s="127"/>
      <c r="AC24" s="127"/>
      <c r="AD24" s="72"/>
      <c r="AE24" s="72"/>
      <c r="AF24" s="72"/>
      <c r="AG24" s="72"/>
      <c r="AH24" s="72"/>
      <c r="AI24" s="72"/>
      <c r="AJ24" s="72"/>
      <c r="AK24" s="72"/>
      <c r="AL24" s="72"/>
      <c r="AM24" s="72"/>
    </row>
    <row r="25" spans="1:39" ht="14.25" customHeight="1" outlineLevel="1" x14ac:dyDescent="0.25">
      <c r="A25" s="500"/>
      <c r="B25" s="2024"/>
      <c r="C25" s="2025"/>
      <c r="D25" s="2025"/>
      <c r="E25" s="2025"/>
      <c r="F25" s="2025"/>
      <c r="G25" s="2025"/>
      <c r="H25" s="2025"/>
      <c r="I25" s="1743"/>
      <c r="J25" s="2026"/>
      <c r="K25" s="972"/>
      <c r="L25" s="2018"/>
      <c r="M25" s="2033"/>
      <c r="N25" s="2022"/>
      <c r="P25" s="78"/>
      <c r="T25" s="214"/>
      <c r="U25" s="214"/>
      <c r="V25" s="398"/>
      <c r="W25" s="421"/>
      <c r="X25" s="421"/>
      <c r="Y25" s="421"/>
      <c r="Z25" s="421"/>
      <c r="AA25" s="422"/>
      <c r="AB25" s="127"/>
      <c r="AC25" s="127"/>
      <c r="AD25" s="72"/>
      <c r="AE25" s="72"/>
      <c r="AF25" s="72"/>
      <c r="AG25" s="72"/>
      <c r="AH25" s="72"/>
      <c r="AI25" s="72"/>
      <c r="AJ25" s="72"/>
      <c r="AK25" s="72"/>
      <c r="AL25" s="72"/>
      <c r="AM25" s="72"/>
    </row>
    <row r="26" spans="1:39" ht="14.25" customHeight="1" outlineLevel="1" x14ac:dyDescent="0.25">
      <c r="A26" s="500"/>
      <c r="B26" s="2024" t="s">
        <v>708</v>
      </c>
      <c r="C26" s="2025"/>
      <c r="D26" s="2025"/>
      <c r="E26" s="2025"/>
      <c r="F26" s="2025"/>
      <c r="G26" s="2025"/>
      <c r="H26" s="2025"/>
      <c r="I26" s="1727" t="s">
        <v>100</v>
      </c>
      <c r="J26" s="2026"/>
      <c r="K26" s="972"/>
      <c r="L26" s="2018">
        <f t="shared" ref="L26" si="10">J26*K26</f>
        <v>0</v>
      </c>
      <c r="M26" s="2032" t="str">
        <f>IFERROR(IF((VLOOKUP(N26,Überblick!$M$125:$N$133,2))="ja","ja","nein"),"")</f>
        <v/>
      </c>
      <c r="N26" s="2022"/>
      <c r="O26" s="72">
        <f t="shared" si="0"/>
        <v>0</v>
      </c>
      <c r="P26" s="78">
        <f t="shared" si="2"/>
        <v>0</v>
      </c>
      <c r="T26" s="214"/>
      <c r="U26" s="214"/>
      <c r="V26" s="398"/>
      <c r="W26" s="421"/>
      <c r="X26" s="421"/>
      <c r="Y26" s="421"/>
      <c r="Z26" s="421"/>
      <c r="AA26" s="422"/>
      <c r="AB26" s="127"/>
      <c r="AC26" s="127"/>
      <c r="AD26" s="72"/>
      <c r="AE26" s="72"/>
      <c r="AF26" s="72"/>
      <c r="AG26" s="72"/>
      <c r="AH26" s="72"/>
      <c r="AI26" s="72"/>
      <c r="AJ26" s="72"/>
      <c r="AK26" s="72"/>
      <c r="AL26" s="72"/>
      <c r="AM26" s="72"/>
    </row>
    <row r="27" spans="1:39" ht="14.25" customHeight="1" outlineLevel="1" x14ac:dyDescent="0.25">
      <c r="A27" s="500"/>
      <c r="B27" s="2024"/>
      <c r="C27" s="2025"/>
      <c r="D27" s="2025"/>
      <c r="E27" s="2025"/>
      <c r="F27" s="2025"/>
      <c r="G27" s="2025"/>
      <c r="H27" s="2025"/>
      <c r="I27" s="1743"/>
      <c r="J27" s="2026"/>
      <c r="K27" s="972"/>
      <c r="L27" s="2018"/>
      <c r="M27" s="2033"/>
      <c r="N27" s="2022"/>
      <c r="P27" s="78"/>
      <c r="T27" s="214"/>
      <c r="U27" s="214"/>
      <c r="V27" s="398"/>
      <c r="W27" s="421"/>
      <c r="X27" s="421"/>
      <c r="Y27" s="421"/>
      <c r="Z27" s="421"/>
      <c r="AA27" s="422"/>
      <c r="AB27" s="127"/>
      <c r="AC27" s="127"/>
      <c r="AD27" s="72"/>
      <c r="AE27" s="72"/>
      <c r="AF27" s="72"/>
      <c r="AG27" s="72"/>
      <c r="AH27" s="72"/>
      <c r="AI27" s="72"/>
      <c r="AJ27" s="72"/>
      <c r="AK27" s="72"/>
      <c r="AL27" s="72"/>
      <c r="AM27" s="72"/>
    </row>
    <row r="28" spans="1:39" ht="14.25" customHeight="1" outlineLevel="1" x14ac:dyDescent="0.25">
      <c r="A28" s="500"/>
      <c r="B28" s="2024" t="s">
        <v>709</v>
      </c>
      <c r="C28" s="2025"/>
      <c r="D28" s="2025"/>
      <c r="E28" s="2025"/>
      <c r="F28" s="2025"/>
      <c r="G28" s="2025"/>
      <c r="H28" s="2025"/>
      <c r="I28" s="1727" t="s">
        <v>100</v>
      </c>
      <c r="J28" s="2026"/>
      <c r="K28" s="972"/>
      <c r="L28" s="2018">
        <f t="shared" ref="L28" si="11">J28*K28</f>
        <v>0</v>
      </c>
      <c r="M28" s="2032" t="str">
        <f>IFERROR(IF((VLOOKUP(N28,Überblick!$M$125:$N$133,2))="ja","ja","nein"),"")</f>
        <v/>
      </c>
      <c r="N28" s="2022"/>
      <c r="O28" s="72">
        <f t="shared" si="0"/>
        <v>0</v>
      </c>
      <c r="P28" s="78">
        <f t="shared" si="2"/>
        <v>0</v>
      </c>
      <c r="T28" s="214"/>
      <c r="U28" s="214"/>
      <c r="V28" s="398"/>
      <c r="W28" s="421"/>
      <c r="X28" s="421"/>
      <c r="Y28" s="421"/>
      <c r="Z28" s="421"/>
      <c r="AA28" s="422"/>
      <c r="AB28" s="127"/>
      <c r="AC28" s="127"/>
      <c r="AD28" s="72"/>
      <c r="AE28" s="72"/>
      <c r="AF28" s="72"/>
      <c r="AG28" s="72"/>
      <c r="AH28" s="72"/>
      <c r="AI28" s="72"/>
      <c r="AJ28" s="72"/>
      <c r="AK28" s="72"/>
      <c r="AL28" s="72"/>
      <c r="AM28" s="72"/>
    </row>
    <row r="29" spans="1:39" ht="14.25" customHeight="1" outlineLevel="1" x14ac:dyDescent="0.25">
      <c r="A29" s="500"/>
      <c r="B29" s="2024"/>
      <c r="C29" s="2025"/>
      <c r="D29" s="2025"/>
      <c r="E29" s="2025"/>
      <c r="F29" s="2025"/>
      <c r="G29" s="2025"/>
      <c r="H29" s="2025"/>
      <c r="I29" s="1743"/>
      <c r="J29" s="2026"/>
      <c r="K29" s="972"/>
      <c r="L29" s="2018"/>
      <c r="M29" s="2033"/>
      <c r="N29" s="2022"/>
      <c r="P29" s="78"/>
      <c r="T29" s="214"/>
      <c r="U29" s="214"/>
      <c r="V29" s="398"/>
      <c r="W29" s="421"/>
      <c r="X29" s="421"/>
      <c r="Y29" s="421"/>
      <c r="Z29" s="421"/>
      <c r="AA29" s="422"/>
      <c r="AB29" s="127"/>
      <c r="AC29" s="127"/>
      <c r="AD29" s="72"/>
      <c r="AE29" s="72"/>
      <c r="AF29" s="72"/>
      <c r="AG29" s="72"/>
      <c r="AH29" s="72"/>
      <c r="AI29" s="72"/>
      <c r="AJ29" s="72"/>
      <c r="AK29" s="72"/>
      <c r="AL29" s="72"/>
      <c r="AM29" s="72"/>
    </row>
    <row r="30" spans="1:39" ht="14.25" customHeight="1" outlineLevel="1" x14ac:dyDescent="0.25">
      <c r="A30" s="500"/>
      <c r="B30" s="2024" t="s">
        <v>710</v>
      </c>
      <c r="C30" s="2025"/>
      <c r="D30" s="2025"/>
      <c r="E30" s="2025"/>
      <c r="F30" s="2025"/>
      <c r="G30" s="2025"/>
      <c r="H30" s="2025"/>
      <c r="I30" s="1727" t="s">
        <v>100</v>
      </c>
      <c r="J30" s="2026"/>
      <c r="K30" s="972"/>
      <c r="L30" s="2018">
        <f t="shared" ref="L30" si="12">J30*K30</f>
        <v>0</v>
      </c>
      <c r="M30" s="2032" t="str">
        <f>IFERROR(IF((VLOOKUP(N30,Überblick!$M$125:$N$133,2))="ja","ja","nein"),"")</f>
        <v/>
      </c>
      <c r="N30" s="2022"/>
      <c r="O30" s="72">
        <f t="shared" si="0"/>
        <v>0</v>
      </c>
      <c r="P30" s="78">
        <f t="shared" si="2"/>
        <v>0</v>
      </c>
      <c r="T30" s="214"/>
      <c r="U30" s="214"/>
      <c r="V30" s="398"/>
      <c r="W30" s="398"/>
      <c r="X30" s="398"/>
      <c r="Y30" s="398"/>
      <c r="Z30" s="398"/>
      <c r="AA30" s="74"/>
      <c r="AB30" s="72"/>
      <c r="AC30" s="72"/>
      <c r="AD30" s="72"/>
      <c r="AE30" s="72"/>
      <c r="AF30" s="72"/>
      <c r="AG30" s="72"/>
      <c r="AH30" s="72"/>
      <c r="AI30" s="72"/>
      <c r="AJ30" s="72"/>
      <c r="AK30" s="72"/>
      <c r="AL30" s="72"/>
      <c r="AM30" s="72"/>
    </row>
    <row r="31" spans="1:39" ht="14.25" customHeight="1" outlineLevel="1" x14ac:dyDescent="0.25">
      <c r="A31" s="500"/>
      <c r="B31" s="2024"/>
      <c r="C31" s="2025"/>
      <c r="D31" s="2025"/>
      <c r="E31" s="2025"/>
      <c r="F31" s="2025"/>
      <c r="G31" s="2025"/>
      <c r="H31" s="2025"/>
      <c r="I31" s="1743"/>
      <c r="J31" s="2026"/>
      <c r="K31" s="972"/>
      <c r="L31" s="2018"/>
      <c r="M31" s="2033"/>
      <c r="N31" s="2022"/>
      <c r="P31" s="78"/>
      <c r="T31" s="214"/>
      <c r="U31" s="214"/>
      <c r="V31" s="398"/>
      <c r="W31" s="398"/>
      <c r="X31" s="398"/>
      <c r="Y31" s="398"/>
      <c r="Z31" s="398"/>
      <c r="AA31" s="74"/>
      <c r="AB31" s="72"/>
      <c r="AC31" s="72"/>
      <c r="AD31" s="72"/>
      <c r="AE31" s="72"/>
      <c r="AF31" s="72"/>
      <c r="AG31" s="72"/>
      <c r="AH31" s="72"/>
      <c r="AI31" s="72"/>
      <c r="AJ31" s="72"/>
      <c r="AK31" s="72"/>
      <c r="AL31" s="72"/>
      <c r="AM31" s="72"/>
    </row>
    <row r="32" spans="1:39" ht="14.25" customHeight="1" outlineLevel="1" x14ac:dyDescent="0.25">
      <c r="A32" s="500"/>
      <c r="B32" s="2024" t="s">
        <v>711</v>
      </c>
      <c r="C32" s="2025"/>
      <c r="D32" s="2025"/>
      <c r="E32" s="2025"/>
      <c r="F32" s="2025"/>
      <c r="G32" s="2025"/>
      <c r="H32" s="2025"/>
      <c r="I32" s="1727" t="s">
        <v>100</v>
      </c>
      <c r="J32" s="2026"/>
      <c r="K32" s="972"/>
      <c r="L32" s="2018">
        <f t="shared" ref="L32" si="13">J32*K32</f>
        <v>0</v>
      </c>
      <c r="M32" s="2032" t="str">
        <f>IFERROR(IF((VLOOKUP(N32,Überblick!$M$125:$N$133,2))="ja","ja","nein"),"")</f>
        <v/>
      </c>
      <c r="N32" s="2022"/>
      <c r="O32" s="72">
        <f t="shared" si="0"/>
        <v>0</v>
      </c>
      <c r="P32" s="78">
        <f t="shared" si="2"/>
        <v>0</v>
      </c>
      <c r="T32" s="214"/>
      <c r="U32" s="214"/>
      <c r="V32" s="398"/>
      <c r="W32" s="398"/>
      <c r="X32" s="398"/>
      <c r="Y32" s="398"/>
      <c r="Z32" s="398"/>
      <c r="AA32" s="150"/>
      <c r="AB32" s="150"/>
      <c r="AC32" s="72"/>
      <c r="AD32" s="72"/>
      <c r="AE32" s="72"/>
      <c r="AF32" s="72"/>
      <c r="AG32" s="72"/>
      <c r="AH32" s="72"/>
      <c r="AI32" s="72"/>
      <c r="AJ32" s="72"/>
      <c r="AK32" s="72"/>
      <c r="AL32" s="72"/>
      <c r="AM32" s="72"/>
    </row>
    <row r="33" spans="1:45" ht="14.25" customHeight="1" outlineLevel="1" x14ac:dyDescent="0.25">
      <c r="A33" s="500"/>
      <c r="B33" s="2024"/>
      <c r="C33" s="2025"/>
      <c r="D33" s="2025"/>
      <c r="E33" s="2025"/>
      <c r="F33" s="2025"/>
      <c r="G33" s="2025"/>
      <c r="H33" s="2025"/>
      <c r="I33" s="1743"/>
      <c r="J33" s="2026"/>
      <c r="K33" s="972"/>
      <c r="L33" s="2018"/>
      <c r="M33" s="2033"/>
      <c r="N33" s="2022"/>
      <c r="P33" s="78"/>
      <c r="T33" s="214"/>
      <c r="U33" s="214"/>
      <c r="V33" s="398"/>
      <c r="W33" s="398"/>
      <c r="X33" s="398"/>
      <c r="Y33" s="398"/>
      <c r="Z33" s="398"/>
      <c r="AA33" s="74"/>
      <c r="AB33" s="72"/>
      <c r="AC33" s="72"/>
      <c r="AD33" s="72"/>
      <c r="AE33" s="72"/>
      <c r="AF33" s="72"/>
      <c r="AG33" s="72"/>
      <c r="AH33" s="72"/>
      <c r="AI33" s="72"/>
      <c r="AJ33" s="72"/>
      <c r="AK33" s="72"/>
      <c r="AL33" s="72"/>
      <c r="AM33" s="72"/>
      <c r="AN33" s="68"/>
      <c r="AO33" s="68"/>
      <c r="AP33" s="68"/>
      <c r="AQ33" s="68"/>
      <c r="AR33" s="68"/>
      <c r="AS33" s="68"/>
    </row>
    <row r="34" spans="1:45" ht="15" customHeight="1" outlineLevel="1" x14ac:dyDescent="0.25">
      <c r="A34" s="500"/>
      <c r="B34" s="2024" t="s">
        <v>712</v>
      </c>
      <c r="C34" s="2025"/>
      <c r="D34" s="2025"/>
      <c r="E34" s="2025"/>
      <c r="F34" s="2025"/>
      <c r="G34" s="2025"/>
      <c r="H34" s="2025"/>
      <c r="I34" s="1727" t="s">
        <v>100</v>
      </c>
      <c r="J34" s="2026"/>
      <c r="K34" s="972"/>
      <c r="L34" s="2018">
        <f t="shared" ref="L34" si="14">J34*K34</f>
        <v>0</v>
      </c>
      <c r="M34" s="2032" t="str">
        <f>IFERROR(IF((VLOOKUP(N34,Überblick!$M$125:$N$133,2))="ja","ja","nein"),"")</f>
        <v/>
      </c>
      <c r="N34" s="2022"/>
      <c r="O34" s="72">
        <f t="shared" si="0"/>
        <v>0</v>
      </c>
      <c r="P34" s="78">
        <f t="shared" si="2"/>
        <v>0</v>
      </c>
      <c r="T34" s="214"/>
      <c r="U34" s="214"/>
      <c r="V34" s="398"/>
      <c r="W34" s="398"/>
      <c r="X34" s="398"/>
      <c r="Y34" s="398"/>
      <c r="Z34" s="398"/>
      <c r="AA34" s="74"/>
      <c r="AB34" s="72"/>
      <c r="AC34" s="72"/>
      <c r="AD34" s="72"/>
      <c r="AE34" s="72"/>
      <c r="AF34" s="72"/>
      <c r="AG34" s="72"/>
      <c r="AH34" s="72"/>
      <c r="AI34" s="72"/>
      <c r="AJ34" s="72"/>
      <c r="AK34" s="72"/>
      <c r="AL34" s="72"/>
      <c r="AM34" s="72"/>
      <c r="AN34" s="68"/>
      <c r="AO34" s="68"/>
      <c r="AP34" s="68"/>
      <c r="AQ34" s="68"/>
      <c r="AR34" s="68"/>
      <c r="AS34" s="68"/>
    </row>
    <row r="35" spans="1:45" ht="14.25" customHeight="1" outlineLevel="1" x14ac:dyDescent="0.25">
      <c r="A35" s="500"/>
      <c r="B35" s="2024"/>
      <c r="C35" s="2025"/>
      <c r="D35" s="2025"/>
      <c r="E35" s="2025"/>
      <c r="F35" s="2025"/>
      <c r="G35" s="2025"/>
      <c r="H35" s="2025"/>
      <c r="I35" s="1743"/>
      <c r="J35" s="2026"/>
      <c r="K35" s="972"/>
      <c r="L35" s="2018"/>
      <c r="M35" s="2033"/>
      <c r="N35" s="2022"/>
      <c r="P35" s="78"/>
      <c r="T35" s="214"/>
      <c r="U35" s="214"/>
      <c r="V35" s="398"/>
      <c r="W35" s="398"/>
      <c r="X35" s="398"/>
      <c r="Y35" s="398"/>
      <c r="Z35" s="398"/>
      <c r="AA35" s="74"/>
      <c r="AB35" s="72"/>
      <c r="AC35" s="72"/>
      <c r="AD35" s="72"/>
      <c r="AE35" s="72"/>
      <c r="AF35" s="72"/>
      <c r="AG35" s="72"/>
      <c r="AH35" s="72"/>
      <c r="AI35" s="72"/>
      <c r="AJ35" s="72"/>
      <c r="AK35" s="72"/>
      <c r="AL35" s="72"/>
      <c r="AM35" s="72"/>
      <c r="AN35" s="68"/>
      <c r="AO35" s="68"/>
      <c r="AP35" s="68"/>
      <c r="AQ35" s="68"/>
      <c r="AR35" s="68"/>
      <c r="AS35" s="68"/>
    </row>
    <row r="36" spans="1:45" ht="14.25" customHeight="1" outlineLevel="1" x14ac:dyDescent="0.25">
      <c r="A36" s="500"/>
      <c r="B36" s="2024" t="s">
        <v>713</v>
      </c>
      <c r="C36" s="2025"/>
      <c r="D36" s="2025"/>
      <c r="E36" s="2025"/>
      <c r="F36" s="2025"/>
      <c r="G36" s="2025"/>
      <c r="H36" s="2025"/>
      <c r="I36" s="1727" t="s">
        <v>100</v>
      </c>
      <c r="J36" s="2026"/>
      <c r="K36" s="972"/>
      <c r="L36" s="2018">
        <f t="shared" ref="L36" si="15">J36*K36</f>
        <v>0</v>
      </c>
      <c r="M36" s="2032" t="str">
        <f>IFERROR(IF((VLOOKUP(N36,Überblick!$M$125:$N$133,2))="ja","ja","nein"),"")</f>
        <v/>
      </c>
      <c r="N36" s="2022"/>
      <c r="O36" s="72">
        <f t="shared" si="0"/>
        <v>0</v>
      </c>
      <c r="P36" s="78">
        <f t="shared" si="2"/>
        <v>0</v>
      </c>
      <c r="T36" s="214"/>
      <c r="U36" s="214"/>
      <c r="V36" s="398"/>
      <c r="W36" s="398"/>
      <c r="X36" s="398"/>
      <c r="Y36" s="398"/>
      <c r="Z36" s="398"/>
      <c r="AA36" s="74"/>
      <c r="AB36" s="72"/>
      <c r="AC36" s="72"/>
      <c r="AD36" s="72"/>
      <c r="AE36" s="72"/>
      <c r="AF36" s="72"/>
      <c r="AG36" s="72"/>
      <c r="AH36" s="72"/>
      <c r="AI36" s="72"/>
      <c r="AJ36" s="72"/>
      <c r="AK36" s="72"/>
      <c r="AL36" s="72"/>
      <c r="AM36" s="72"/>
      <c r="AN36" s="68"/>
      <c r="AO36" s="68"/>
      <c r="AP36" s="68"/>
      <c r="AQ36" s="68"/>
      <c r="AR36" s="68"/>
      <c r="AS36" s="68"/>
    </row>
    <row r="37" spans="1:45" ht="14.25" customHeight="1" outlineLevel="1" x14ac:dyDescent="0.25">
      <c r="A37" s="500"/>
      <c r="B37" s="2024"/>
      <c r="C37" s="2025"/>
      <c r="D37" s="2025"/>
      <c r="E37" s="2025"/>
      <c r="F37" s="2025"/>
      <c r="G37" s="2025"/>
      <c r="H37" s="2025"/>
      <c r="I37" s="1743"/>
      <c r="J37" s="2026"/>
      <c r="K37" s="972"/>
      <c r="L37" s="2018"/>
      <c r="M37" s="2033"/>
      <c r="N37" s="2022"/>
      <c r="P37" s="78"/>
      <c r="T37" s="214"/>
      <c r="U37" s="214"/>
      <c r="V37" s="398"/>
      <c r="W37" s="398"/>
      <c r="X37" s="398"/>
      <c r="Y37" s="398"/>
      <c r="Z37" s="398"/>
      <c r="AA37" s="74"/>
      <c r="AB37" s="72"/>
      <c r="AC37" s="72"/>
      <c r="AD37" s="72"/>
      <c r="AE37" s="72"/>
      <c r="AF37" s="72"/>
      <c r="AG37" s="72"/>
      <c r="AH37" s="72"/>
      <c r="AI37" s="72"/>
      <c r="AJ37" s="72"/>
      <c r="AK37" s="72"/>
      <c r="AL37" s="72"/>
      <c r="AM37" s="72"/>
      <c r="AN37" s="68"/>
      <c r="AO37" s="68"/>
      <c r="AP37" s="68"/>
      <c r="AQ37" s="68"/>
      <c r="AR37" s="68"/>
      <c r="AS37" s="68"/>
    </row>
    <row r="38" spans="1:45" ht="14.25" customHeight="1" outlineLevel="1" x14ac:dyDescent="0.25">
      <c r="A38" s="500"/>
      <c r="B38" s="2024" t="s">
        <v>714</v>
      </c>
      <c r="C38" s="2025"/>
      <c r="D38" s="2025"/>
      <c r="E38" s="2025"/>
      <c r="F38" s="2025"/>
      <c r="G38" s="2025"/>
      <c r="H38" s="2025"/>
      <c r="I38" s="1727" t="s">
        <v>100</v>
      </c>
      <c r="J38" s="2026"/>
      <c r="K38" s="972"/>
      <c r="L38" s="2018">
        <f t="shared" ref="L38" si="16">J38*K38</f>
        <v>0</v>
      </c>
      <c r="M38" s="2032" t="str">
        <f>IFERROR(IF((VLOOKUP(N38,Überblick!$M$125:$N$133,2))="ja","ja","nein"),"")</f>
        <v/>
      </c>
      <c r="N38" s="2022"/>
      <c r="O38" s="72">
        <f t="shared" si="0"/>
        <v>0</v>
      </c>
      <c r="P38" s="78">
        <f t="shared" si="2"/>
        <v>0</v>
      </c>
      <c r="T38" s="214"/>
      <c r="U38" s="214"/>
      <c r="V38" s="398"/>
      <c r="W38" s="398"/>
      <c r="X38" s="398"/>
      <c r="Y38" s="398"/>
      <c r="Z38" s="398"/>
      <c r="AA38" s="74"/>
      <c r="AB38" s="72"/>
      <c r="AC38" s="72"/>
      <c r="AD38" s="72"/>
      <c r="AE38" s="72"/>
      <c r="AF38" s="72"/>
      <c r="AG38" s="72"/>
      <c r="AH38" s="72"/>
      <c r="AI38" s="72"/>
      <c r="AJ38" s="72"/>
      <c r="AK38" s="72"/>
      <c r="AL38" s="72"/>
      <c r="AM38" s="72"/>
      <c r="AN38" s="68"/>
      <c r="AO38" s="68"/>
      <c r="AP38" s="68"/>
      <c r="AQ38" s="68"/>
      <c r="AR38" s="68"/>
      <c r="AS38" s="68"/>
    </row>
    <row r="39" spans="1:45" ht="14.25" customHeight="1" outlineLevel="1" x14ac:dyDescent="0.25">
      <c r="A39" s="500"/>
      <c r="B39" s="2024"/>
      <c r="C39" s="2025"/>
      <c r="D39" s="2025"/>
      <c r="E39" s="2025"/>
      <c r="F39" s="2025"/>
      <c r="G39" s="2025"/>
      <c r="H39" s="2025"/>
      <c r="I39" s="1743"/>
      <c r="J39" s="2026"/>
      <c r="K39" s="972"/>
      <c r="L39" s="2018"/>
      <c r="M39" s="2033"/>
      <c r="N39" s="2022"/>
      <c r="P39" s="78"/>
      <c r="T39" s="214"/>
      <c r="U39" s="214"/>
      <c r="V39" s="398"/>
      <c r="W39" s="398"/>
      <c r="X39" s="398"/>
      <c r="Y39" s="398"/>
      <c r="Z39" s="398"/>
      <c r="AA39" s="74"/>
      <c r="AB39" s="72"/>
      <c r="AC39" s="72"/>
      <c r="AD39" s="72"/>
      <c r="AE39" s="72"/>
      <c r="AF39" s="72"/>
      <c r="AG39" s="72"/>
      <c r="AH39" s="72"/>
      <c r="AI39" s="72"/>
      <c r="AJ39" s="72"/>
      <c r="AK39" s="72"/>
      <c r="AL39" s="72"/>
      <c r="AM39" s="72"/>
      <c r="AN39" s="68"/>
      <c r="AO39" s="68"/>
      <c r="AP39" s="68"/>
      <c r="AQ39" s="68"/>
      <c r="AR39" s="68"/>
      <c r="AS39" s="68"/>
    </row>
    <row r="40" spans="1:45" ht="14.25" customHeight="1" outlineLevel="1" x14ac:dyDescent="0.25">
      <c r="A40" s="500"/>
      <c r="B40" s="2024" t="s">
        <v>715</v>
      </c>
      <c r="C40" s="2025"/>
      <c r="D40" s="2025"/>
      <c r="E40" s="2025"/>
      <c r="F40" s="2025"/>
      <c r="G40" s="2025"/>
      <c r="H40" s="2025"/>
      <c r="I40" s="1727" t="s">
        <v>100</v>
      </c>
      <c r="J40" s="2026"/>
      <c r="K40" s="972"/>
      <c r="L40" s="2018">
        <f t="shared" ref="L40" si="17">J40*K40</f>
        <v>0</v>
      </c>
      <c r="M40" s="2032" t="str">
        <f>IFERROR(IF((VLOOKUP(N40,Überblick!$M$125:$N$133,2))="ja","ja","nein"),"")</f>
        <v/>
      </c>
      <c r="N40" s="2022"/>
      <c r="O40" s="72">
        <f t="shared" si="0"/>
        <v>0</v>
      </c>
      <c r="P40" s="78">
        <f t="shared" si="2"/>
        <v>0</v>
      </c>
      <c r="T40" s="214"/>
      <c r="U40" s="214"/>
      <c r="V40" s="398"/>
      <c r="W40" s="398"/>
      <c r="X40" s="398"/>
      <c r="Y40" s="398"/>
      <c r="Z40" s="398"/>
      <c r="AA40" s="74"/>
      <c r="AB40" s="72"/>
      <c r="AC40" s="72"/>
      <c r="AD40" s="72"/>
      <c r="AE40" s="72"/>
      <c r="AF40" s="72"/>
      <c r="AG40" s="72"/>
      <c r="AH40" s="72"/>
      <c r="AI40" s="72"/>
      <c r="AJ40" s="72"/>
      <c r="AK40" s="72"/>
      <c r="AL40" s="72"/>
      <c r="AM40" s="72"/>
      <c r="AN40" s="68"/>
      <c r="AO40" s="68"/>
      <c r="AP40" s="68"/>
      <c r="AQ40" s="68"/>
      <c r="AR40" s="68"/>
      <c r="AS40" s="68"/>
    </row>
    <row r="41" spans="1:45" ht="14.25" customHeight="1" outlineLevel="1" x14ac:dyDescent="0.25">
      <c r="A41" s="500"/>
      <c r="B41" s="2024"/>
      <c r="C41" s="2025"/>
      <c r="D41" s="2025"/>
      <c r="E41" s="2025"/>
      <c r="F41" s="2025"/>
      <c r="G41" s="2025"/>
      <c r="H41" s="2025"/>
      <c r="I41" s="1743"/>
      <c r="J41" s="2026"/>
      <c r="K41" s="972"/>
      <c r="L41" s="2018"/>
      <c r="M41" s="2033"/>
      <c r="N41" s="2022"/>
      <c r="P41" s="78"/>
      <c r="T41" s="214"/>
      <c r="U41" s="214"/>
      <c r="V41" s="398"/>
      <c r="W41" s="398"/>
      <c r="X41" s="398"/>
      <c r="Y41" s="398"/>
      <c r="Z41" s="398"/>
      <c r="AA41" s="74"/>
      <c r="AB41" s="72"/>
      <c r="AC41" s="72"/>
      <c r="AD41" s="72"/>
      <c r="AE41" s="72"/>
      <c r="AF41" s="72"/>
      <c r="AG41" s="72"/>
      <c r="AH41" s="72"/>
      <c r="AI41" s="72"/>
      <c r="AJ41" s="72"/>
      <c r="AK41" s="72"/>
      <c r="AL41" s="72"/>
      <c r="AM41" s="72"/>
      <c r="AN41" s="68"/>
      <c r="AO41" s="68"/>
      <c r="AP41" s="68"/>
      <c r="AQ41" s="68"/>
      <c r="AR41" s="68"/>
      <c r="AS41" s="68"/>
    </row>
    <row r="42" spans="1:45" ht="14.25" customHeight="1" outlineLevel="1" x14ac:dyDescent="0.25">
      <c r="A42" s="500"/>
      <c r="B42" s="2024" t="s">
        <v>716</v>
      </c>
      <c r="C42" s="2025"/>
      <c r="D42" s="2025"/>
      <c r="E42" s="2025"/>
      <c r="F42" s="2025"/>
      <c r="G42" s="2025"/>
      <c r="H42" s="2025"/>
      <c r="I42" s="1727" t="s">
        <v>100</v>
      </c>
      <c r="J42" s="2026"/>
      <c r="K42" s="972"/>
      <c r="L42" s="2018">
        <f t="shared" ref="L42" si="18">J42*K42</f>
        <v>0</v>
      </c>
      <c r="M42" s="2032" t="str">
        <f>IFERROR(IF((VLOOKUP(N42,Überblick!$M$125:$N$133,2))="ja","ja","nein"),"")</f>
        <v/>
      </c>
      <c r="N42" s="2022"/>
      <c r="O42" s="72">
        <f t="shared" si="0"/>
        <v>0</v>
      </c>
      <c r="P42" s="78">
        <f t="shared" si="2"/>
        <v>0</v>
      </c>
      <c r="T42" s="214"/>
      <c r="U42" s="214"/>
      <c r="V42" s="398"/>
      <c r="W42" s="398"/>
      <c r="X42" s="398"/>
      <c r="Y42" s="398"/>
      <c r="Z42" s="398"/>
      <c r="AA42" s="74"/>
      <c r="AB42" s="72"/>
      <c r="AC42" s="72"/>
      <c r="AD42" s="72"/>
      <c r="AE42" s="72"/>
      <c r="AF42" s="72"/>
      <c r="AG42" s="72"/>
      <c r="AH42" s="72"/>
      <c r="AI42" s="72"/>
      <c r="AJ42" s="72"/>
      <c r="AK42" s="72"/>
      <c r="AL42" s="72"/>
      <c r="AM42" s="72"/>
      <c r="AN42" s="68"/>
      <c r="AO42" s="68"/>
      <c r="AP42" s="68"/>
      <c r="AQ42" s="68"/>
      <c r="AR42" s="68"/>
      <c r="AS42" s="68"/>
    </row>
    <row r="43" spans="1:45" ht="14.25" customHeight="1" outlineLevel="1" x14ac:dyDescent="0.25">
      <c r="A43" s="500"/>
      <c r="B43" s="2024"/>
      <c r="C43" s="2025"/>
      <c r="D43" s="2025"/>
      <c r="E43" s="2025"/>
      <c r="F43" s="2025"/>
      <c r="G43" s="2025"/>
      <c r="H43" s="2025"/>
      <c r="I43" s="1743"/>
      <c r="J43" s="2026"/>
      <c r="K43" s="972"/>
      <c r="L43" s="2018"/>
      <c r="M43" s="2033"/>
      <c r="N43" s="2022"/>
      <c r="P43" s="78"/>
      <c r="T43" s="214"/>
      <c r="U43" s="214"/>
      <c r="V43" s="398"/>
      <c r="W43" s="398"/>
      <c r="X43" s="398"/>
      <c r="Y43" s="398"/>
      <c r="Z43" s="398"/>
      <c r="AA43" s="74"/>
      <c r="AB43" s="72"/>
      <c r="AC43" s="72"/>
      <c r="AD43" s="72"/>
      <c r="AE43" s="72"/>
      <c r="AF43" s="72"/>
      <c r="AG43" s="72"/>
      <c r="AH43" s="72"/>
      <c r="AI43" s="72"/>
      <c r="AJ43" s="72"/>
      <c r="AK43" s="72"/>
      <c r="AL43" s="72"/>
      <c r="AM43" s="72"/>
      <c r="AN43" s="68"/>
      <c r="AO43" s="68"/>
      <c r="AP43" s="68"/>
      <c r="AQ43" s="68"/>
      <c r="AR43" s="68"/>
      <c r="AS43" s="68"/>
    </row>
    <row r="44" spans="1:45" ht="14.25" customHeight="1" outlineLevel="1" x14ac:dyDescent="0.25">
      <c r="A44" s="500"/>
      <c r="B44" s="2024" t="s">
        <v>717</v>
      </c>
      <c r="C44" s="2025"/>
      <c r="D44" s="2025"/>
      <c r="E44" s="2025"/>
      <c r="F44" s="2025"/>
      <c r="G44" s="2025"/>
      <c r="H44" s="2025"/>
      <c r="I44" s="1727" t="s">
        <v>100</v>
      </c>
      <c r="J44" s="2026"/>
      <c r="K44" s="972"/>
      <c r="L44" s="2018">
        <f t="shared" ref="L44:L46" si="19">J44*K44</f>
        <v>0</v>
      </c>
      <c r="M44" s="2032" t="str">
        <f>IFERROR(IF((VLOOKUP(N44,Überblick!$M$125:$N$133,2))="ja","ja","nein"),"")</f>
        <v/>
      </c>
      <c r="N44" s="2022"/>
      <c r="O44" s="72">
        <f t="shared" si="0"/>
        <v>0</v>
      </c>
      <c r="P44" s="78">
        <f t="shared" si="2"/>
        <v>0</v>
      </c>
      <c r="T44" s="214"/>
      <c r="U44" s="214"/>
      <c r="V44" s="398"/>
      <c r="W44" s="398"/>
      <c r="X44" s="398"/>
      <c r="Y44" s="398"/>
      <c r="Z44" s="398"/>
      <c r="AA44" s="74"/>
      <c r="AB44" s="72"/>
      <c r="AC44" s="72"/>
      <c r="AD44" s="72"/>
      <c r="AE44" s="72"/>
      <c r="AF44" s="72"/>
      <c r="AG44" s="72"/>
      <c r="AH44" s="72"/>
      <c r="AI44" s="72"/>
      <c r="AJ44" s="72"/>
      <c r="AK44" s="72"/>
      <c r="AL44" s="72"/>
      <c r="AM44" s="72"/>
      <c r="AN44" s="68"/>
      <c r="AO44" s="68"/>
      <c r="AP44" s="68"/>
      <c r="AQ44" s="68"/>
      <c r="AR44" s="68"/>
      <c r="AS44" s="68"/>
    </row>
    <row r="45" spans="1:45" ht="14.25" customHeight="1" outlineLevel="1" x14ac:dyDescent="0.25">
      <c r="A45" s="500"/>
      <c r="B45" s="2024"/>
      <c r="C45" s="2025"/>
      <c r="D45" s="2025"/>
      <c r="E45" s="2025"/>
      <c r="F45" s="2025"/>
      <c r="G45" s="2025"/>
      <c r="H45" s="2025"/>
      <c r="I45" s="1743"/>
      <c r="J45" s="2026"/>
      <c r="K45" s="972"/>
      <c r="L45" s="2018"/>
      <c r="M45" s="2033"/>
      <c r="N45" s="2022"/>
      <c r="P45" s="78"/>
      <c r="T45" s="214"/>
      <c r="U45" s="214"/>
      <c r="V45" s="398"/>
      <c r="W45" s="398"/>
      <c r="X45" s="398"/>
      <c r="Y45" s="398"/>
      <c r="Z45" s="398"/>
      <c r="AA45" s="74"/>
      <c r="AB45" s="72"/>
      <c r="AC45" s="72"/>
      <c r="AD45" s="72"/>
      <c r="AE45" s="72"/>
      <c r="AF45" s="72"/>
      <c r="AG45" s="72"/>
      <c r="AH45" s="72"/>
      <c r="AI45" s="72"/>
      <c r="AJ45" s="72"/>
      <c r="AK45" s="72"/>
      <c r="AL45" s="72"/>
      <c r="AM45" s="72"/>
      <c r="AN45" s="68"/>
      <c r="AO45" s="68"/>
      <c r="AP45" s="68"/>
      <c r="AQ45" s="68"/>
      <c r="AR45" s="68"/>
      <c r="AS45" s="68"/>
    </row>
    <row r="46" spans="1:45" ht="14.25" customHeight="1" outlineLevel="1" x14ac:dyDescent="0.25">
      <c r="A46" s="500"/>
      <c r="B46" s="2024" t="s">
        <v>718</v>
      </c>
      <c r="C46" s="2025"/>
      <c r="D46" s="2025"/>
      <c r="E46" s="2025"/>
      <c r="F46" s="2025"/>
      <c r="G46" s="2025"/>
      <c r="H46" s="2025"/>
      <c r="I46" s="1727" t="s">
        <v>100</v>
      </c>
      <c r="J46" s="2026"/>
      <c r="K46" s="972"/>
      <c r="L46" s="2018">
        <f t="shared" si="19"/>
        <v>0</v>
      </c>
      <c r="M46" s="2032" t="str">
        <f>IFERROR(IF((VLOOKUP(N46,Überblick!$M$125:$N$133,2))="ja","ja","nein"),"")</f>
        <v/>
      </c>
      <c r="N46" s="2022"/>
      <c r="O46" s="72">
        <f t="shared" si="0"/>
        <v>0</v>
      </c>
      <c r="P46" s="78">
        <f t="shared" si="2"/>
        <v>0</v>
      </c>
      <c r="T46" s="214"/>
      <c r="U46" s="214"/>
      <c r="V46" s="398"/>
      <c r="W46" s="398"/>
      <c r="X46" s="398"/>
      <c r="Y46" s="398"/>
      <c r="Z46" s="398"/>
      <c r="AA46" s="74"/>
      <c r="AB46" s="72"/>
      <c r="AC46" s="72"/>
      <c r="AD46" s="72"/>
      <c r="AE46" s="72"/>
      <c r="AF46" s="72"/>
      <c r="AG46" s="72"/>
      <c r="AH46" s="72"/>
      <c r="AI46" s="72"/>
      <c r="AJ46" s="72"/>
      <c r="AK46" s="72"/>
      <c r="AL46" s="72"/>
      <c r="AM46" s="72"/>
      <c r="AN46" s="68"/>
      <c r="AO46" s="68"/>
      <c r="AP46" s="68"/>
      <c r="AQ46" s="68"/>
      <c r="AR46" s="68"/>
      <c r="AS46" s="68"/>
    </row>
    <row r="47" spans="1:45" ht="14.25" customHeight="1" outlineLevel="1" x14ac:dyDescent="0.25">
      <c r="A47" s="500"/>
      <c r="B47" s="2027"/>
      <c r="C47" s="2028"/>
      <c r="D47" s="2028"/>
      <c r="E47" s="2028"/>
      <c r="F47" s="2028"/>
      <c r="G47" s="2028"/>
      <c r="H47" s="2028"/>
      <c r="I47" s="1743"/>
      <c r="J47" s="2029"/>
      <c r="K47" s="974"/>
      <c r="L47" s="2019"/>
      <c r="M47" s="2033"/>
      <c r="N47" s="2023"/>
      <c r="P47" s="78"/>
      <c r="T47" s="214"/>
      <c r="U47" s="214"/>
      <c r="V47" s="398"/>
      <c r="W47" s="398"/>
      <c r="X47" s="398"/>
      <c r="Y47" s="398"/>
      <c r="Z47" s="398"/>
      <c r="AA47" s="74"/>
      <c r="AB47" s="72"/>
      <c r="AC47" s="72"/>
      <c r="AD47" s="72"/>
      <c r="AE47" s="72"/>
      <c r="AF47" s="72"/>
      <c r="AG47" s="72"/>
      <c r="AH47" s="72"/>
      <c r="AI47" s="72"/>
      <c r="AJ47" s="72"/>
      <c r="AK47" s="72"/>
      <c r="AL47" s="72"/>
      <c r="AM47" s="72"/>
      <c r="AN47" s="68"/>
      <c r="AO47" s="68"/>
      <c r="AP47" s="68"/>
      <c r="AQ47" s="68"/>
      <c r="AR47" s="68"/>
      <c r="AS47" s="68"/>
    </row>
    <row r="48" spans="1:45" ht="14.25" customHeight="1" outlineLevel="1" x14ac:dyDescent="0.25">
      <c r="A48" s="500"/>
      <c r="B48" s="2016" t="s">
        <v>719</v>
      </c>
      <c r="C48" s="2017"/>
      <c r="D48" s="2017"/>
      <c r="E48" s="2017"/>
      <c r="F48" s="2017"/>
      <c r="G48" s="2017"/>
      <c r="H48" s="2017"/>
      <c r="I48" s="1727" t="s">
        <v>100</v>
      </c>
      <c r="J48" s="2026"/>
      <c r="K48" s="972"/>
      <c r="L48" s="2018">
        <f t="shared" ref="L48" si="20">J48*K48</f>
        <v>0</v>
      </c>
      <c r="M48" s="2032" t="str">
        <f>IFERROR(IF((VLOOKUP(N48,Überblick!$M$125:$N$133,2))="ja","ja","nein"),"")</f>
        <v/>
      </c>
      <c r="N48" s="2022"/>
      <c r="O48" s="72">
        <f t="shared" ref="O48" si="21">IF(AND(I48="ja",J48=""),1,0)</f>
        <v>0</v>
      </c>
      <c r="P48" s="78">
        <f t="shared" si="2"/>
        <v>0</v>
      </c>
      <c r="T48" s="214"/>
      <c r="U48" s="214"/>
      <c r="V48" s="398"/>
      <c r="W48" s="398"/>
      <c r="X48" s="398"/>
      <c r="Y48" s="398"/>
      <c r="Z48" s="398"/>
      <c r="AA48" s="74"/>
      <c r="AB48" s="72"/>
      <c r="AC48" s="72"/>
      <c r="AD48" s="72"/>
      <c r="AE48" s="72"/>
      <c r="AF48" s="72"/>
      <c r="AG48" s="72"/>
      <c r="AH48" s="72"/>
      <c r="AI48" s="72"/>
      <c r="AJ48" s="72"/>
      <c r="AK48" s="72"/>
      <c r="AL48" s="72"/>
      <c r="AM48" s="72"/>
      <c r="AN48" s="68"/>
      <c r="AO48" s="68"/>
      <c r="AP48" s="68"/>
      <c r="AQ48" s="68"/>
      <c r="AR48" s="68"/>
      <c r="AS48" s="68"/>
    </row>
    <row r="49" spans="1:45" ht="14.25" customHeight="1" outlineLevel="1" x14ac:dyDescent="0.25">
      <c r="A49" s="500"/>
      <c r="B49" s="2016"/>
      <c r="C49" s="2017"/>
      <c r="D49" s="2017"/>
      <c r="E49" s="2017"/>
      <c r="F49" s="2017"/>
      <c r="G49" s="2017"/>
      <c r="H49" s="2017"/>
      <c r="I49" s="1743"/>
      <c r="J49" s="2026"/>
      <c r="K49" s="972"/>
      <c r="L49" s="2018"/>
      <c r="M49" s="2033"/>
      <c r="N49" s="2022"/>
      <c r="P49" s="78"/>
      <c r="T49" s="214"/>
      <c r="U49" s="214"/>
      <c r="V49" s="398"/>
      <c r="W49" s="398"/>
      <c r="X49" s="398"/>
      <c r="Y49" s="398"/>
      <c r="Z49" s="398"/>
      <c r="AA49" s="74"/>
      <c r="AB49" s="72"/>
      <c r="AC49" s="72"/>
      <c r="AD49" s="72"/>
      <c r="AE49" s="72"/>
      <c r="AF49" s="72"/>
      <c r="AG49" s="72"/>
      <c r="AH49" s="72"/>
      <c r="AI49" s="72"/>
      <c r="AJ49" s="72"/>
      <c r="AK49" s="72"/>
      <c r="AL49" s="72"/>
      <c r="AM49" s="72"/>
      <c r="AN49" s="68"/>
      <c r="AO49" s="68"/>
      <c r="AP49" s="68"/>
      <c r="AQ49" s="68"/>
      <c r="AR49" s="68"/>
      <c r="AS49" s="68"/>
    </row>
    <row r="50" spans="1:45" ht="14.25" customHeight="1" outlineLevel="1" x14ac:dyDescent="0.25">
      <c r="A50" s="500"/>
      <c r="B50" s="2016" t="s">
        <v>720</v>
      </c>
      <c r="C50" s="2017"/>
      <c r="D50" s="2017"/>
      <c r="E50" s="2017"/>
      <c r="F50" s="2017"/>
      <c r="G50" s="2017"/>
      <c r="H50" s="2017"/>
      <c r="I50" s="1727" t="s">
        <v>100</v>
      </c>
      <c r="J50" s="2026"/>
      <c r="K50" s="972"/>
      <c r="L50" s="2018">
        <f t="shared" ref="L50" si="22">J50*K50</f>
        <v>0</v>
      </c>
      <c r="M50" s="2032" t="str">
        <f>IFERROR(IF((VLOOKUP(N50,Überblick!$M$125:$N$133,2))="ja","ja","nein"),"")</f>
        <v/>
      </c>
      <c r="N50" s="2022"/>
      <c r="O50" s="72">
        <f t="shared" ref="O50" si="23">IF(AND(I50="ja",J50=""),1,0)</f>
        <v>0</v>
      </c>
      <c r="P50" s="78">
        <f t="shared" si="2"/>
        <v>0</v>
      </c>
      <c r="T50" s="214"/>
      <c r="U50" s="214"/>
      <c r="V50" s="398"/>
      <c r="W50" s="398"/>
      <c r="X50" s="398"/>
      <c r="Y50" s="398"/>
      <c r="Z50" s="398"/>
      <c r="AA50" s="74"/>
      <c r="AB50" s="72"/>
      <c r="AC50" s="72"/>
      <c r="AD50" s="72"/>
      <c r="AE50" s="72"/>
      <c r="AF50" s="72"/>
      <c r="AG50" s="72"/>
      <c r="AH50" s="72"/>
      <c r="AI50" s="72"/>
      <c r="AJ50" s="72"/>
      <c r="AK50" s="72"/>
      <c r="AL50" s="72"/>
      <c r="AM50" s="72"/>
      <c r="AN50" s="68"/>
      <c r="AO50" s="68"/>
      <c r="AP50" s="68"/>
      <c r="AQ50" s="68"/>
      <c r="AR50" s="68"/>
      <c r="AS50" s="68"/>
    </row>
    <row r="51" spans="1:45" ht="14.25" customHeight="1" outlineLevel="1" x14ac:dyDescent="0.25">
      <c r="A51" s="500"/>
      <c r="B51" s="2016"/>
      <c r="C51" s="2017"/>
      <c r="D51" s="2017"/>
      <c r="E51" s="2017"/>
      <c r="F51" s="2017"/>
      <c r="G51" s="2017"/>
      <c r="H51" s="2017"/>
      <c r="I51" s="1743"/>
      <c r="J51" s="2026"/>
      <c r="K51" s="972"/>
      <c r="L51" s="2018"/>
      <c r="M51" s="2033"/>
      <c r="N51" s="2022"/>
      <c r="P51" s="78"/>
      <c r="T51" s="214"/>
      <c r="U51" s="214"/>
      <c r="V51" s="398"/>
      <c r="W51" s="398"/>
      <c r="X51" s="398"/>
      <c r="Y51" s="398"/>
      <c r="Z51" s="398"/>
      <c r="AA51" s="74"/>
      <c r="AB51" s="72"/>
      <c r="AC51" s="72"/>
      <c r="AD51" s="72"/>
      <c r="AE51" s="72"/>
      <c r="AF51" s="72"/>
      <c r="AG51" s="72"/>
      <c r="AH51" s="72"/>
      <c r="AI51" s="72"/>
      <c r="AJ51" s="72"/>
      <c r="AK51" s="72"/>
      <c r="AL51" s="72"/>
      <c r="AM51" s="72"/>
      <c r="AN51" s="68"/>
      <c r="AO51" s="68"/>
      <c r="AP51" s="68"/>
      <c r="AQ51" s="68"/>
      <c r="AR51" s="68"/>
      <c r="AS51" s="68"/>
    </row>
    <row r="52" spans="1:45" ht="14.25" customHeight="1" outlineLevel="1" x14ac:dyDescent="0.25">
      <c r="A52" s="500"/>
      <c r="B52" s="2016" t="s">
        <v>721</v>
      </c>
      <c r="C52" s="2017"/>
      <c r="D52" s="2017"/>
      <c r="E52" s="2017"/>
      <c r="F52" s="2017"/>
      <c r="G52" s="2017"/>
      <c r="H52" s="2017"/>
      <c r="I52" s="1727" t="s">
        <v>100</v>
      </c>
      <c r="J52" s="2026"/>
      <c r="K52" s="972"/>
      <c r="L52" s="2018">
        <f t="shared" ref="L52" si="24">J52*K52</f>
        <v>0</v>
      </c>
      <c r="M52" s="2032" t="str">
        <f>IFERROR(IF((VLOOKUP(N52,Überblick!$M$125:$N$133,2))="ja","ja","nein"),"")</f>
        <v/>
      </c>
      <c r="N52" s="2022"/>
      <c r="O52" s="72">
        <f t="shared" ref="O52" si="25">IF(AND(I52="ja",J52=""),1,0)</f>
        <v>0</v>
      </c>
      <c r="P52" s="78">
        <f t="shared" si="2"/>
        <v>0</v>
      </c>
      <c r="T52" s="214"/>
      <c r="U52" s="214"/>
      <c r="V52" s="398"/>
      <c r="W52" s="398"/>
      <c r="X52" s="398"/>
      <c r="Y52" s="398"/>
      <c r="Z52" s="398"/>
      <c r="AA52" s="74"/>
      <c r="AB52" s="72"/>
      <c r="AC52" s="72"/>
      <c r="AD52" s="72"/>
      <c r="AE52" s="72"/>
      <c r="AF52" s="72"/>
      <c r="AG52" s="72"/>
      <c r="AH52" s="72"/>
      <c r="AI52" s="72"/>
      <c r="AJ52" s="72"/>
      <c r="AK52" s="72"/>
      <c r="AL52" s="72"/>
      <c r="AM52" s="72"/>
      <c r="AN52" s="68"/>
      <c r="AO52" s="68"/>
      <c r="AP52" s="68"/>
      <c r="AQ52" s="68"/>
      <c r="AR52" s="68"/>
      <c r="AS52" s="68"/>
    </row>
    <row r="53" spans="1:45" ht="14.25" customHeight="1" outlineLevel="1" x14ac:dyDescent="0.25">
      <c r="A53" s="500"/>
      <c r="B53" s="2016"/>
      <c r="C53" s="2017"/>
      <c r="D53" s="2017"/>
      <c r="E53" s="2017"/>
      <c r="F53" s="2017"/>
      <c r="G53" s="2017"/>
      <c r="H53" s="2017"/>
      <c r="I53" s="1743"/>
      <c r="J53" s="2026"/>
      <c r="K53" s="972"/>
      <c r="L53" s="2018"/>
      <c r="M53" s="2033"/>
      <c r="N53" s="2022"/>
      <c r="P53" s="78"/>
      <c r="T53" s="214"/>
      <c r="U53" s="214"/>
      <c r="V53" s="398"/>
      <c r="W53" s="398"/>
      <c r="X53" s="398"/>
      <c r="Y53" s="398"/>
      <c r="Z53" s="398"/>
      <c r="AA53" s="74"/>
      <c r="AB53" s="72"/>
      <c r="AC53" s="72"/>
      <c r="AD53" s="72"/>
      <c r="AE53" s="72"/>
      <c r="AF53" s="72"/>
      <c r="AG53" s="72"/>
      <c r="AH53" s="72"/>
      <c r="AI53" s="72"/>
      <c r="AJ53" s="72"/>
      <c r="AK53" s="72"/>
      <c r="AL53" s="72"/>
      <c r="AM53" s="72"/>
      <c r="AN53" s="68"/>
      <c r="AO53" s="68"/>
      <c r="AP53" s="68"/>
      <c r="AQ53" s="68"/>
      <c r="AR53" s="68"/>
      <c r="AS53" s="68"/>
    </row>
    <row r="54" spans="1:45" ht="14.25" customHeight="1" outlineLevel="1" x14ac:dyDescent="0.25">
      <c r="A54" s="500"/>
      <c r="B54" s="2016" t="s">
        <v>722</v>
      </c>
      <c r="C54" s="2017"/>
      <c r="D54" s="2017"/>
      <c r="E54" s="2017"/>
      <c r="F54" s="2017"/>
      <c r="G54" s="2017"/>
      <c r="H54" s="2017"/>
      <c r="I54" s="1727" t="s">
        <v>100</v>
      </c>
      <c r="J54" s="2026"/>
      <c r="K54" s="972"/>
      <c r="L54" s="2018">
        <f t="shared" ref="L54" si="26">J54*K54</f>
        <v>0</v>
      </c>
      <c r="M54" s="2032" t="str">
        <f>IFERROR(IF((VLOOKUP(N54,Überblick!$M$125:$N$133,2))="ja","ja","nein"),"")</f>
        <v/>
      </c>
      <c r="N54" s="2022"/>
      <c r="O54" s="72">
        <f t="shared" ref="O54" si="27">IF(AND(I54="ja",J54=""),1,0)</f>
        <v>0</v>
      </c>
      <c r="P54" s="78">
        <f t="shared" si="2"/>
        <v>0</v>
      </c>
      <c r="T54" s="214"/>
      <c r="U54" s="214"/>
      <c r="V54" s="398"/>
      <c r="W54" s="398"/>
      <c r="X54" s="398"/>
      <c r="Y54" s="398"/>
      <c r="Z54" s="398"/>
      <c r="AA54" s="74"/>
      <c r="AB54" s="72"/>
      <c r="AC54" s="72"/>
      <c r="AD54" s="72"/>
      <c r="AE54" s="72"/>
      <c r="AF54" s="72"/>
      <c r="AG54" s="72"/>
      <c r="AH54" s="72"/>
      <c r="AI54" s="72"/>
      <c r="AJ54" s="72"/>
      <c r="AK54" s="72"/>
      <c r="AL54" s="72"/>
      <c r="AM54" s="72"/>
      <c r="AN54" s="68"/>
      <c r="AO54" s="68"/>
      <c r="AP54" s="68"/>
      <c r="AQ54" s="68"/>
      <c r="AR54" s="68"/>
      <c r="AS54" s="68"/>
    </row>
    <row r="55" spans="1:45" ht="14.25" customHeight="1" outlineLevel="1" x14ac:dyDescent="0.25">
      <c r="A55" s="500"/>
      <c r="B55" s="2066"/>
      <c r="C55" s="2067"/>
      <c r="D55" s="2067"/>
      <c r="E55" s="2067"/>
      <c r="F55" s="2067"/>
      <c r="G55" s="2067"/>
      <c r="H55" s="2067"/>
      <c r="I55" s="1743"/>
      <c r="J55" s="2029"/>
      <c r="K55" s="974"/>
      <c r="L55" s="2019"/>
      <c r="M55" s="2033"/>
      <c r="N55" s="2023"/>
      <c r="P55" s="78"/>
      <c r="T55" s="214"/>
      <c r="U55" s="214"/>
      <c r="V55" s="398"/>
      <c r="W55" s="398"/>
      <c r="X55" s="398"/>
      <c r="Y55" s="398"/>
      <c r="Z55" s="398"/>
      <c r="AA55" s="74"/>
      <c r="AB55" s="72"/>
      <c r="AC55" s="72"/>
      <c r="AD55" s="72"/>
      <c r="AE55" s="72"/>
      <c r="AF55" s="72"/>
      <c r="AG55" s="72"/>
      <c r="AH55" s="72"/>
      <c r="AI55" s="72"/>
      <c r="AJ55" s="72"/>
      <c r="AK55" s="72"/>
      <c r="AL55" s="72"/>
      <c r="AM55" s="72"/>
      <c r="AN55" s="68"/>
      <c r="AO55" s="68"/>
      <c r="AP55" s="68"/>
      <c r="AQ55" s="68"/>
      <c r="AR55" s="68"/>
      <c r="AS55" s="68"/>
    </row>
    <row r="56" spans="1:45" ht="14.25" customHeight="1" outlineLevel="1" x14ac:dyDescent="0.25">
      <c r="A56" s="500"/>
      <c r="B56" s="2024" t="s">
        <v>717</v>
      </c>
      <c r="C56" s="2025"/>
      <c r="D56" s="2025"/>
      <c r="E56" s="2025"/>
      <c r="F56" s="2025"/>
      <c r="G56" s="2025"/>
      <c r="H56" s="2025"/>
      <c r="I56" s="1727" t="s">
        <v>100</v>
      </c>
      <c r="J56" s="2026"/>
      <c r="K56" s="972"/>
      <c r="L56" s="2018">
        <f t="shared" ref="L56" si="28">J56*K56</f>
        <v>0</v>
      </c>
      <c r="M56" s="2032" t="str">
        <f>IFERROR(IF((VLOOKUP(N56,Überblick!$M$125:$N$133,2))="ja","ja","nein"),"")</f>
        <v/>
      </c>
      <c r="N56" s="2022"/>
      <c r="O56" s="72">
        <f t="shared" ref="O56" si="29">IF(AND(I56="ja",J56=""),1,0)</f>
        <v>0</v>
      </c>
      <c r="P56" s="78">
        <f t="shared" si="2"/>
        <v>0</v>
      </c>
      <c r="T56" s="214"/>
      <c r="U56" s="214"/>
      <c r="V56" s="398"/>
      <c r="W56" s="398"/>
      <c r="X56" s="398"/>
      <c r="Y56" s="398"/>
      <c r="Z56" s="398"/>
      <c r="AA56" s="74"/>
      <c r="AB56" s="72"/>
      <c r="AC56" s="72"/>
      <c r="AD56" s="72"/>
      <c r="AE56" s="72"/>
      <c r="AF56" s="72"/>
      <c r="AG56" s="72"/>
      <c r="AH56" s="72"/>
      <c r="AI56" s="72"/>
      <c r="AJ56" s="72"/>
      <c r="AK56" s="72"/>
      <c r="AL56" s="72"/>
      <c r="AM56" s="72"/>
      <c r="AN56" s="68"/>
      <c r="AO56" s="68"/>
      <c r="AP56" s="68"/>
      <c r="AQ56" s="68"/>
      <c r="AR56" s="68"/>
      <c r="AS56" s="68"/>
    </row>
    <row r="57" spans="1:45" ht="14.25" customHeight="1" outlineLevel="1" x14ac:dyDescent="0.25">
      <c r="A57" s="500"/>
      <c r="B57" s="2024"/>
      <c r="C57" s="2025"/>
      <c r="D57" s="2025"/>
      <c r="E57" s="2025"/>
      <c r="F57" s="2025"/>
      <c r="G57" s="2025"/>
      <c r="H57" s="2025"/>
      <c r="I57" s="1743"/>
      <c r="J57" s="2026"/>
      <c r="K57" s="972"/>
      <c r="L57" s="2018"/>
      <c r="M57" s="2033"/>
      <c r="N57" s="2022"/>
      <c r="P57" s="78"/>
      <c r="T57" s="214"/>
      <c r="U57" s="214"/>
      <c r="V57" s="398"/>
      <c r="W57" s="398"/>
      <c r="X57" s="398"/>
      <c r="Y57" s="398"/>
      <c r="Z57" s="398"/>
      <c r="AA57" s="74"/>
      <c r="AB57" s="72"/>
      <c r="AC57" s="72"/>
      <c r="AD57" s="72"/>
      <c r="AE57" s="72"/>
      <c r="AF57" s="72"/>
      <c r="AG57" s="72"/>
      <c r="AH57" s="72"/>
      <c r="AI57" s="72"/>
      <c r="AJ57" s="72"/>
      <c r="AK57" s="72"/>
      <c r="AL57" s="72"/>
      <c r="AM57" s="72"/>
      <c r="AN57" s="68"/>
      <c r="AO57" s="68"/>
      <c r="AP57" s="68"/>
      <c r="AQ57" s="68"/>
      <c r="AR57" s="68"/>
      <c r="AS57" s="68"/>
    </row>
    <row r="58" spans="1:45" ht="14.25" customHeight="1" outlineLevel="1" x14ac:dyDescent="0.25">
      <c r="A58" s="500"/>
      <c r="B58" s="2024" t="s">
        <v>718</v>
      </c>
      <c r="C58" s="2025"/>
      <c r="D58" s="2025"/>
      <c r="E58" s="2025"/>
      <c r="F58" s="2025"/>
      <c r="G58" s="2025"/>
      <c r="H58" s="2025"/>
      <c r="I58" s="1727" t="s">
        <v>100</v>
      </c>
      <c r="J58" s="2026"/>
      <c r="K58" s="972"/>
      <c r="L58" s="2018">
        <f t="shared" ref="L58" si="30">J58*K58</f>
        <v>0</v>
      </c>
      <c r="M58" s="2032" t="str">
        <f>IFERROR(IF((VLOOKUP(N58,Überblick!$M$125:$N$133,2))="ja","ja","nein"),"")</f>
        <v/>
      </c>
      <c r="N58" s="2022"/>
      <c r="O58" s="72">
        <f t="shared" ref="O58" si="31">IF(AND(I58="ja",J58=""),1,0)</f>
        <v>0</v>
      </c>
      <c r="P58" s="78">
        <f t="shared" si="2"/>
        <v>0</v>
      </c>
      <c r="T58" s="214"/>
      <c r="U58" s="214"/>
      <c r="V58" s="398"/>
      <c r="W58" s="398"/>
      <c r="X58" s="398"/>
      <c r="Y58" s="398"/>
      <c r="Z58" s="398"/>
      <c r="AA58" s="74"/>
      <c r="AB58" s="72"/>
      <c r="AC58" s="72"/>
      <c r="AD58" s="72"/>
      <c r="AE58" s="72"/>
      <c r="AF58" s="72"/>
      <c r="AG58" s="72"/>
      <c r="AH58" s="72"/>
      <c r="AI58" s="72"/>
      <c r="AJ58" s="72"/>
      <c r="AK58" s="72"/>
      <c r="AL58" s="72"/>
      <c r="AM58" s="72"/>
      <c r="AN58" s="68"/>
      <c r="AO58" s="68"/>
      <c r="AP58" s="68"/>
      <c r="AQ58" s="68"/>
      <c r="AR58" s="68"/>
      <c r="AS58" s="68"/>
    </row>
    <row r="59" spans="1:45" ht="14.25" customHeight="1" outlineLevel="1" x14ac:dyDescent="0.25">
      <c r="A59" s="500"/>
      <c r="B59" s="2027"/>
      <c r="C59" s="2028"/>
      <c r="D59" s="2028"/>
      <c r="E59" s="2028"/>
      <c r="F59" s="2028"/>
      <c r="G59" s="2028"/>
      <c r="H59" s="2028"/>
      <c r="I59" s="1743"/>
      <c r="J59" s="2029"/>
      <c r="K59" s="974"/>
      <c r="L59" s="2019"/>
      <c r="M59" s="2033"/>
      <c r="N59" s="2023"/>
      <c r="P59" s="78"/>
      <c r="T59" s="214"/>
      <c r="U59" s="214"/>
      <c r="V59" s="398"/>
      <c r="W59" s="398"/>
      <c r="X59" s="398"/>
      <c r="Y59" s="398"/>
      <c r="Z59" s="398"/>
      <c r="AA59" s="74"/>
      <c r="AB59" s="72"/>
      <c r="AC59" s="72"/>
      <c r="AD59" s="72"/>
      <c r="AE59" s="72"/>
      <c r="AF59" s="72"/>
      <c r="AG59" s="72"/>
      <c r="AH59" s="72"/>
      <c r="AI59" s="72"/>
      <c r="AJ59" s="72"/>
      <c r="AK59" s="72"/>
      <c r="AL59" s="72"/>
      <c r="AM59" s="72"/>
      <c r="AN59" s="68"/>
      <c r="AO59" s="68"/>
      <c r="AP59" s="68"/>
      <c r="AQ59" s="68"/>
      <c r="AR59" s="68"/>
      <c r="AS59" s="68"/>
    </row>
    <row r="60" spans="1:45" ht="14.25" customHeight="1" outlineLevel="1" x14ac:dyDescent="0.25">
      <c r="A60" s="500"/>
      <c r="B60" s="2016" t="s">
        <v>723</v>
      </c>
      <c r="C60" s="2017"/>
      <c r="D60" s="2017"/>
      <c r="E60" s="2017"/>
      <c r="F60" s="2017"/>
      <c r="G60" s="2017"/>
      <c r="H60" s="2017"/>
      <c r="I60" s="1727" t="s">
        <v>100</v>
      </c>
      <c r="J60" s="2026"/>
      <c r="K60" s="972"/>
      <c r="L60" s="2018">
        <f t="shared" ref="L60" si="32">J60*K60</f>
        <v>0</v>
      </c>
      <c r="M60" s="2032" t="str">
        <f>IFERROR(IF((VLOOKUP(N60,Überblick!$M$125:$N$133,2))="ja","ja","nein"),"")</f>
        <v/>
      </c>
      <c r="N60" s="2022"/>
      <c r="O60" s="72">
        <f t="shared" ref="O60" si="33">IF(AND(I60="ja",J60=""),1,0)</f>
        <v>0</v>
      </c>
      <c r="P60" s="78">
        <f t="shared" si="2"/>
        <v>0</v>
      </c>
      <c r="T60" s="214"/>
      <c r="U60" s="214"/>
      <c r="V60" s="398"/>
      <c r="W60" s="398"/>
      <c r="X60" s="398"/>
      <c r="Y60" s="398"/>
      <c r="Z60" s="398"/>
      <c r="AA60" s="74"/>
      <c r="AB60" s="72"/>
      <c r="AC60" s="72"/>
      <c r="AD60" s="72"/>
      <c r="AE60" s="72"/>
      <c r="AF60" s="72"/>
      <c r="AG60" s="72"/>
      <c r="AH60" s="72"/>
      <c r="AI60" s="72"/>
      <c r="AJ60" s="72"/>
      <c r="AK60" s="72"/>
      <c r="AL60" s="72"/>
      <c r="AM60" s="72"/>
      <c r="AN60" s="68"/>
      <c r="AO60" s="68"/>
      <c r="AP60" s="68"/>
      <c r="AQ60" s="68"/>
      <c r="AR60" s="68"/>
      <c r="AS60" s="68"/>
    </row>
    <row r="61" spans="1:45" ht="14.25" customHeight="1" outlineLevel="1" x14ac:dyDescent="0.25">
      <c r="A61" s="500"/>
      <c r="B61" s="2016"/>
      <c r="C61" s="2017"/>
      <c r="D61" s="2017"/>
      <c r="E61" s="2017"/>
      <c r="F61" s="2017"/>
      <c r="G61" s="2017"/>
      <c r="H61" s="2017"/>
      <c r="I61" s="1743"/>
      <c r="J61" s="2026"/>
      <c r="K61" s="972"/>
      <c r="L61" s="2018"/>
      <c r="M61" s="2033"/>
      <c r="N61" s="2022"/>
      <c r="P61" s="78"/>
      <c r="T61" s="214"/>
      <c r="U61" s="214"/>
      <c r="V61" s="398"/>
      <c r="W61" s="398"/>
      <c r="X61" s="398"/>
      <c r="Y61" s="398"/>
      <c r="Z61" s="398"/>
      <c r="AA61" s="74"/>
      <c r="AB61" s="72"/>
      <c r="AC61" s="72"/>
      <c r="AD61" s="72"/>
      <c r="AE61" s="72"/>
      <c r="AF61" s="72"/>
      <c r="AG61" s="72"/>
      <c r="AH61" s="72"/>
      <c r="AI61" s="72"/>
      <c r="AJ61" s="72"/>
      <c r="AK61" s="72"/>
      <c r="AL61" s="72"/>
      <c r="AM61" s="72"/>
      <c r="AN61" s="68"/>
      <c r="AO61" s="68"/>
      <c r="AP61" s="68"/>
      <c r="AQ61" s="68"/>
      <c r="AR61" s="68"/>
      <c r="AS61" s="68"/>
    </row>
    <row r="62" spans="1:45" ht="14.25" customHeight="1" outlineLevel="1" x14ac:dyDescent="0.25">
      <c r="A62" s="500"/>
      <c r="B62" s="2014"/>
      <c r="C62" s="2015"/>
      <c r="D62" s="2015"/>
      <c r="E62" s="2015"/>
      <c r="F62" s="2015"/>
      <c r="G62" s="2015"/>
      <c r="H62" s="2015"/>
      <c r="I62" s="1727" t="s">
        <v>100</v>
      </c>
      <c r="J62" s="2026"/>
      <c r="K62" s="972"/>
      <c r="L62" s="2018">
        <f t="shared" ref="L62" si="34">J62*K62</f>
        <v>0</v>
      </c>
      <c r="M62" s="2032" t="str">
        <f>IFERROR(IF((VLOOKUP(N62,Überblick!$M$125:$N$133,2))="ja","ja","nein"),"")</f>
        <v/>
      </c>
      <c r="N62" s="2022"/>
      <c r="O62" s="72">
        <f t="shared" ref="O62" si="35">IF(AND(I62="ja",J62=""),1,0)</f>
        <v>0</v>
      </c>
      <c r="P62" s="78">
        <f t="shared" si="2"/>
        <v>0</v>
      </c>
      <c r="T62" s="885"/>
      <c r="U62" s="885"/>
      <c r="V62" s="398"/>
      <c r="W62" s="398"/>
      <c r="X62" s="398"/>
      <c r="Y62" s="398"/>
      <c r="Z62" s="398"/>
      <c r="AA62" s="74"/>
      <c r="AB62" s="72"/>
      <c r="AC62" s="72"/>
      <c r="AD62" s="72"/>
      <c r="AE62" s="72"/>
      <c r="AF62" s="72"/>
      <c r="AG62" s="72"/>
      <c r="AH62" s="72"/>
      <c r="AI62" s="72"/>
      <c r="AJ62" s="72"/>
      <c r="AK62" s="72"/>
      <c r="AL62" s="72"/>
      <c r="AM62" s="72"/>
      <c r="AN62" s="68"/>
      <c r="AO62" s="68"/>
      <c r="AP62" s="68"/>
      <c r="AQ62" s="68"/>
      <c r="AR62" s="68"/>
      <c r="AS62" s="68"/>
    </row>
    <row r="63" spans="1:45" ht="14.25" customHeight="1" outlineLevel="1" x14ac:dyDescent="0.25">
      <c r="A63" s="500"/>
      <c r="B63" s="2016"/>
      <c r="C63" s="2017"/>
      <c r="D63" s="2017"/>
      <c r="E63" s="2017"/>
      <c r="F63" s="2017"/>
      <c r="G63" s="2017"/>
      <c r="H63" s="2017"/>
      <c r="I63" s="1743"/>
      <c r="J63" s="2026"/>
      <c r="K63" s="972"/>
      <c r="L63" s="2018"/>
      <c r="M63" s="2033"/>
      <c r="N63" s="2022"/>
      <c r="P63" s="78"/>
      <c r="T63" s="885"/>
      <c r="U63" s="885"/>
      <c r="V63" s="398"/>
      <c r="W63" s="398"/>
      <c r="X63" s="398"/>
      <c r="Y63" s="398"/>
      <c r="Z63" s="398"/>
      <c r="AA63" s="74"/>
      <c r="AB63" s="72"/>
      <c r="AC63" s="72"/>
      <c r="AD63" s="72"/>
      <c r="AE63" s="72"/>
      <c r="AF63" s="72"/>
      <c r="AG63" s="72"/>
      <c r="AH63" s="72"/>
      <c r="AI63" s="72"/>
      <c r="AJ63" s="72"/>
      <c r="AK63" s="72"/>
      <c r="AL63" s="72"/>
      <c r="AM63" s="72"/>
      <c r="AN63" s="68"/>
      <c r="AO63" s="68"/>
      <c r="AP63" s="68"/>
      <c r="AQ63" s="68"/>
      <c r="AR63" s="68"/>
      <c r="AS63" s="68"/>
    </row>
    <row r="64" spans="1:45" ht="14.25" customHeight="1" outlineLevel="1" x14ac:dyDescent="0.25">
      <c r="A64" s="500"/>
      <c r="B64" s="2014"/>
      <c r="C64" s="2015"/>
      <c r="D64" s="2015"/>
      <c r="E64" s="2015"/>
      <c r="F64" s="2015"/>
      <c r="G64" s="2015"/>
      <c r="H64" s="2015"/>
      <c r="I64" s="1727" t="s">
        <v>100</v>
      </c>
      <c r="J64" s="2026"/>
      <c r="K64" s="972"/>
      <c r="L64" s="2018">
        <f t="shared" ref="L64" si="36">J64*K64</f>
        <v>0</v>
      </c>
      <c r="M64" s="2032" t="str">
        <f>IFERROR(IF((VLOOKUP(N64,Überblick!$M$125:$N$133,2))="ja","ja","nein"),"")</f>
        <v/>
      </c>
      <c r="N64" s="2022"/>
      <c r="O64" s="72">
        <f t="shared" ref="O64" si="37">IF(AND(I64="ja",J64=""),1,0)</f>
        <v>0</v>
      </c>
      <c r="P64" s="78">
        <f t="shared" si="2"/>
        <v>0</v>
      </c>
      <c r="T64" s="214"/>
      <c r="U64" s="214"/>
      <c r="V64" s="398"/>
      <c r="W64" s="398"/>
      <c r="X64" s="398"/>
      <c r="Y64" s="398"/>
      <c r="Z64" s="398"/>
      <c r="AA64" s="74"/>
      <c r="AB64" s="72"/>
      <c r="AC64" s="72"/>
      <c r="AD64" s="72"/>
      <c r="AE64" s="72"/>
      <c r="AF64" s="72"/>
      <c r="AG64" s="72"/>
      <c r="AH64" s="72"/>
      <c r="AI64" s="72"/>
      <c r="AJ64" s="72"/>
      <c r="AK64" s="72"/>
      <c r="AL64" s="72"/>
      <c r="AM64" s="72"/>
      <c r="AN64" s="68"/>
      <c r="AO64" s="68"/>
      <c r="AP64" s="68"/>
      <c r="AQ64" s="68"/>
      <c r="AR64" s="68"/>
      <c r="AS64" s="68"/>
    </row>
    <row r="65" spans="1:45" ht="14.25" customHeight="1" outlineLevel="1" x14ac:dyDescent="0.25">
      <c r="A65" s="500"/>
      <c r="B65" s="2016"/>
      <c r="C65" s="2017"/>
      <c r="D65" s="2017"/>
      <c r="E65" s="2017"/>
      <c r="F65" s="2017"/>
      <c r="G65" s="2017"/>
      <c r="H65" s="2017"/>
      <c r="I65" s="1743"/>
      <c r="J65" s="2026"/>
      <c r="K65" s="972"/>
      <c r="L65" s="2018"/>
      <c r="M65" s="2033"/>
      <c r="N65" s="2022"/>
      <c r="P65" s="78"/>
      <c r="T65" s="214"/>
      <c r="U65" s="214"/>
      <c r="V65" s="398"/>
      <c r="W65" s="398"/>
      <c r="X65" s="398"/>
      <c r="Y65" s="398"/>
      <c r="Z65" s="398"/>
      <c r="AA65" s="74"/>
      <c r="AB65" s="72"/>
      <c r="AC65" s="72"/>
      <c r="AD65" s="72"/>
      <c r="AE65" s="72"/>
      <c r="AF65" s="72"/>
      <c r="AG65" s="72"/>
      <c r="AH65" s="72"/>
      <c r="AI65" s="72"/>
      <c r="AJ65" s="72"/>
      <c r="AK65" s="72"/>
      <c r="AL65" s="72"/>
      <c r="AM65" s="72"/>
      <c r="AN65" s="68"/>
      <c r="AO65" s="68"/>
      <c r="AP65" s="68"/>
      <c r="AQ65" s="68"/>
      <c r="AR65" s="68"/>
      <c r="AS65" s="68"/>
    </row>
    <row r="66" spans="1:45" ht="14.25" customHeight="1" outlineLevel="1" x14ac:dyDescent="0.25">
      <c r="A66" s="500"/>
      <c r="B66" s="2014"/>
      <c r="C66" s="2015"/>
      <c r="D66" s="2015"/>
      <c r="E66" s="2015"/>
      <c r="F66" s="2015"/>
      <c r="G66" s="2015"/>
      <c r="H66" s="2015"/>
      <c r="I66" s="1727" t="s">
        <v>100</v>
      </c>
      <c r="J66" s="2026"/>
      <c r="K66" s="972"/>
      <c r="L66" s="2018">
        <f t="shared" ref="L66" si="38">J66*K66</f>
        <v>0</v>
      </c>
      <c r="M66" s="2032" t="str">
        <f>IFERROR(IF((VLOOKUP(N66,Überblick!$M$125:$N$133,2))="ja","ja","nein"),"")</f>
        <v/>
      </c>
      <c r="N66" s="2022"/>
      <c r="O66" s="72">
        <f t="shared" ref="O66" si="39">IF(AND(I66="ja",J66=""),1,0)</f>
        <v>0</v>
      </c>
      <c r="P66" s="78">
        <f t="shared" si="2"/>
        <v>0</v>
      </c>
      <c r="T66" s="214"/>
      <c r="U66" s="214"/>
      <c r="V66" s="398"/>
      <c r="W66" s="398"/>
      <c r="X66" s="398"/>
      <c r="Y66" s="398"/>
      <c r="Z66" s="398"/>
      <c r="AA66" s="74"/>
      <c r="AB66" s="72"/>
      <c r="AC66" s="72"/>
      <c r="AD66" s="72"/>
      <c r="AE66" s="72"/>
      <c r="AF66" s="72"/>
      <c r="AG66" s="72"/>
      <c r="AH66" s="72"/>
      <c r="AI66" s="72"/>
      <c r="AJ66" s="72"/>
      <c r="AK66" s="72"/>
      <c r="AL66" s="72"/>
      <c r="AM66" s="72"/>
      <c r="AN66" s="68"/>
      <c r="AO66" s="68"/>
      <c r="AP66" s="68"/>
      <c r="AQ66" s="68"/>
      <c r="AR66" s="68"/>
      <c r="AS66" s="68"/>
    </row>
    <row r="67" spans="1:45" ht="14.25" customHeight="1" outlineLevel="1" x14ac:dyDescent="0.25">
      <c r="A67" s="500"/>
      <c r="B67" s="2016"/>
      <c r="C67" s="2017"/>
      <c r="D67" s="2017"/>
      <c r="E67" s="2017"/>
      <c r="F67" s="2017"/>
      <c r="G67" s="2017"/>
      <c r="H67" s="2017"/>
      <c r="I67" s="1743"/>
      <c r="J67" s="2029"/>
      <c r="K67" s="974"/>
      <c r="L67" s="2019"/>
      <c r="M67" s="2033"/>
      <c r="N67" s="2023"/>
      <c r="P67" s="78"/>
      <c r="T67" s="214"/>
      <c r="U67" s="214"/>
      <c r="V67" s="398"/>
      <c r="W67" s="398"/>
      <c r="X67" s="398"/>
      <c r="Y67" s="398"/>
      <c r="Z67" s="398"/>
      <c r="AA67" s="74"/>
      <c r="AB67" s="72"/>
      <c r="AC67" s="72"/>
      <c r="AD67" s="72"/>
      <c r="AE67" s="72"/>
      <c r="AF67" s="72"/>
      <c r="AG67" s="72"/>
      <c r="AH67" s="72"/>
      <c r="AI67" s="72"/>
      <c r="AJ67" s="72"/>
      <c r="AK67" s="72"/>
      <c r="AL67" s="72"/>
      <c r="AM67" s="72"/>
      <c r="AN67" s="68"/>
      <c r="AO67" s="68"/>
      <c r="AP67" s="68"/>
      <c r="AQ67" s="68"/>
      <c r="AR67" s="68"/>
      <c r="AS67" s="68"/>
    </row>
    <row r="68" spans="1:45" ht="14.25" customHeight="1" outlineLevel="1" x14ac:dyDescent="0.25">
      <c r="A68" s="500"/>
      <c r="B68" s="2016"/>
      <c r="C68" s="2017"/>
      <c r="D68" s="2017"/>
      <c r="E68" s="2017"/>
      <c r="F68" s="2017"/>
      <c r="G68" s="2017"/>
      <c r="H68" s="2017"/>
      <c r="I68" s="1726" t="s">
        <v>100</v>
      </c>
      <c r="J68" s="2026"/>
      <c r="K68" s="972"/>
      <c r="L68" s="2018">
        <f t="shared" ref="L68" si="40">J68*K68</f>
        <v>0</v>
      </c>
      <c r="M68" s="2021" t="str">
        <f>IFERROR(IF((VLOOKUP(N68,Überblick!$M$125:$N$133,2))="ja","ja","nein"),"")</f>
        <v/>
      </c>
      <c r="N68" s="2022"/>
      <c r="O68" s="72">
        <f t="shared" ref="O68" si="41">IF(AND(I68="ja",J68=""),1,0)</f>
        <v>0</v>
      </c>
      <c r="P68" s="78">
        <f t="shared" si="2"/>
        <v>0</v>
      </c>
      <c r="T68" s="214"/>
      <c r="U68" s="214"/>
      <c r="V68" s="398"/>
      <c r="W68" s="398"/>
      <c r="X68" s="398"/>
      <c r="Y68" s="398"/>
      <c r="Z68" s="398"/>
      <c r="AA68" s="74"/>
      <c r="AB68" s="72"/>
      <c r="AC68" s="72"/>
      <c r="AD68" s="72"/>
      <c r="AE68" s="72"/>
      <c r="AF68" s="72"/>
      <c r="AG68" s="72"/>
      <c r="AH68" s="72"/>
      <c r="AI68" s="72"/>
      <c r="AJ68" s="72"/>
      <c r="AK68" s="72"/>
      <c r="AL68" s="72"/>
      <c r="AM68" s="72"/>
      <c r="AN68" s="68"/>
      <c r="AO68" s="68"/>
      <c r="AP68" s="68"/>
      <c r="AQ68" s="68"/>
      <c r="AR68" s="68"/>
      <c r="AS68" s="68"/>
    </row>
    <row r="69" spans="1:45" ht="14.25" customHeight="1" outlineLevel="1" thickBot="1" x14ac:dyDescent="0.3">
      <c r="A69" s="500"/>
      <c r="B69" s="2128"/>
      <c r="C69" s="2129"/>
      <c r="D69" s="2129"/>
      <c r="E69" s="2129"/>
      <c r="F69" s="2129"/>
      <c r="G69" s="2129"/>
      <c r="H69" s="2129"/>
      <c r="I69" s="1769"/>
      <c r="J69" s="2044"/>
      <c r="K69" s="976"/>
      <c r="L69" s="2045"/>
      <c r="M69" s="2068"/>
      <c r="N69" s="2047"/>
      <c r="P69" s="78"/>
      <c r="T69" s="214"/>
      <c r="U69" s="214"/>
      <c r="V69" s="398"/>
      <c r="W69" s="398"/>
      <c r="X69" s="398"/>
      <c r="Y69" s="398"/>
      <c r="Z69" s="398"/>
      <c r="AA69" s="74"/>
      <c r="AB69" s="72"/>
      <c r="AC69" s="72"/>
      <c r="AD69" s="72"/>
      <c r="AE69" s="72"/>
      <c r="AF69" s="72"/>
      <c r="AG69" s="72"/>
      <c r="AH69" s="72"/>
      <c r="AI69" s="72"/>
      <c r="AJ69" s="72"/>
      <c r="AK69" s="72"/>
      <c r="AL69" s="72"/>
      <c r="AM69" s="72"/>
      <c r="AN69" s="68"/>
      <c r="AO69" s="68"/>
      <c r="AP69" s="68"/>
      <c r="AQ69" s="68"/>
      <c r="AR69" s="68"/>
      <c r="AS69" s="68"/>
    </row>
    <row r="70" spans="1:45" ht="14.25" customHeight="1" thickBot="1" x14ac:dyDescent="0.3">
      <c r="A70" s="500"/>
      <c r="B70" s="222"/>
      <c r="C70" s="222"/>
      <c r="D70" s="222"/>
      <c r="E70" s="222"/>
      <c r="F70" s="222"/>
      <c r="G70" s="222"/>
      <c r="H70" s="222"/>
      <c r="I70" s="219"/>
      <c r="J70" s="434"/>
      <c r="K70" s="435"/>
      <c r="L70" s="96">
        <f>SUM(L8:L69)</f>
        <v>0</v>
      </c>
      <c r="M70" s="153"/>
      <c r="N70" s="150">
        <v>1</v>
      </c>
      <c r="P70" s="78"/>
      <c r="T70" s="214"/>
      <c r="U70" s="214"/>
      <c r="V70" s="398"/>
      <c r="W70" s="398"/>
      <c r="X70" s="398"/>
      <c r="Y70" s="398"/>
      <c r="Z70" s="398"/>
      <c r="AA70" s="74"/>
      <c r="AB70" s="72"/>
      <c r="AC70" s="72"/>
      <c r="AD70" s="72"/>
      <c r="AE70" s="72"/>
      <c r="AF70" s="72"/>
      <c r="AG70" s="72"/>
      <c r="AH70" s="72"/>
      <c r="AI70" s="72"/>
      <c r="AJ70" s="72"/>
      <c r="AK70" s="72"/>
      <c r="AL70" s="72"/>
      <c r="AM70" s="72"/>
      <c r="AN70" s="68"/>
      <c r="AO70" s="68"/>
      <c r="AP70" s="68"/>
      <c r="AQ70" s="68"/>
      <c r="AR70" s="68"/>
      <c r="AS70" s="68"/>
    </row>
    <row r="71" spans="1:45" ht="14.25" customHeight="1" outlineLevel="1" x14ac:dyDescent="0.25">
      <c r="A71" s="500"/>
      <c r="B71" s="1019" t="s">
        <v>724</v>
      </c>
      <c r="C71" s="1020"/>
      <c r="D71" s="1020"/>
      <c r="E71" s="1020"/>
      <c r="F71" s="1020"/>
      <c r="G71" s="1020"/>
      <c r="H71" s="1629"/>
      <c r="I71" s="1131" t="s">
        <v>151</v>
      </c>
      <c r="J71" s="2075" t="str">
        <f>IF(A42=Y43,"Honorar für die besonderen Leistungen","Honorarangebot für die besonderen Leistungen")</f>
        <v>Honorar für die besonderen Leistungen</v>
      </c>
      <c r="K71" s="2075" t="s">
        <v>698</v>
      </c>
      <c r="L71" s="2048" t="s">
        <v>725</v>
      </c>
      <c r="M71" s="2075" t="s">
        <v>156</v>
      </c>
      <c r="N71" s="2102" t="s">
        <v>157</v>
      </c>
      <c r="P71" s="78"/>
      <c r="T71" s="214"/>
      <c r="U71" s="214"/>
      <c r="V71" s="398"/>
      <c r="W71" s="398"/>
      <c r="X71" s="398"/>
      <c r="Y71" s="398"/>
      <c r="Z71" s="398"/>
      <c r="AA71" s="74"/>
      <c r="AB71" s="72"/>
      <c r="AC71" s="72"/>
      <c r="AD71" s="72"/>
      <c r="AE71" s="72"/>
      <c r="AF71" s="72"/>
      <c r="AG71" s="72"/>
      <c r="AH71" s="72"/>
      <c r="AI71" s="72"/>
      <c r="AJ71" s="72"/>
      <c r="AK71" s="72"/>
      <c r="AL71" s="72"/>
      <c r="AM71" s="72"/>
      <c r="AN71" s="68"/>
      <c r="AO71" s="68"/>
      <c r="AP71" s="68"/>
      <c r="AQ71" s="68"/>
      <c r="AR71" s="68"/>
      <c r="AS71" s="68"/>
    </row>
    <row r="72" spans="1:45" ht="14.25" customHeight="1" outlineLevel="1" x14ac:dyDescent="0.25">
      <c r="A72" s="500"/>
      <c r="B72" s="1021"/>
      <c r="C72" s="1022"/>
      <c r="D72" s="1022"/>
      <c r="E72" s="1022"/>
      <c r="F72" s="1022"/>
      <c r="G72" s="1022"/>
      <c r="H72" s="1630"/>
      <c r="I72" s="1132"/>
      <c r="J72" s="2076"/>
      <c r="K72" s="2076"/>
      <c r="L72" s="2049"/>
      <c r="M72" s="2076"/>
      <c r="N72" s="2103"/>
      <c r="P72" s="78"/>
      <c r="T72" s="214"/>
      <c r="U72" s="214"/>
      <c r="V72" s="398"/>
      <c r="W72" s="398"/>
      <c r="X72" s="398"/>
      <c r="Y72" s="398"/>
      <c r="Z72" s="398"/>
      <c r="AA72" s="74"/>
      <c r="AB72" s="72"/>
      <c r="AC72" s="72"/>
      <c r="AD72" s="72"/>
      <c r="AE72" s="72"/>
      <c r="AF72" s="72"/>
      <c r="AG72" s="72"/>
      <c r="AH72" s="72"/>
      <c r="AI72" s="72"/>
      <c r="AJ72" s="72"/>
      <c r="AK72" s="72"/>
      <c r="AL72" s="72"/>
      <c r="AM72" s="72"/>
      <c r="AN72" s="68"/>
      <c r="AO72" s="68"/>
      <c r="AP72" s="68"/>
      <c r="AQ72" s="68"/>
      <c r="AR72" s="68"/>
      <c r="AS72" s="68"/>
    </row>
    <row r="73" spans="1:45" ht="14.25" customHeight="1" outlineLevel="1" thickBot="1" x14ac:dyDescent="0.3">
      <c r="A73" s="500"/>
      <c r="B73" s="1023"/>
      <c r="C73" s="1024"/>
      <c r="D73" s="1024"/>
      <c r="E73" s="1024"/>
      <c r="F73" s="1024"/>
      <c r="G73" s="1024"/>
      <c r="H73" s="1631"/>
      <c r="I73" s="1133"/>
      <c r="J73" s="2077"/>
      <c r="K73" s="2077"/>
      <c r="L73" s="2050"/>
      <c r="M73" s="2077"/>
      <c r="N73" s="2104"/>
      <c r="P73" s="78"/>
      <c r="T73" s="214"/>
      <c r="U73" s="214"/>
      <c r="V73" s="398"/>
      <c r="W73" s="398"/>
      <c r="X73" s="398"/>
      <c r="Y73" s="398"/>
      <c r="Z73" s="398"/>
      <c r="AA73" s="74"/>
      <c r="AB73" s="72"/>
      <c r="AC73" s="72"/>
      <c r="AD73" s="72"/>
      <c r="AE73" s="72"/>
      <c r="AF73" s="72"/>
      <c r="AG73" s="72"/>
      <c r="AH73" s="72"/>
      <c r="AI73" s="72"/>
      <c r="AJ73" s="72"/>
      <c r="AK73" s="72"/>
      <c r="AL73" s="72"/>
      <c r="AM73" s="72"/>
      <c r="AN73" s="68"/>
      <c r="AO73" s="68"/>
      <c r="AP73" s="68"/>
      <c r="AQ73" s="68"/>
      <c r="AR73" s="68"/>
      <c r="AS73" s="68"/>
    </row>
    <row r="74" spans="1:45" ht="14.25" customHeight="1" outlineLevel="1" x14ac:dyDescent="0.25">
      <c r="A74" s="500"/>
      <c r="B74" s="2112" t="s">
        <v>980</v>
      </c>
      <c r="C74" s="2113"/>
      <c r="D74" s="2113"/>
      <c r="E74" s="2113"/>
      <c r="F74" s="2113"/>
      <c r="G74" s="2113"/>
      <c r="H74" s="2114"/>
      <c r="I74" s="1727" t="s">
        <v>99</v>
      </c>
      <c r="J74" s="2037"/>
      <c r="K74" s="2038"/>
      <c r="L74" s="1029">
        <f t="shared" ref="L74:L114" si="42">J74*K74</f>
        <v>0</v>
      </c>
      <c r="M74" s="2032" t="s">
        <v>100</v>
      </c>
      <c r="N74" s="2035"/>
      <c r="O74" s="72">
        <f t="shared" ref="O74:O114" si="43">IF(AND(I74="ja",J74=""),1,0)</f>
        <v>1</v>
      </c>
      <c r="P74" s="78">
        <f t="shared" ref="P74:P131" si="44">IF(I74="ja",1,0)</f>
        <v>1</v>
      </c>
      <c r="T74" s="214"/>
      <c r="U74" s="214"/>
      <c r="V74" s="398"/>
      <c r="W74" s="398"/>
      <c r="X74" s="398"/>
      <c r="Y74" s="398"/>
      <c r="Z74" s="398"/>
      <c r="AA74" s="398"/>
      <c r="AB74" s="398"/>
      <c r="AC74" s="398"/>
      <c r="AD74" s="398"/>
      <c r="AE74" s="72"/>
      <c r="AF74" s="72"/>
      <c r="AG74" s="72"/>
      <c r="AH74" s="72"/>
      <c r="AI74" s="72"/>
      <c r="AJ74" s="72"/>
      <c r="AK74" s="72"/>
      <c r="AL74" s="72"/>
      <c r="AM74" s="72"/>
      <c r="AN74" s="68"/>
      <c r="AO74" s="68"/>
      <c r="AP74" s="68"/>
      <c r="AQ74" s="68"/>
      <c r="AR74" s="68"/>
      <c r="AS74" s="68"/>
    </row>
    <row r="75" spans="1:45" ht="14.25" customHeight="1" outlineLevel="1" x14ac:dyDescent="0.25">
      <c r="A75" s="500"/>
      <c r="B75" s="2118"/>
      <c r="C75" s="2119"/>
      <c r="D75" s="2119"/>
      <c r="E75" s="2119"/>
      <c r="F75" s="2119"/>
      <c r="G75" s="2119"/>
      <c r="H75" s="2120"/>
      <c r="I75" s="1743"/>
      <c r="J75" s="2034"/>
      <c r="K75" s="1619"/>
      <c r="L75" s="2057"/>
      <c r="M75" s="2033"/>
      <c r="N75" s="2036"/>
      <c r="P75" s="78"/>
      <c r="T75" s="214"/>
      <c r="U75" s="214"/>
      <c r="V75" s="398"/>
      <c r="W75" s="398"/>
      <c r="X75" s="398"/>
      <c r="Y75" s="398"/>
      <c r="Z75" s="398"/>
      <c r="AA75" s="398"/>
      <c r="AB75" s="398"/>
      <c r="AC75" s="398"/>
      <c r="AD75" s="398"/>
      <c r="AE75" s="72"/>
      <c r="AF75" s="72"/>
      <c r="AG75" s="72"/>
      <c r="AH75" s="72"/>
      <c r="AI75" s="72"/>
      <c r="AJ75" s="72"/>
      <c r="AK75" s="72"/>
      <c r="AL75" s="72"/>
      <c r="AM75" s="72"/>
      <c r="AN75" s="68"/>
      <c r="AO75" s="68"/>
      <c r="AP75" s="68"/>
      <c r="AQ75" s="68"/>
      <c r="AR75" s="68"/>
      <c r="AS75" s="68"/>
    </row>
    <row r="76" spans="1:45" ht="14.25" customHeight="1" outlineLevel="1" x14ac:dyDescent="0.25">
      <c r="A76" s="500"/>
      <c r="B76" s="2024" t="s">
        <v>726</v>
      </c>
      <c r="C76" s="2025"/>
      <c r="D76" s="2025"/>
      <c r="E76" s="2025"/>
      <c r="F76" s="2025"/>
      <c r="G76" s="2025"/>
      <c r="H76" s="2025"/>
      <c r="I76" s="1727" t="s">
        <v>100</v>
      </c>
      <c r="J76" s="2026"/>
      <c r="K76" s="972"/>
      <c r="L76" s="2018">
        <f t="shared" si="42"/>
        <v>0</v>
      </c>
      <c r="M76" s="2032" t="str">
        <f>IFERROR(IF((VLOOKUP(N76,Überblick!$M$125:$N$133,2))="ja","ja","nein"),"")</f>
        <v/>
      </c>
      <c r="N76" s="2022"/>
      <c r="O76" s="72">
        <f t="shared" si="43"/>
        <v>0</v>
      </c>
      <c r="P76" s="78">
        <f t="shared" si="44"/>
        <v>0</v>
      </c>
      <c r="T76" s="214"/>
      <c r="U76" s="214"/>
      <c r="V76" s="398"/>
      <c r="W76" s="398"/>
      <c r="X76" s="398"/>
      <c r="Y76" s="398"/>
      <c r="Z76" s="398"/>
      <c r="AA76" s="398"/>
      <c r="AB76" s="398"/>
      <c r="AC76" s="398"/>
      <c r="AD76" s="398"/>
      <c r="AE76" s="72"/>
      <c r="AF76" s="72"/>
      <c r="AG76" s="72"/>
      <c r="AH76" s="72"/>
      <c r="AI76" s="72"/>
      <c r="AJ76" s="72"/>
      <c r="AK76" s="72"/>
      <c r="AL76" s="72"/>
      <c r="AM76" s="72"/>
      <c r="AN76" s="68"/>
      <c r="AO76" s="68"/>
      <c r="AP76" s="68"/>
      <c r="AQ76" s="68"/>
      <c r="AR76" s="68"/>
      <c r="AS76" s="68"/>
    </row>
    <row r="77" spans="1:45" ht="14.25" customHeight="1" outlineLevel="1" x14ac:dyDescent="0.25">
      <c r="A77" s="500"/>
      <c r="B77" s="2024"/>
      <c r="C77" s="2025"/>
      <c r="D77" s="2025"/>
      <c r="E77" s="2025"/>
      <c r="F77" s="2025"/>
      <c r="G77" s="2025"/>
      <c r="H77" s="2025"/>
      <c r="I77" s="1743"/>
      <c r="J77" s="2026"/>
      <c r="K77" s="972"/>
      <c r="L77" s="2018"/>
      <c r="M77" s="2033"/>
      <c r="N77" s="2022"/>
      <c r="P77" s="78"/>
      <c r="T77" s="214"/>
      <c r="U77" s="214"/>
      <c r="V77" s="398"/>
      <c r="W77" s="398"/>
      <c r="X77" s="398"/>
      <c r="Y77" s="398"/>
      <c r="Z77" s="398"/>
      <c r="AA77" s="398"/>
      <c r="AB77" s="398"/>
      <c r="AC77" s="398"/>
      <c r="AD77" s="398"/>
      <c r="AE77" s="72"/>
      <c r="AF77" s="72"/>
      <c r="AG77" s="72"/>
      <c r="AH77" s="72"/>
      <c r="AI77" s="72"/>
      <c r="AJ77" s="72"/>
      <c r="AK77" s="72"/>
      <c r="AL77" s="72"/>
      <c r="AM77" s="72"/>
      <c r="AN77" s="68"/>
      <c r="AO77" s="68"/>
      <c r="AP77" s="68"/>
      <c r="AQ77" s="68"/>
      <c r="AR77" s="68"/>
      <c r="AS77" s="68"/>
    </row>
    <row r="78" spans="1:45" ht="14.25" customHeight="1" outlineLevel="1" x14ac:dyDescent="0.25">
      <c r="A78" s="500"/>
      <c r="B78" s="2024" t="s">
        <v>727</v>
      </c>
      <c r="C78" s="2025"/>
      <c r="D78" s="2025"/>
      <c r="E78" s="2025"/>
      <c r="F78" s="2025"/>
      <c r="G78" s="2025"/>
      <c r="H78" s="2025"/>
      <c r="I78" s="1727" t="s">
        <v>100</v>
      </c>
      <c r="J78" s="2026"/>
      <c r="K78" s="972"/>
      <c r="L78" s="2018">
        <f t="shared" si="42"/>
        <v>0</v>
      </c>
      <c r="M78" s="2032" t="str">
        <f>IFERROR(IF((VLOOKUP(N78,Überblick!$M$125:$N$133,2))="ja","ja","nein"),"")</f>
        <v/>
      </c>
      <c r="N78" s="2022"/>
      <c r="O78" s="72">
        <f t="shared" si="43"/>
        <v>0</v>
      </c>
      <c r="P78" s="78">
        <f t="shared" si="44"/>
        <v>0</v>
      </c>
      <c r="T78" s="214"/>
      <c r="U78" s="214"/>
      <c r="V78" s="398"/>
      <c r="W78" s="398"/>
      <c r="X78" s="398"/>
      <c r="Y78" s="398"/>
      <c r="Z78" s="398"/>
      <c r="AA78" s="398"/>
      <c r="AB78" s="398"/>
      <c r="AC78" s="398"/>
      <c r="AD78" s="398"/>
      <c r="AE78" s="72"/>
      <c r="AF78" s="72"/>
      <c r="AG78" s="72"/>
      <c r="AH78" s="72"/>
      <c r="AI78" s="72"/>
      <c r="AJ78" s="72"/>
      <c r="AK78" s="72"/>
      <c r="AL78" s="72"/>
      <c r="AM78" s="72"/>
      <c r="AN78" s="68"/>
      <c r="AO78" s="68"/>
      <c r="AP78" s="68"/>
      <c r="AQ78" s="68"/>
      <c r="AR78" s="68"/>
      <c r="AS78" s="68"/>
    </row>
    <row r="79" spans="1:45" ht="14.25" customHeight="1" outlineLevel="1" x14ac:dyDescent="0.25">
      <c r="A79" s="500"/>
      <c r="B79" s="2024"/>
      <c r="C79" s="2025"/>
      <c r="D79" s="2025"/>
      <c r="E79" s="2025"/>
      <c r="F79" s="2025"/>
      <c r="G79" s="2025"/>
      <c r="H79" s="2025"/>
      <c r="I79" s="1743"/>
      <c r="J79" s="2026"/>
      <c r="K79" s="972"/>
      <c r="L79" s="2018"/>
      <c r="M79" s="2033"/>
      <c r="N79" s="2022"/>
      <c r="P79" s="78"/>
      <c r="T79" s="214"/>
      <c r="U79" s="214"/>
      <c r="V79" s="398"/>
      <c r="W79" s="398"/>
      <c r="X79" s="398"/>
      <c r="Y79" s="398"/>
      <c r="Z79" s="398"/>
      <c r="AA79" s="398"/>
      <c r="AB79" s="398"/>
      <c r="AC79" s="398"/>
      <c r="AD79" s="398"/>
      <c r="AE79" s="72"/>
      <c r="AF79" s="72"/>
      <c r="AG79" s="72"/>
      <c r="AH79" s="72"/>
      <c r="AI79" s="72"/>
      <c r="AJ79" s="72"/>
      <c r="AK79" s="72"/>
      <c r="AL79" s="72"/>
      <c r="AM79" s="72"/>
      <c r="AN79" s="68"/>
      <c r="AO79" s="68"/>
      <c r="AP79" s="68"/>
      <c r="AQ79" s="68"/>
      <c r="AR79" s="68"/>
      <c r="AS79" s="68"/>
    </row>
    <row r="80" spans="1:45" ht="14.25" customHeight="1" outlineLevel="1" x14ac:dyDescent="0.25">
      <c r="A80" s="500"/>
      <c r="B80" s="2024" t="s">
        <v>728</v>
      </c>
      <c r="C80" s="2025"/>
      <c r="D80" s="2025"/>
      <c r="E80" s="2025"/>
      <c r="F80" s="2025"/>
      <c r="G80" s="2025"/>
      <c r="H80" s="2025"/>
      <c r="I80" s="1727" t="s">
        <v>99</v>
      </c>
      <c r="J80" s="2026"/>
      <c r="K80" s="972"/>
      <c r="L80" s="2018">
        <f t="shared" si="42"/>
        <v>0</v>
      </c>
      <c r="M80" s="2032" t="str">
        <f>IFERROR(IF((VLOOKUP(N80,Überblick!$M$125:$N$133,2))="ja","ja","nein"),"")</f>
        <v/>
      </c>
      <c r="N80" s="2022"/>
      <c r="O80" s="72">
        <f t="shared" si="43"/>
        <v>1</v>
      </c>
      <c r="P80" s="78">
        <f t="shared" si="44"/>
        <v>1</v>
      </c>
      <c r="T80" s="214"/>
      <c r="U80" s="214"/>
      <c r="V80" s="398"/>
      <c r="W80" s="398"/>
      <c r="X80" s="398"/>
      <c r="Y80" s="398"/>
      <c r="Z80" s="398"/>
      <c r="AA80" s="398"/>
      <c r="AB80" s="398"/>
      <c r="AC80" s="398"/>
      <c r="AD80" s="398"/>
      <c r="AE80" s="72"/>
      <c r="AF80" s="72"/>
      <c r="AG80" s="72"/>
      <c r="AH80" s="72"/>
      <c r="AI80" s="72"/>
      <c r="AJ80" s="72"/>
      <c r="AK80" s="72"/>
      <c r="AL80" s="72"/>
      <c r="AM80" s="72"/>
      <c r="AN80" s="68"/>
      <c r="AO80" s="68"/>
      <c r="AP80" s="68"/>
      <c r="AQ80" s="68"/>
      <c r="AR80" s="68"/>
      <c r="AS80" s="68"/>
    </row>
    <row r="81" spans="1:45" ht="14.25" customHeight="1" outlineLevel="1" x14ac:dyDescent="0.25">
      <c r="A81" s="500"/>
      <c r="B81" s="2024"/>
      <c r="C81" s="2025"/>
      <c r="D81" s="2025"/>
      <c r="E81" s="2025"/>
      <c r="F81" s="2025"/>
      <c r="G81" s="2025"/>
      <c r="H81" s="2025"/>
      <c r="I81" s="1743"/>
      <c r="J81" s="2026"/>
      <c r="K81" s="972"/>
      <c r="L81" s="2018"/>
      <c r="M81" s="2033"/>
      <c r="N81" s="2022"/>
      <c r="P81" s="78"/>
      <c r="T81" s="214"/>
      <c r="U81" s="214"/>
      <c r="V81" s="398"/>
      <c r="W81" s="398"/>
      <c r="X81" s="398"/>
      <c r="Y81" s="398"/>
      <c r="Z81" s="398"/>
      <c r="AA81" s="398"/>
      <c r="AB81" s="398"/>
      <c r="AC81" s="398"/>
      <c r="AD81" s="398"/>
      <c r="AE81" s="72"/>
      <c r="AF81" s="72"/>
      <c r="AG81" s="72"/>
      <c r="AH81" s="72"/>
      <c r="AI81" s="72"/>
      <c r="AJ81" s="72"/>
      <c r="AK81" s="72"/>
      <c r="AL81" s="72"/>
      <c r="AM81" s="72"/>
      <c r="AN81" s="68"/>
      <c r="AO81" s="68"/>
      <c r="AP81" s="68"/>
      <c r="AQ81" s="68"/>
      <c r="AR81" s="68"/>
      <c r="AS81" s="68"/>
    </row>
    <row r="82" spans="1:45" ht="14.25" customHeight="1" outlineLevel="1" x14ac:dyDescent="0.25">
      <c r="A82" s="500"/>
      <c r="B82" s="2024" t="s">
        <v>729</v>
      </c>
      <c r="C82" s="2025"/>
      <c r="D82" s="2025"/>
      <c r="E82" s="2025"/>
      <c r="F82" s="2025"/>
      <c r="G82" s="2025"/>
      <c r="H82" s="2025"/>
      <c r="I82" s="1727" t="s">
        <v>99</v>
      </c>
      <c r="J82" s="2026"/>
      <c r="K82" s="972"/>
      <c r="L82" s="2018">
        <f t="shared" si="42"/>
        <v>0</v>
      </c>
      <c r="M82" s="2032" t="str">
        <f>IFERROR(IF((VLOOKUP(N82,Überblick!$M$125:$N$133,2))="ja","ja","nein"),"")</f>
        <v/>
      </c>
      <c r="N82" s="2022"/>
      <c r="O82" s="72">
        <f t="shared" si="43"/>
        <v>1</v>
      </c>
      <c r="P82" s="78">
        <f t="shared" si="44"/>
        <v>1</v>
      </c>
      <c r="T82" s="214"/>
      <c r="U82" s="214"/>
      <c r="V82" s="398"/>
      <c r="W82" s="398"/>
      <c r="X82" s="398"/>
      <c r="Y82" s="398"/>
      <c r="Z82" s="398"/>
      <c r="AA82" s="398"/>
      <c r="AB82" s="398"/>
      <c r="AC82" s="398"/>
      <c r="AD82" s="398"/>
      <c r="AE82" s="72"/>
      <c r="AF82" s="72"/>
      <c r="AG82" s="72"/>
      <c r="AH82" s="72"/>
      <c r="AI82" s="72"/>
      <c r="AJ82" s="72"/>
      <c r="AK82" s="72"/>
      <c r="AL82" s="72"/>
      <c r="AM82" s="72"/>
      <c r="AN82" s="68"/>
      <c r="AO82" s="68"/>
      <c r="AP82" s="68"/>
      <c r="AQ82" s="68"/>
      <c r="AR82" s="68"/>
      <c r="AS82" s="68"/>
    </row>
    <row r="83" spans="1:45" ht="14.25" customHeight="1" outlineLevel="1" x14ac:dyDescent="0.25">
      <c r="A83" s="500"/>
      <c r="B83" s="2024"/>
      <c r="C83" s="2025"/>
      <c r="D83" s="2025"/>
      <c r="E83" s="2025"/>
      <c r="F83" s="2025"/>
      <c r="G83" s="2025"/>
      <c r="H83" s="2025"/>
      <c r="I83" s="1743"/>
      <c r="J83" s="2026"/>
      <c r="K83" s="972"/>
      <c r="L83" s="2018"/>
      <c r="M83" s="2033"/>
      <c r="N83" s="2022"/>
      <c r="P83" s="78"/>
      <c r="T83" s="214"/>
      <c r="U83" s="214"/>
      <c r="V83" s="398"/>
      <c r="W83" s="398"/>
      <c r="X83" s="398"/>
      <c r="Y83" s="398"/>
      <c r="Z83" s="398"/>
      <c r="AA83" s="398"/>
      <c r="AB83" s="398"/>
      <c r="AC83" s="398"/>
      <c r="AD83" s="398"/>
      <c r="AE83" s="72"/>
      <c r="AF83" s="72"/>
      <c r="AG83" s="72"/>
      <c r="AH83" s="72"/>
      <c r="AI83" s="72"/>
      <c r="AJ83" s="72"/>
      <c r="AK83" s="72"/>
      <c r="AL83" s="72"/>
      <c r="AM83" s="72"/>
      <c r="AN83" s="68"/>
      <c r="AO83" s="68"/>
      <c r="AP83" s="68"/>
      <c r="AQ83" s="68"/>
      <c r="AR83" s="68"/>
      <c r="AS83" s="68"/>
    </row>
    <row r="84" spans="1:45" ht="14.25" customHeight="1" outlineLevel="1" x14ac:dyDescent="0.25">
      <c r="A84" s="500"/>
      <c r="B84" s="2024" t="s">
        <v>730</v>
      </c>
      <c r="C84" s="2025"/>
      <c r="D84" s="2025"/>
      <c r="E84" s="2025"/>
      <c r="F84" s="2025"/>
      <c r="G84" s="2025"/>
      <c r="H84" s="2025"/>
      <c r="I84" s="1727" t="s">
        <v>99</v>
      </c>
      <c r="J84" s="2026"/>
      <c r="K84" s="972"/>
      <c r="L84" s="2018">
        <f t="shared" si="42"/>
        <v>0</v>
      </c>
      <c r="M84" s="2032" t="str">
        <f>IFERROR(IF((VLOOKUP(N84,Überblick!$M$125:$N$133,2))="ja","ja","nein"),"")</f>
        <v/>
      </c>
      <c r="N84" s="2022"/>
      <c r="O84" s="72">
        <f t="shared" si="43"/>
        <v>1</v>
      </c>
      <c r="P84" s="78">
        <f t="shared" si="44"/>
        <v>1</v>
      </c>
      <c r="T84" s="214"/>
      <c r="U84" s="214"/>
      <c r="V84" s="398"/>
      <c r="W84" s="398"/>
      <c r="X84" s="398"/>
      <c r="Y84" s="398"/>
      <c r="Z84" s="398"/>
      <c r="AA84" s="398"/>
      <c r="AB84" s="398"/>
      <c r="AC84" s="398"/>
      <c r="AD84" s="398"/>
      <c r="AE84" s="72"/>
      <c r="AF84" s="72"/>
      <c r="AG84" s="72"/>
      <c r="AH84" s="72"/>
      <c r="AI84" s="72"/>
      <c r="AJ84" s="72"/>
      <c r="AK84" s="72"/>
      <c r="AL84" s="72"/>
      <c r="AM84" s="72"/>
      <c r="AN84" s="68"/>
      <c r="AO84" s="68"/>
      <c r="AP84" s="68"/>
      <c r="AQ84" s="68"/>
      <c r="AR84" s="68"/>
      <c r="AS84" s="68"/>
    </row>
    <row r="85" spans="1:45" ht="14.25" customHeight="1" outlineLevel="1" x14ac:dyDescent="0.25">
      <c r="A85" s="500"/>
      <c r="B85" s="2024"/>
      <c r="C85" s="2025"/>
      <c r="D85" s="2025"/>
      <c r="E85" s="2025"/>
      <c r="F85" s="2025"/>
      <c r="G85" s="2025"/>
      <c r="H85" s="2025"/>
      <c r="I85" s="1743"/>
      <c r="J85" s="2026"/>
      <c r="K85" s="972"/>
      <c r="L85" s="2018"/>
      <c r="M85" s="2033"/>
      <c r="N85" s="2022"/>
      <c r="P85" s="78"/>
      <c r="T85" s="214"/>
      <c r="U85" s="214"/>
      <c r="V85" s="398"/>
      <c r="W85" s="398"/>
      <c r="X85" s="398"/>
      <c r="Y85" s="398"/>
      <c r="Z85" s="398"/>
      <c r="AA85" s="398"/>
      <c r="AB85" s="398"/>
      <c r="AC85" s="398"/>
      <c r="AD85" s="398"/>
      <c r="AE85" s="72"/>
      <c r="AF85" s="72"/>
      <c r="AG85" s="72"/>
      <c r="AH85" s="72"/>
      <c r="AI85" s="72"/>
      <c r="AJ85" s="72"/>
      <c r="AK85" s="72"/>
      <c r="AL85" s="72"/>
      <c r="AM85" s="72"/>
      <c r="AN85" s="68"/>
      <c r="AO85" s="68"/>
      <c r="AP85" s="68"/>
      <c r="AQ85" s="68"/>
      <c r="AR85" s="68"/>
      <c r="AS85" s="68"/>
    </row>
    <row r="86" spans="1:45" ht="14.25" customHeight="1" outlineLevel="1" x14ac:dyDescent="0.25">
      <c r="A86" s="500"/>
      <c r="B86" s="2024" t="s">
        <v>731</v>
      </c>
      <c r="C86" s="2025"/>
      <c r="D86" s="2025"/>
      <c r="E86" s="2025"/>
      <c r="F86" s="2025"/>
      <c r="G86" s="2025"/>
      <c r="H86" s="2025"/>
      <c r="I86" s="1727" t="s">
        <v>99</v>
      </c>
      <c r="J86" s="2026"/>
      <c r="K86" s="972"/>
      <c r="L86" s="2018">
        <f t="shared" si="42"/>
        <v>0</v>
      </c>
      <c r="M86" s="2032" t="str">
        <f>IFERROR(IF((VLOOKUP(N86,Überblick!$M$125:$N$133,2))="ja","ja","nein"),"")</f>
        <v/>
      </c>
      <c r="N86" s="2022"/>
      <c r="O86" s="72">
        <f t="shared" si="43"/>
        <v>1</v>
      </c>
      <c r="P86" s="78">
        <f t="shared" si="44"/>
        <v>1</v>
      </c>
      <c r="T86" s="214"/>
      <c r="U86" s="214"/>
      <c r="V86" s="398"/>
      <c r="W86" s="398"/>
      <c r="X86" s="398"/>
      <c r="Y86" s="398"/>
      <c r="Z86" s="398"/>
      <c r="AA86" s="398"/>
      <c r="AB86" s="398"/>
      <c r="AC86" s="398"/>
      <c r="AD86" s="398"/>
      <c r="AE86" s="72"/>
      <c r="AF86" s="72"/>
      <c r="AG86" s="72"/>
      <c r="AH86" s="72"/>
      <c r="AI86" s="72"/>
      <c r="AJ86" s="72"/>
      <c r="AK86" s="72"/>
      <c r="AL86" s="72"/>
      <c r="AM86" s="72"/>
      <c r="AN86" s="68"/>
      <c r="AO86" s="68"/>
      <c r="AP86" s="68"/>
      <c r="AQ86" s="68"/>
      <c r="AR86" s="68"/>
      <c r="AS86" s="68"/>
    </row>
    <row r="87" spans="1:45" ht="14.25" customHeight="1" outlineLevel="1" x14ac:dyDescent="0.25">
      <c r="A87" s="500"/>
      <c r="B87" s="2024"/>
      <c r="C87" s="2025"/>
      <c r="D87" s="2025"/>
      <c r="E87" s="2025"/>
      <c r="F87" s="2025"/>
      <c r="G87" s="2025"/>
      <c r="H87" s="2025"/>
      <c r="I87" s="1743"/>
      <c r="J87" s="2026"/>
      <c r="K87" s="972"/>
      <c r="L87" s="2018"/>
      <c r="M87" s="2033"/>
      <c r="N87" s="2022"/>
      <c r="P87" s="78"/>
      <c r="T87" s="214"/>
      <c r="U87" s="214"/>
      <c r="V87" s="398"/>
      <c r="W87" s="398"/>
      <c r="X87" s="398"/>
      <c r="Y87" s="398"/>
      <c r="Z87" s="398"/>
      <c r="AA87" s="398"/>
      <c r="AB87" s="398"/>
      <c r="AC87" s="398"/>
      <c r="AD87" s="398"/>
      <c r="AE87" s="72"/>
      <c r="AF87" s="72"/>
      <c r="AG87" s="72"/>
      <c r="AH87" s="72"/>
      <c r="AI87" s="72"/>
      <c r="AJ87" s="72"/>
      <c r="AK87" s="72"/>
      <c r="AL87" s="72"/>
      <c r="AM87" s="72"/>
      <c r="AN87" s="68"/>
      <c r="AO87" s="68"/>
      <c r="AP87" s="68"/>
      <c r="AQ87" s="68"/>
      <c r="AR87" s="68"/>
      <c r="AS87" s="68"/>
    </row>
    <row r="88" spans="1:45" ht="14.25" customHeight="1" outlineLevel="1" x14ac:dyDescent="0.25">
      <c r="A88" s="500"/>
      <c r="B88" s="2024" t="s">
        <v>732</v>
      </c>
      <c r="C88" s="2025"/>
      <c r="D88" s="2025"/>
      <c r="E88" s="2025"/>
      <c r="F88" s="2025"/>
      <c r="G88" s="2025"/>
      <c r="H88" s="2025"/>
      <c r="I88" s="1727" t="s">
        <v>99</v>
      </c>
      <c r="J88" s="2026"/>
      <c r="K88" s="972"/>
      <c r="L88" s="2018">
        <f t="shared" si="42"/>
        <v>0</v>
      </c>
      <c r="M88" s="2032" t="str">
        <f>IFERROR(IF((VLOOKUP(N88,Überblick!$M$125:$N$133,2))="ja","ja","nein"),"")</f>
        <v/>
      </c>
      <c r="N88" s="2022"/>
      <c r="O88" s="72">
        <f t="shared" si="43"/>
        <v>1</v>
      </c>
      <c r="P88" s="78">
        <f t="shared" si="44"/>
        <v>1</v>
      </c>
      <c r="T88" s="214"/>
      <c r="U88" s="214"/>
      <c r="V88" s="398"/>
      <c r="W88" s="398"/>
      <c r="X88" s="398"/>
      <c r="Y88" s="398"/>
      <c r="Z88" s="398"/>
      <c r="AA88" s="398"/>
      <c r="AB88" s="398"/>
      <c r="AC88" s="398"/>
      <c r="AD88" s="398"/>
      <c r="AE88" s="72"/>
      <c r="AF88" s="72"/>
      <c r="AG88" s="72"/>
      <c r="AH88" s="72"/>
      <c r="AI88" s="72"/>
      <c r="AJ88" s="72"/>
      <c r="AK88" s="72"/>
      <c r="AL88" s="72"/>
      <c r="AM88" s="72"/>
      <c r="AN88" s="68"/>
      <c r="AO88" s="68"/>
      <c r="AP88" s="68"/>
      <c r="AQ88" s="68"/>
      <c r="AR88" s="68"/>
      <c r="AS88" s="68"/>
    </row>
    <row r="89" spans="1:45" ht="14.25" customHeight="1" outlineLevel="1" x14ac:dyDescent="0.25">
      <c r="A89" s="500"/>
      <c r="B89" s="2024"/>
      <c r="C89" s="2025"/>
      <c r="D89" s="2025"/>
      <c r="E89" s="2025"/>
      <c r="F89" s="2025"/>
      <c r="G89" s="2025"/>
      <c r="H89" s="2025"/>
      <c r="I89" s="1743"/>
      <c r="J89" s="2026"/>
      <c r="K89" s="972"/>
      <c r="L89" s="2018"/>
      <c r="M89" s="2033"/>
      <c r="N89" s="2022"/>
      <c r="P89" s="78"/>
      <c r="T89" s="214"/>
      <c r="U89" s="214"/>
      <c r="V89" s="398"/>
      <c r="W89" s="398"/>
      <c r="X89" s="398"/>
      <c r="Y89" s="398"/>
      <c r="Z89" s="398"/>
      <c r="AA89" s="398"/>
      <c r="AB89" s="398"/>
      <c r="AC89" s="398"/>
      <c r="AD89" s="398"/>
      <c r="AE89" s="72"/>
      <c r="AF89" s="72"/>
      <c r="AG89" s="72"/>
      <c r="AH89" s="72"/>
      <c r="AI89" s="72"/>
      <c r="AJ89" s="72"/>
      <c r="AK89" s="72"/>
      <c r="AL89" s="72"/>
      <c r="AM89" s="72"/>
      <c r="AN89" s="68"/>
      <c r="AO89" s="68"/>
      <c r="AP89" s="68"/>
      <c r="AQ89" s="68"/>
      <c r="AR89" s="68"/>
      <c r="AS89" s="68"/>
    </row>
    <row r="90" spans="1:45" ht="14.25" customHeight="1" outlineLevel="1" x14ac:dyDescent="0.25">
      <c r="A90" s="500"/>
      <c r="B90" s="2024" t="s">
        <v>733</v>
      </c>
      <c r="C90" s="2025"/>
      <c r="D90" s="2025"/>
      <c r="E90" s="2025"/>
      <c r="F90" s="2025"/>
      <c r="G90" s="2025"/>
      <c r="H90" s="2025"/>
      <c r="I90" s="1727" t="s">
        <v>100</v>
      </c>
      <c r="J90" s="2026"/>
      <c r="K90" s="972"/>
      <c r="L90" s="2018">
        <f t="shared" si="42"/>
        <v>0</v>
      </c>
      <c r="M90" s="2032" t="str">
        <f>IFERROR(IF((VLOOKUP(N90,Überblick!$M$125:$N$133,2))="ja","ja","nein"),"")</f>
        <v/>
      </c>
      <c r="N90" s="2022"/>
      <c r="O90" s="72">
        <f t="shared" si="43"/>
        <v>0</v>
      </c>
      <c r="P90" s="78">
        <f t="shared" si="44"/>
        <v>0</v>
      </c>
      <c r="T90" s="214"/>
      <c r="U90" s="214"/>
      <c r="V90" s="398"/>
      <c r="W90" s="398"/>
      <c r="X90" s="398"/>
      <c r="Y90" s="398"/>
      <c r="Z90" s="398"/>
      <c r="AA90" s="398"/>
      <c r="AB90" s="398"/>
      <c r="AC90" s="398"/>
      <c r="AD90" s="398"/>
      <c r="AE90" s="72"/>
      <c r="AF90" s="72"/>
      <c r="AG90" s="72"/>
      <c r="AH90" s="72"/>
      <c r="AI90" s="72"/>
      <c r="AJ90" s="72"/>
      <c r="AK90" s="72"/>
      <c r="AL90" s="72"/>
      <c r="AM90" s="72"/>
      <c r="AN90" s="68"/>
      <c r="AO90" s="68"/>
      <c r="AP90" s="68"/>
      <c r="AQ90" s="68"/>
      <c r="AR90" s="68"/>
      <c r="AS90" s="68"/>
    </row>
    <row r="91" spans="1:45" ht="14.25" customHeight="1" outlineLevel="1" x14ac:dyDescent="0.25">
      <c r="A91" s="500"/>
      <c r="B91" s="2024"/>
      <c r="C91" s="2025"/>
      <c r="D91" s="2025"/>
      <c r="E91" s="2025"/>
      <c r="F91" s="2025"/>
      <c r="G91" s="2025"/>
      <c r="H91" s="2025"/>
      <c r="I91" s="1743"/>
      <c r="J91" s="2026"/>
      <c r="K91" s="972"/>
      <c r="L91" s="2018"/>
      <c r="M91" s="2033"/>
      <c r="N91" s="2022"/>
      <c r="P91" s="78"/>
      <c r="T91" s="214"/>
      <c r="U91" s="214"/>
      <c r="V91" s="398"/>
      <c r="W91" s="398"/>
      <c r="X91" s="398"/>
      <c r="Y91" s="398"/>
      <c r="Z91" s="398"/>
      <c r="AA91" s="398"/>
      <c r="AB91" s="398"/>
      <c r="AC91" s="398"/>
      <c r="AD91" s="398"/>
      <c r="AE91" s="72"/>
      <c r="AF91" s="72"/>
      <c r="AG91" s="72"/>
      <c r="AH91" s="72"/>
      <c r="AI91" s="72"/>
      <c r="AJ91" s="72"/>
      <c r="AK91" s="72"/>
      <c r="AL91" s="72"/>
      <c r="AM91" s="72"/>
      <c r="AN91" s="68"/>
      <c r="AO91" s="68"/>
      <c r="AP91" s="68"/>
      <c r="AQ91" s="68"/>
      <c r="AR91" s="68"/>
      <c r="AS91" s="68"/>
    </row>
    <row r="92" spans="1:45" ht="14.25" customHeight="1" outlineLevel="1" x14ac:dyDescent="0.25">
      <c r="A92" s="500"/>
      <c r="B92" s="2024" t="s">
        <v>708</v>
      </c>
      <c r="C92" s="2025"/>
      <c r="D92" s="2025"/>
      <c r="E92" s="2025"/>
      <c r="F92" s="2025"/>
      <c r="G92" s="2025"/>
      <c r="H92" s="2025"/>
      <c r="I92" s="1727" t="s">
        <v>100</v>
      </c>
      <c r="J92" s="2026"/>
      <c r="K92" s="972"/>
      <c r="L92" s="2018">
        <f t="shared" si="42"/>
        <v>0</v>
      </c>
      <c r="M92" s="2032" t="str">
        <f>IFERROR(IF((VLOOKUP(N92,Überblick!$M$125:$N$133,2))="ja","ja","nein"),"")</f>
        <v/>
      </c>
      <c r="N92" s="2022"/>
      <c r="O92" s="72">
        <f t="shared" si="43"/>
        <v>0</v>
      </c>
      <c r="P92" s="78">
        <f t="shared" si="44"/>
        <v>0</v>
      </c>
      <c r="T92" s="214"/>
      <c r="U92" s="214"/>
      <c r="V92" s="398"/>
      <c r="W92" s="398"/>
      <c r="X92" s="398"/>
      <c r="Y92" s="398"/>
      <c r="Z92" s="398"/>
      <c r="AA92" s="398"/>
      <c r="AB92" s="398"/>
      <c r="AC92" s="398"/>
      <c r="AD92" s="398"/>
      <c r="AE92" s="72"/>
      <c r="AF92" s="72"/>
      <c r="AG92" s="72"/>
      <c r="AH92" s="72"/>
      <c r="AI92" s="72"/>
      <c r="AJ92" s="72"/>
      <c r="AK92" s="72"/>
      <c r="AL92" s="72"/>
      <c r="AM92" s="72"/>
      <c r="AN92" s="68"/>
      <c r="AO92" s="68"/>
      <c r="AP92" s="68"/>
      <c r="AQ92" s="68"/>
      <c r="AR92" s="68"/>
      <c r="AS92" s="68"/>
    </row>
    <row r="93" spans="1:45" ht="14.25" customHeight="1" outlineLevel="1" x14ac:dyDescent="0.25">
      <c r="A93" s="500"/>
      <c r="B93" s="2024"/>
      <c r="C93" s="2025"/>
      <c r="D93" s="2025"/>
      <c r="E93" s="2025"/>
      <c r="F93" s="2025"/>
      <c r="G93" s="2025"/>
      <c r="H93" s="2025"/>
      <c r="I93" s="1743"/>
      <c r="J93" s="2026"/>
      <c r="K93" s="972"/>
      <c r="L93" s="2018"/>
      <c r="M93" s="2033"/>
      <c r="N93" s="2022"/>
      <c r="P93" s="78"/>
      <c r="T93" s="214"/>
      <c r="U93" s="214"/>
      <c r="V93" s="398"/>
      <c r="W93" s="398"/>
      <c r="X93" s="398"/>
      <c r="Y93" s="398"/>
      <c r="Z93" s="398"/>
      <c r="AA93" s="398"/>
      <c r="AB93" s="398"/>
      <c r="AC93" s="398"/>
      <c r="AD93" s="398"/>
      <c r="AE93" s="72"/>
      <c r="AF93" s="72"/>
      <c r="AG93" s="72"/>
      <c r="AH93" s="72"/>
      <c r="AI93" s="72"/>
      <c r="AJ93" s="72"/>
      <c r="AK93" s="72"/>
      <c r="AL93" s="72"/>
      <c r="AM93" s="72"/>
      <c r="AN93" s="68"/>
      <c r="AO93" s="68"/>
      <c r="AP93" s="68"/>
      <c r="AQ93" s="68"/>
      <c r="AR93" s="68"/>
      <c r="AS93" s="68"/>
    </row>
    <row r="94" spans="1:45" ht="14.25" customHeight="1" outlineLevel="1" x14ac:dyDescent="0.25">
      <c r="A94" s="500"/>
      <c r="B94" s="2024" t="s">
        <v>734</v>
      </c>
      <c r="C94" s="2025"/>
      <c r="D94" s="2025"/>
      <c r="E94" s="2025"/>
      <c r="F94" s="2025"/>
      <c r="G94" s="2025"/>
      <c r="H94" s="2025"/>
      <c r="I94" s="1727" t="s">
        <v>100</v>
      </c>
      <c r="J94" s="2026"/>
      <c r="K94" s="972"/>
      <c r="L94" s="2018">
        <f t="shared" si="42"/>
        <v>0</v>
      </c>
      <c r="M94" s="2032" t="str">
        <f>IFERROR(IF((VLOOKUP(N94,Überblick!$M$125:$N$133,2))="ja","ja","nein"),"")</f>
        <v/>
      </c>
      <c r="N94" s="2022"/>
      <c r="O94" s="72">
        <f t="shared" si="43"/>
        <v>0</v>
      </c>
      <c r="P94" s="78">
        <f t="shared" si="44"/>
        <v>0</v>
      </c>
      <c r="T94" s="214"/>
      <c r="U94" s="214"/>
      <c r="V94" s="398"/>
      <c r="W94" s="398"/>
      <c r="X94" s="398"/>
      <c r="Y94" s="398"/>
      <c r="Z94" s="398"/>
      <c r="AA94" s="398"/>
      <c r="AB94" s="398"/>
      <c r="AC94" s="398"/>
      <c r="AD94" s="398"/>
      <c r="AE94" s="72"/>
      <c r="AF94" s="72"/>
      <c r="AG94" s="72"/>
      <c r="AH94" s="72"/>
      <c r="AI94" s="72"/>
      <c r="AJ94" s="72"/>
      <c r="AK94" s="72"/>
      <c r="AL94" s="72"/>
      <c r="AM94" s="72"/>
      <c r="AN94" s="68"/>
      <c r="AO94" s="68"/>
      <c r="AP94" s="68"/>
      <c r="AQ94" s="68"/>
      <c r="AR94" s="68"/>
      <c r="AS94" s="68"/>
    </row>
    <row r="95" spans="1:45" ht="14.25" customHeight="1" outlineLevel="1" x14ac:dyDescent="0.25">
      <c r="A95" s="500"/>
      <c r="B95" s="2024"/>
      <c r="C95" s="2025"/>
      <c r="D95" s="2025"/>
      <c r="E95" s="2025"/>
      <c r="F95" s="2025"/>
      <c r="G95" s="2025"/>
      <c r="H95" s="2025"/>
      <c r="I95" s="1743"/>
      <c r="J95" s="2026"/>
      <c r="K95" s="972"/>
      <c r="L95" s="2018"/>
      <c r="M95" s="2033"/>
      <c r="N95" s="2022"/>
      <c r="P95" s="78"/>
      <c r="T95" s="214"/>
      <c r="U95" s="214"/>
      <c r="V95" s="398"/>
      <c r="W95" s="398"/>
      <c r="X95" s="398"/>
      <c r="Y95" s="398"/>
      <c r="Z95" s="398"/>
      <c r="AA95" s="398"/>
      <c r="AB95" s="398"/>
      <c r="AC95" s="398"/>
      <c r="AD95" s="398"/>
      <c r="AE95" s="72"/>
      <c r="AF95" s="72"/>
      <c r="AG95" s="72"/>
      <c r="AH95" s="72"/>
      <c r="AI95" s="72"/>
      <c r="AJ95" s="72"/>
      <c r="AK95" s="72"/>
      <c r="AL95" s="72"/>
      <c r="AM95" s="72"/>
      <c r="AN95" s="68"/>
      <c r="AO95" s="68"/>
      <c r="AP95" s="68"/>
      <c r="AQ95" s="68"/>
      <c r="AR95" s="68"/>
      <c r="AS95" s="68"/>
    </row>
    <row r="96" spans="1:45" ht="14.25" customHeight="1" outlineLevel="1" x14ac:dyDescent="0.25">
      <c r="A96" s="500"/>
      <c r="B96" s="2024" t="s">
        <v>735</v>
      </c>
      <c r="C96" s="2025"/>
      <c r="D96" s="2025"/>
      <c r="E96" s="2025"/>
      <c r="F96" s="2025"/>
      <c r="G96" s="2025"/>
      <c r="H96" s="2025"/>
      <c r="I96" s="1727" t="s">
        <v>100</v>
      </c>
      <c r="J96" s="2026"/>
      <c r="K96" s="972"/>
      <c r="L96" s="2018">
        <f t="shared" si="42"/>
        <v>0</v>
      </c>
      <c r="M96" s="2032" t="str">
        <f>IFERROR(IF((VLOOKUP(N96,Überblick!$M$125:$N$133,2))="ja","ja","nein"),"")</f>
        <v/>
      </c>
      <c r="N96" s="2022"/>
      <c r="O96" s="72">
        <f t="shared" si="43"/>
        <v>0</v>
      </c>
      <c r="P96" s="78">
        <f t="shared" si="44"/>
        <v>0</v>
      </c>
      <c r="T96" s="214"/>
      <c r="U96" s="214"/>
      <c r="V96" s="398"/>
      <c r="W96" s="398"/>
      <c r="X96" s="398"/>
      <c r="Y96" s="398"/>
      <c r="Z96" s="398"/>
      <c r="AA96" s="398"/>
      <c r="AB96" s="398"/>
      <c r="AC96" s="398"/>
      <c r="AD96" s="398"/>
      <c r="AE96" s="72"/>
      <c r="AF96" s="72"/>
      <c r="AG96" s="72"/>
      <c r="AH96" s="72"/>
      <c r="AI96" s="72"/>
      <c r="AJ96" s="72"/>
      <c r="AK96" s="72"/>
      <c r="AL96" s="72"/>
      <c r="AM96" s="72"/>
      <c r="AN96" s="68"/>
      <c r="AO96" s="68"/>
      <c r="AP96" s="68"/>
      <c r="AQ96" s="68"/>
      <c r="AR96" s="68"/>
      <c r="AS96" s="68"/>
    </row>
    <row r="97" spans="1:45" ht="14.25" customHeight="1" outlineLevel="1" x14ac:dyDescent="0.25">
      <c r="A97" s="500"/>
      <c r="B97" s="2024"/>
      <c r="C97" s="2025"/>
      <c r="D97" s="2025"/>
      <c r="E97" s="2025"/>
      <c r="F97" s="2025"/>
      <c r="G97" s="2025"/>
      <c r="H97" s="2025"/>
      <c r="I97" s="1743"/>
      <c r="J97" s="2026"/>
      <c r="K97" s="972"/>
      <c r="L97" s="2018"/>
      <c r="M97" s="2033"/>
      <c r="N97" s="2022"/>
      <c r="P97" s="78"/>
      <c r="T97" s="214"/>
      <c r="U97" s="214"/>
      <c r="V97" s="398"/>
      <c r="W97" s="398"/>
      <c r="X97" s="398"/>
      <c r="Y97" s="398"/>
      <c r="Z97" s="398"/>
      <c r="AA97" s="398"/>
      <c r="AB97" s="398"/>
      <c r="AC97" s="398"/>
      <c r="AD97" s="398"/>
      <c r="AE97" s="72"/>
      <c r="AF97" s="72"/>
      <c r="AG97" s="72"/>
      <c r="AH97" s="72"/>
      <c r="AI97" s="72"/>
      <c r="AJ97" s="72"/>
      <c r="AK97" s="72"/>
      <c r="AL97" s="72"/>
      <c r="AM97" s="72"/>
      <c r="AN97" s="68"/>
      <c r="AO97" s="68"/>
      <c r="AP97" s="68"/>
      <c r="AQ97" s="68"/>
      <c r="AR97" s="68"/>
      <c r="AS97" s="68"/>
    </row>
    <row r="98" spans="1:45" ht="14.25" customHeight="1" outlineLevel="1" x14ac:dyDescent="0.25">
      <c r="A98" s="500"/>
      <c r="B98" s="2024" t="s">
        <v>736</v>
      </c>
      <c r="C98" s="2025"/>
      <c r="D98" s="2025"/>
      <c r="E98" s="2025"/>
      <c r="F98" s="2025"/>
      <c r="G98" s="2025"/>
      <c r="H98" s="2025"/>
      <c r="I98" s="1727" t="s">
        <v>100</v>
      </c>
      <c r="J98" s="2026"/>
      <c r="K98" s="972"/>
      <c r="L98" s="2018">
        <f t="shared" si="42"/>
        <v>0</v>
      </c>
      <c r="M98" s="2032" t="str">
        <f>IFERROR(IF((VLOOKUP(N98,Überblick!$M$125:$N$133,2))="ja","ja","nein"),"")</f>
        <v/>
      </c>
      <c r="N98" s="2022"/>
      <c r="O98" s="72">
        <f t="shared" si="43"/>
        <v>0</v>
      </c>
      <c r="P98" s="78">
        <f t="shared" si="44"/>
        <v>0</v>
      </c>
      <c r="T98" s="214"/>
      <c r="U98" s="214"/>
      <c r="V98" s="398"/>
      <c r="W98" s="398"/>
      <c r="X98" s="398"/>
      <c r="Y98" s="398"/>
      <c r="Z98" s="398"/>
      <c r="AA98" s="398"/>
      <c r="AB98" s="398"/>
      <c r="AC98" s="398"/>
      <c r="AD98" s="398"/>
      <c r="AE98" s="72"/>
      <c r="AF98" s="72"/>
      <c r="AG98" s="72"/>
      <c r="AH98" s="72"/>
      <c r="AI98" s="72"/>
      <c r="AJ98" s="72"/>
      <c r="AK98" s="72"/>
      <c r="AL98" s="72"/>
      <c r="AM98" s="72"/>
      <c r="AN98" s="68"/>
      <c r="AO98" s="68"/>
      <c r="AP98" s="68"/>
      <c r="AQ98" s="68"/>
      <c r="AR98" s="68"/>
      <c r="AS98" s="68"/>
    </row>
    <row r="99" spans="1:45" ht="14.25" customHeight="1" outlineLevel="1" x14ac:dyDescent="0.25">
      <c r="A99" s="500"/>
      <c r="B99" s="2024"/>
      <c r="C99" s="2025"/>
      <c r="D99" s="2025"/>
      <c r="E99" s="2025"/>
      <c r="F99" s="2025"/>
      <c r="G99" s="2025"/>
      <c r="H99" s="2025"/>
      <c r="I99" s="1743"/>
      <c r="J99" s="2026"/>
      <c r="K99" s="972"/>
      <c r="L99" s="2018"/>
      <c r="M99" s="2033"/>
      <c r="N99" s="2022"/>
      <c r="P99" s="78"/>
      <c r="T99" s="214"/>
      <c r="U99" s="214"/>
      <c r="V99" s="398"/>
      <c r="W99" s="398"/>
      <c r="X99" s="398"/>
      <c r="Y99" s="398"/>
      <c r="Z99" s="398"/>
      <c r="AA99" s="398"/>
      <c r="AB99" s="398"/>
      <c r="AC99" s="398"/>
      <c r="AD99" s="398"/>
      <c r="AE99" s="72"/>
      <c r="AF99" s="72"/>
      <c r="AG99" s="72"/>
      <c r="AH99" s="72"/>
      <c r="AI99" s="72"/>
      <c r="AJ99" s="72"/>
      <c r="AK99" s="72"/>
      <c r="AL99" s="72"/>
      <c r="AM99" s="72"/>
      <c r="AN99" s="68"/>
      <c r="AO99" s="68"/>
      <c r="AP99" s="68"/>
      <c r="AQ99" s="68"/>
      <c r="AR99" s="68"/>
      <c r="AS99" s="68"/>
    </row>
    <row r="100" spans="1:45" ht="14.25" customHeight="1" outlineLevel="1" x14ac:dyDescent="0.25">
      <c r="A100" s="500"/>
      <c r="B100" s="2024" t="s">
        <v>737</v>
      </c>
      <c r="C100" s="2025"/>
      <c r="D100" s="2025"/>
      <c r="E100" s="2025"/>
      <c r="F100" s="2025"/>
      <c r="G100" s="2025"/>
      <c r="H100" s="2025"/>
      <c r="I100" s="1727" t="s">
        <v>100</v>
      </c>
      <c r="J100" s="2026"/>
      <c r="K100" s="972"/>
      <c r="L100" s="2018">
        <f t="shared" si="42"/>
        <v>0</v>
      </c>
      <c r="M100" s="2032" t="str">
        <f>IFERROR(IF((VLOOKUP(N100,Überblick!$M$125:$N$133,2))="ja","ja","nein"),"")</f>
        <v/>
      </c>
      <c r="N100" s="2022"/>
      <c r="O100" s="72">
        <f t="shared" si="43"/>
        <v>0</v>
      </c>
      <c r="P100" s="78">
        <f t="shared" si="44"/>
        <v>0</v>
      </c>
      <c r="T100" s="214"/>
      <c r="U100" s="214"/>
      <c r="V100" s="398"/>
      <c r="W100" s="398"/>
      <c r="X100" s="398"/>
      <c r="Y100" s="398"/>
      <c r="Z100" s="398"/>
      <c r="AA100" s="398"/>
      <c r="AB100" s="398"/>
      <c r="AC100" s="398"/>
      <c r="AD100" s="398"/>
      <c r="AE100" s="72"/>
      <c r="AF100" s="72"/>
      <c r="AG100" s="72"/>
      <c r="AH100" s="72"/>
      <c r="AI100" s="72"/>
      <c r="AJ100" s="72"/>
      <c r="AK100" s="72"/>
      <c r="AL100" s="72"/>
      <c r="AM100" s="72"/>
      <c r="AN100" s="68"/>
      <c r="AO100" s="68"/>
      <c r="AP100" s="68"/>
      <c r="AQ100" s="68"/>
      <c r="AR100" s="68"/>
      <c r="AS100" s="68"/>
    </row>
    <row r="101" spans="1:45" ht="14.25" customHeight="1" outlineLevel="1" x14ac:dyDescent="0.25">
      <c r="A101" s="500"/>
      <c r="B101" s="2024"/>
      <c r="C101" s="2025"/>
      <c r="D101" s="2025"/>
      <c r="E101" s="2025"/>
      <c r="F101" s="2025"/>
      <c r="G101" s="2025"/>
      <c r="H101" s="2025"/>
      <c r="I101" s="1743"/>
      <c r="J101" s="2026"/>
      <c r="K101" s="972"/>
      <c r="L101" s="2018"/>
      <c r="M101" s="2033"/>
      <c r="N101" s="2022"/>
      <c r="P101" s="78"/>
      <c r="T101" s="214"/>
      <c r="U101" s="214"/>
      <c r="V101" s="398"/>
      <c r="W101" s="398"/>
      <c r="X101" s="398"/>
      <c r="Y101" s="398"/>
      <c r="Z101" s="398"/>
      <c r="AA101" s="398"/>
      <c r="AB101" s="398"/>
      <c r="AC101" s="398"/>
      <c r="AD101" s="398"/>
      <c r="AE101" s="72"/>
      <c r="AF101" s="72"/>
      <c r="AG101" s="72"/>
      <c r="AH101" s="72"/>
      <c r="AI101" s="72"/>
      <c r="AJ101" s="72"/>
      <c r="AK101" s="72"/>
      <c r="AL101" s="72"/>
      <c r="AM101" s="72"/>
      <c r="AN101" s="68"/>
      <c r="AO101" s="68"/>
      <c r="AP101" s="68"/>
      <c r="AQ101" s="68"/>
      <c r="AR101" s="68"/>
      <c r="AS101" s="68"/>
    </row>
    <row r="102" spans="1:45" ht="14.25" customHeight="1" outlineLevel="1" x14ac:dyDescent="0.25">
      <c r="A102" s="500"/>
      <c r="B102" s="2024" t="s">
        <v>738</v>
      </c>
      <c r="C102" s="2025"/>
      <c r="D102" s="2025"/>
      <c r="E102" s="2025"/>
      <c r="F102" s="2025"/>
      <c r="G102" s="2025"/>
      <c r="H102" s="2025"/>
      <c r="I102" s="1727" t="s">
        <v>100</v>
      </c>
      <c r="J102" s="2026"/>
      <c r="K102" s="972"/>
      <c r="L102" s="2018">
        <f t="shared" si="42"/>
        <v>0</v>
      </c>
      <c r="M102" s="2032" t="str">
        <f>IFERROR(IF((VLOOKUP(N102,Überblick!$M$125:$N$133,2))="ja","ja","nein"),"")</f>
        <v/>
      </c>
      <c r="N102" s="2022"/>
      <c r="O102" s="72">
        <f t="shared" si="43"/>
        <v>0</v>
      </c>
      <c r="P102" s="78">
        <f t="shared" si="44"/>
        <v>0</v>
      </c>
      <c r="T102" s="214"/>
      <c r="U102" s="214"/>
      <c r="V102" s="398"/>
      <c r="W102" s="398"/>
      <c r="X102" s="398"/>
      <c r="Y102" s="398"/>
      <c r="Z102" s="398"/>
      <c r="AA102" s="398"/>
      <c r="AB102" s="398"/>
      <c r="AC102" s="398"/>
      <c r="AD102" s="398"/>
      <c r="AE102" s="72"/>
      <c r="AF102" s="72"/>
      <c r="AG102" s="72"/>
      <c r="AH102" s="72"/>
      <c r="AI102" s="72"/>
      <c r="AJ102" s="72"/>
      <c r="AK102" s="72"/>
      <c r="AL102" s="72"/>
      <c r="AM102" s="72"/>
      <c r="AN102" s="68"/>
      <c r="AO102" s="68"/>
      <c r="AP102" s="68"/>
      <c r="AQ102" s="68"/>
      <c r="AR102" s="68"/>
      <c r="AS102" s="68"/>
    </row>
    <row r="103" spans="1:45" ht="14.25" customHeight="1" outlineLevel="1" x14ac:dyDescent="0.25">
      <c r="A103" s="500"/>
      <c r="B103" s="2024"/>
      <c r="C103" s="2025"/>
      <c r="D103" s="2025"/>
      <c r="E103" s="2025"/>
      <c r="F103" s="2025"/>
      <c r="G103" s="2025"/>
      <c r="H103" s="2025"/>
      <c r="I103" s="1743"/>
      <c r="J103" s="2026"/>
      <c r="K103" s="972"/>
      <c r="L103" s="2018"/>
      <c r="M103" s="2033"/>
      <c r="N103" s="2022"/>
      <c r="P103" s="78"/>
      <c r="T103" s="214"/>
      <c r="U103" s="214"/>
      <c r="V103" s="398"/>
      <c r="W103" s="398"/>
      <c r="X103" s="398"/>
      <c r="Y103" s="398"/>
      <c r="Z103" s="398"/>
      <c r="AA103" s="398"/>
      <c r="AB103" s="398"/>
      <c r="AC103" s="398"/>
      <c r="AD103" s="398"/>
      <c r="AE103" s="72"/>
      <c r="AF103" s="72"/>
      <c r="AG103" s="72"/>
      <c r="AH103" s="72"/>
      <c r="AI103" s="72"/>
      <c r="AJ103" s="72"/>
      <c r="AK103" s="72"/>
      <c r="AL103" s="72"/>
      <c r="AM103" s="72"/>
      <c r="AN103" s="68"/>
      <c r="AO103" s="68"/>
      <c r="AP103" s="68"/>
      <c r="AQ103" s="68"/>
      <c r="AR103" s="68"/>
      <c r="AS103" s="68"/>
    </row>
    <row r="104" spans="1:45" ht="14.25" customHeight="1" outlineLevel="1" x14ac:dyDescent="0.25">
      <c r="A104" s="500"/>
      <c r="B104" s="2024" t="s">
        <v>739</v>
      </c>
      <c r="C104" s="2025"/>
      <c r="D104" s="2025"/>
      <c r="E104" s="2025"/>
      <c r="F104" s="2025"/>
      <c r="G104" s="2025"/>
      <c r="H104" s="2025"/>
      <c r="I104" s="1727" t="s">
        <v>100</v>
      </c>
      <c r="J104" s="2026"/>
      <c r="K104" s="972"/>
      <c r="L104" s="2018">
        <f t="shared" ref="L104" si="45">J104*K104</f>
        <v>0</v>
      </c>
      <c r="M104" s="2032" t="str">
        <f>IFERROR(IF((VLOOKUP(N104,Überblick!$M$125:$N$133,2))="ja","ja","nein"),"")</f>
        <v/>
      </c>
      <c r="N104" s="2022"/>
      <c r="O104" s="72">
        <f t="shared" ref="O104" si="46">IF(AND(I104="ja",J104=""),1,0)</f>
        <v>0</v>
      </c>
      <c r="P104" s="78">
        <f t="shared" si="44"/>
        <v>0</v>
      </c>
      <c r="T104" s="214"/>
      <c r="U104" s="214"/>
      <c r="V104" s="398"/>
      <c r="W104" s="398"/>
      <c r="X104" s="398"/>
      <c r="Y104" s="398"/>
      <c r="Z104" s="398"/>
      <c r="AA104" s="398"/>
      <c r="AB104" s="398"/>
      <c r="AC104" s="398"/>
      <c r="AD104" s="398"/>
      <c r="AE104" s="72"/>
      <c r="AF104" s="72"/>
      <c r="AG104" s="72"/>
      <c r="AH104" s="72"/>
      <c r="AI104" s="72"/>
      <c r="AJ104" s="72"/>
      <c r="AK104" s="72"/>
      <c r="AL104" s="72"/>
      <c r="AM104" s="72"/>
      <c r="AN104" s="68"/>
      <c r="AO104" s="68"/>
      <c r="AP104" s="68"/>
      <c r="AQ104" s="68"/>
      <c r="AR104" s="68"/>
      <c r="AS104" s="68"/>
    </row>
    <row r="105" spans="1:45" ht="14.25" customHeight="1" outlineLevel="1" x14ac:dyDescent="0.25">
      <c r="A105" s="500"/>
      <c r="B105" s="2024"/>
      <c r="C105" s="2025"/>
      <c r="D105" s="2025"/>
      <c r="E105" s="2025"/>
      <c r="F105" s="2025"/>
      <c r="G105" s="2025"/>
      <c r="H105" s="2025"/>
      <c r="I105" s="1743"/>
      <c r="J105" s="2026"/>
      <c r="K105" s="972"/>
      <c r="L105" s="2018"/>
      <c r="M105" s="2033"/>
      <c r="N105" s="2022"/>
      <c r="P105" s="78"/>
      <c r="T105" s="214"/>
      <c r="U105" s="214"/>
      <c r="V105" s="398"/>
      <c r="W105" s="398"/>
      <c r="X105" s="398"/>
      <c r="Y105" s="398"/>
      <c r="Z105" s="398"/>
      <c r="AA105" s="398"/>
      <c r="AB105" s="398"/>
      <c r="AC105" s="398"/>
      <c r="AD105" s="398"/>
      <c r="AE105" s="72"/>
      <c r="AF105" s="72"/>
      <c r="AG105" s="72"/>
      <c r="AH105" s="72"/>
      <c r="AI105" s="72"/>
      <c r="AJ105" s="72"/>
      <c r="AK105" s="72"/>
      <c r="AL105" s="72"/>
      <c r="AM105" s="72"/>
      <c r="AN105" s="68"/>
      <c r="AO105" s="68"/>
      <c r="AP105" s="68"/>
      <c r="AQ105" s="68"/>
      <c r="AR105" s="68"/>
      <c r="AS105" s="68"/>
    </row>
    <row r="106" spans="1:45" ht="14.25" customHeight="1" outlineLevel="1" x14ac:dyDescent="0.25">
      <c r="A106" s="500"/>
      <c r="B106" s="2014" t="s">
        <v>974</v>
      </c>
      <c r="C106" s="2015"/>
      <c r="D106" s="2015"/>
      <c r="E106" s="2015"/>
      <c r="F106" s="2015"/>
      <c r="G106" s="2015"/>
      <c r="H106" s="2015"/>
      <c r="I106" s="1727" t="s">
        <v>100</v>
      </c>
      <c r="J106" s="2026"/>
      <c r="K106" s="972"/>
      <c r="L106" s="2018">
        <f t="shared" ref="L106" si="47">J106*K106</f>
        <v>0</v>
      </c>
      <c r="M106" s="2032" t="str">
        <f>IFERROR(IF((VLOOKUP(N106,Überblick!$M$125:$N$133,2))="ja","ja","nein"),"")</f>
        <v/>
      </c>
      <c r="N106" s="2022"/>
      <c r="O106" s="72">
        <f t="shared" ref="O106" si="48">IF(AND(I106="ja",J106=""),1,0)</f>
        <v>0</v>
      </c>
      <c r="P106" s="78">
        <f t="shared" si="44"/>
        <v>0</v>
      </c>
      <c r="T106" s="214"/>
      <c r="U106" s="214"/>
      <c r="V106" s="398"/>
      <c r="W106" s="398"/>
      <c r="X106" s="398"/>
      <c r="Y106" s="398"/>
      <c r="Z106" s="398"/>
      <c r="AA106" s="398"/>
      <c r="AB106" s="398"/>
      <c r="AC106" s="398"/>
      <c r="AD106" s="398"/>
      <c r="AE106" s="72"/>
      <c r="AF106" s="72"/>
      <c r="AG106" s="72"/>
      <c r="AH106" s="72"/>
      <c r="AI106" s="72"/>
      <c r="AJ106" s="72"/>
      <c r="AK106" s="72"/>
      <c r="AL106" s="72"/>
      <c r="AM106" s="72"/>
      <c r="AN106" s="68"/>
      <c r="AO106" s="68"/>
      <c r="AP106" s="68"/>
      <c r="AQ106" s="68"/>
      <c r="AR106" s="68"/>
      <c r="AS106" s="68"/>
    </row>
    <row r="107" spans="1:45" ht="30.8" customHeight="1" outlineLevel="1" x14ac:dyDescent="0.25">
      <c r="A107" s="500"/>
      <c r="B107" s="2016"/>
      <c r="C107" s="2017"/>
      <c r="D107" s="2017"/>
      <c r="E107" s="2017"/>
      <c r="F107" s="2017"/>
      <c r="G107" s="2017"/>
      <c r="H107" s="2017"/>
      <c r="I107" s="1743"/>
      <c r="J107" s="2026"/>
      <c r="K107" s="972"/>
      <c r="L107" s="2018"/>
      <c r="M107" s="2033"/>
      <c r="N107" s="2022"/>
      <c r="P107" s="78"/>
      <c r="T107" s="214"/>
      <c r="U107" s="214"/>
      <c r="V107" s="398"/>
      <c r="W107" s="398"/>
      <c r="X107" s="398"/>
      <c r="Y107" s="398"/>
      <c r="Z107" s="398"/>
      <c r="AA107" s="398"/>
      <c r="AB107" s="398"/>
      <c r="AC107" s="398"/>
      <c r="AD107" s="398"/>
      <c r="AE107" s="72"/>
      <c r="AF107" s="72"/>
      <c r="AG107" s="72"/>
      <c r="AH107" s="72"/>
      <c r="AI107" s="72"/>
      <c r="AJ107" s="72"/>
      <c r="AK107" s="72"/>
      <c r="AL107" s="72"/>
      <c r="AM107" s="72"/>
      <c r="AN107" s="68"/>
      <c r="AO107" s="68"/>
      <c r="AP107" s="68"/>
      <c r="AQ107" s="68"/>
      <c r="AR107" s="68"/>
      <c r="AS107" s="68"/>
    </row>
    <row r="108" spans="1:45" ht="14.25" customHeight="1" outlineLevel="1" x14ac:dyDescent="0.25">
      <c r="A108" s="500"/>
      <c r="B108" s="2024" t="s">
        <v>967</v>
      </c>
      <c r="C108" s="2025"/>
      <c r="D108" s="2025"/>
      <c r="E108" s="2025"/>
      <c r="F108" s="2025"/>
      <c r="G108" s="2025"/>
      <c r="H108" s="2025"/>
      <c r="I108" s="1727" t="s">
        <v>99</v>
      </c>
      <c r="J108" s="2026"/>
      <c r="K108" s="972"/>
      <c r="L108" s="2018">
        <f t="shared" ref="L108" si="49">J108*K108</f>
        <v>0</v>
      </c>
      <c r="M108" s="2032" t="s">
        <v>100</v>
      </c>
      <c r="N108" s="2022"/>
      <c r="O108" s="72">
        <f t="shared" ref="O108" si="50">IF(AND(I108="ja",J108=""),1,0)</f>
        <v>1</v>
      </c>
      <c r="P108" s="78">
        <f t="shared" si="44"/>
        <v>1</v>
      </c>
      <c r="T108" s="214"/>
      <c r="U108" s="214"/>
      <c r="V108" s="398"/>
      <c r="W108" s="398"/>
      <c r="X108" s="398"/>
      <c r="Y108" s="398"/>
      <c r="Z108" s="398"/>
      <c r="AA108" s="398"/>
      <c r="AB108" s="398"/>
      <c r="AC108" s="398"/>
      <c r="AD108" s="398"/>
      <c r="AE108" s="72"/>
      <c r="AF108" s="72"/>
      <c r="AG108" s="72"/>
      <c r="AH108" s="72"/>
      <c r="AI108" s="72"/>
      <c r="AJ108" s="72"/>
      <c r="AK108" s="72"/>
      <c r="AL108" s="72"/>
      <c r="AM108" s="72"/>
      <c r="AN108" s="68"/>
      <c r="AO108" s="68"/>
      <c r="AP108" s="68"/>
      <c r="AQ108" s="68"/>
      <c r="AR108" s="68"/>
      <c r="AS108" s="68"/>
    </row>
    <row r="109" spans="1:45" ht="14.25" customHeight="1" outlineLevel="1" x14ac:dyDescent="0.25">
      <c r="A109" s="500"/>
      <c r="B109" s="2024"/>
      <c r="C109" s="2025"/>
      <c r="D109" s="2025"/>
      <c r="E109" s="2025"/>
      <c r="F109" s="2025"/>
      <c r="G109" s="2025"/>
      <c r="H109" s="2025"/>
      <c r="I109" s="1743"/>
      <c r="J109" s="2026"/>
      <c r="K109" s="972"/>
      <c r="L109" s="2018"/>
      <c r="M109" s="2033"/>
      <c r="N109" s="2022"/>
      <c r="P109" s="78"/>
      <c r="T109" s="214"/>
      <c r="U109" s="214"/>
      <c r="V109" s="398"/>
      <c r="W109" s="398"/>
      <c r="X109" s="398"/>
      <c r="Y109" s="398"/>
      <c r="Z109" s="398"/>
      <c r="AA109" s="398"/>
      <c r="AB109" s="398"/>
      <c r="AC109" s="398"/>
      <c r="AD109" s="398"/>
      <c r="AE109" s="72"/>
      <c r="AF109" s="72"/>
      <c r="AG109" s="72"/>
      <c r="AH109" s="72"/>
      <c r="AI109" s="72"/>
      <c r="AJ109" s="72"/>
      <c r="AK109" s="72"/>
      <c r="AL109" s="72"/>
      <c r="AM109" s="72"/>
      <c r="AN109" s="68"/>
      <c r="AO109" s="68"/>
      <c r="AP109" s="68"/>
      <c r="AQ109" s="68"/>
      <c r="AR109" s="68"/>
      <c r="AS109" s="68"/>
    </row>
    <row r="110" spans="1:45" ht="14.25" customHeight="1" outlineLevel="1" x14ac:dyDescent="0.25">
      <c r="A110" s="500"/>
      <c r="B110" s="2024" t="s">
        <v>984</v>
      </c>
      <c r="C110" s="2025"/>
      <c r="D110" s="2025"/>
      <c r="E110" s="2025"/>
      <c r="F110" s="2025"/>
      <c r="G110" s="2025"/>
      <c r="H110" s="2025"/>
      <c r="I110" s="1727" t="s">
        <v>99</v>
      </c>
      <c r="J110" s="2026"/>
      <c r="K110" s="972"/>
      <c r="L110" s="2018">
        <f t="shared" ref="L110" si="51">J110*K110</f>
        <v>0</v>
      </c>
      <c r="M110" s="2032" t="s">
        <v>100</v>
      </c>
      <c r="N110" s="2022"/>
      <c r="O110" s="72">
        <f t="shared" ref="O110" si="52">IF(AND(I110="ja",J110=""),1,0)</f>
        <v>1</v>
      </c>
      <c r="P110" s="78">
        <f t="shared" si="44"/>
        <v>1</v>
      </c>
      <c r="T110" s="214"/>
      <c r="U110" s="214"/>
      <c r="V110" s="398"/>
      <c r="W110" s="398"/>
      <c r="X110" s="398"/>
      <c r="Y110" s="398"/>
      <c r="Z110" s="398"/>
      <c r="AA110" s="398"/>
      <c r="AB110" s="398"/>
      <c r="AC110" s="398"/>
      <c r="AD110" s="398"/>
      <c r="AE110" s="72"/>
      <c r="AF110" s="72"/>
      <c r="AG110" s="72"/>
      <c r="AH110" s="72"/>
      <c r="AI110" s="72"/>
      <c r="AJ110" s="72"/>
      <c r="AK110" s="72"/>
      <c r="AL110" s="72"/>
      <c r="AM110" s="72"/>
      <c r="AN110" s="68"/>
      <c r="AO110" s="68"/>
      <c r="AP110" s="68"/>
      <c r="AQ110" s="68"/>
      <c r="AR110" s="68"/>
      <c r="AS110" s="68"/>
    </row>
    <row r="111" spans="1:45" ht="14.25" customHeight="1" outlineLevel="1" x14ac:dyDescent="0.25">
      <c r="A111" s="500"/>
      <c r="B111" s="2024"/>
      <c r="C111" s="2025"/>
      <c r="D111" s="2025"/>
      <c r="E111" s="2025"/>
      <c r="F111" s="2025"/>
      <c r="G111" s="2025"/>
      <c r="H111" s="2025"/>
      <c r="I111" s="1743"/>
      <c r="J111" s="2026"/>
      <c r="K111" s="972"/>
      <c r="L111" s="2018"/>
      <c r="M111" s="2033"/>
      <c r="N111" s="2022"/>
      <c r="P111" s="78"/>
      <c r="T111" s="214"/>
      <c r="U111" s="214"/>
      <c r="V111" s="398"/>
      <c r="W111" s="398"/>
      <c r="X111" s="398"/>
      <c r="Y111" s="398"/>
      <c r="Z111" s="398"/>
      <c r="AA111" s="398"/>
      <c r="AB111" s="398"/>
      <c r="AC111" s="398"/>
      <c r="AD111" s="398"/>
      <c r="AE111" s="72"/>
      <c r="AF111" s="72"/>
      <c r="AG111" s="72"/>
      <c r="AH111" s="72"/>
      <c r="AI111" s="72"/>
      <c r="AJ111" s="72"/>
      <c r="AK111" s="72"/>
      <c r="AL111" s="72"/>
      <c r="AM111" s="72"/>
      <c r="AN111" s="68"/>
      <c r="AO111" s="68"/>
      <c r="AP111" s="68"/>
      <c r="AQ111" s="68"/>
      <c r="AR111" s="68"/>
      <c r="AS111" s="68"/>
    </row>
    <row r="112" spans="1:45" ht="14.25" customHeight="1" outlineLevel="1" x14ac:dyDescent="0.25">
      <c r="A112" s="500"/>
      <c r="B112" s="2024"/>
      <c r="C112" s="2025"/>
      <c r="D112" s="2025"/>
      <c r="E112" s="2025"/>
      <c r="F112" s="2025"/>
      <c r="G112" s="2025"/>
      <c r="H112" s="2025"/>
      <c r="I112" s="1727" t="s">
        <v>100</v>
      </c>
      <c r="J112" s="2026"/>
      <c r="K112" s="972"/>
      <c r="L112" s="2018">
        <f t="shared" ref="L112" si="53">J112*K112</f>
        <v>0</v>
      </c>
      <c r="M112" s="2032" t="str">
        <f>IFERROR(IF((VLOOKUP(N112,Überblick!$M$125:$N$133,2))="ja","ja","nein"),"")</f>
        <v/>
      </c>
      <c r="N112" s="2022"/>
      <c r="O112" s="72">
        <f t="shared" ref="O112" si="54">IF(AND(I112="ja",J112=""),1,0)</f>
        <v>0</v>
      </c>
      <c r="P112" s="78">
        <f t="shared" si="44"/>
        <v>0</v>
      </c>
      <c r="T112" s="214"/>
      <c r="U112" s="214"/>
      <c r="V112" s="398"/>
      <c r="W112" s="398"/>
      <c r="X112" s="398"/>
      <c r="Y112" s="398"/>
      <c r="Z112" s="398"/>
      <c r="AA112" s="398"/>
      <c r="AB112" s="398"/>
      <c r="AC112" s="398"/>
      <c r="AD112" s="398"/>
      <c r="AE112" s="72"/>
      <c r="AF112" s="72"/>
      <c r="AG112" s="72"/>
      <c r="AH112" s="72"/>
      <c r="AI112" s="72"/>
      <c r="AJ112" s="72"/>
      <c r="AK112" s="72"/>
      <c r="AL112" s="72"/>
      <c r="AM112" s="72"/>
      <c r="AN112" s="68"/>
      <c r="AO112" s="68"/>
      <c r="AP112" s="68"/>
      <c r="AQ112" s="68"/>
      <c r="AR112" s="68"/>
      <c r="AS112" s="68"/>
    </row>
    <row r="113" spans="1:45" ht="14.25" customHeight="1" outlineLevel="1" x14ac:dyDescent="0.25">
      <c r="A113" s="500"/>
      <c r="B113" s="2024"/>
      <c r="C113" s="2025"/>
      <c r="D113" s="2025"/>
      <c r="E113" s="2025"/>
      <c r="F113" s="2025"/>
      <c r="G113" s="2025"/>
      <c r="H113" s="2025"/>
      <c r="I113" s="1743"/>
      <c r="J113" s="2026"/>
      <c r="K113" s="972"/>
      <c r="L113" s="2018"/>
      <c r="M113" s="2033"/>
      <c r="N113" s="2022"/>
      <c r="P113" s="78"/>
      <c r="T113" s="214"/>
      <c r="U113" s="214"/>
      <c r="V113" s="398"/>
      <c r="W113" s="398"/>
      <c r="X113" s="398"/>
      <c r="Y113" s="398"/>
      <c r="Z113" s="398"/>
      <c r="AA113" s="398"/>
      <c r="AB113" s="398"/>
      <c r="AC113" s="398"/>
      <c r="AD113" s="398"/>
      <c r="AE113" s="72"/>
      <c r="AF113" s="72"/>
      <c r="AG113" s="72"/>
      <c r="AH113" s="72"/>
      <c r="AI113" s="72"/>
      <c r="AJ113" s="72"/>
      <c r="AK113" s="72"/>
      <c r="AL113" s="72"/>
      <c r="AM113" s="72"/>
      <c r="AN113" s="68"/>
      <c r="AO113" s="68"/>
      <c r="AP113" s="68"/>
      <c r="AQ113" s="68"/>
      <c r="AR113" s="68"/>
      <c r="AS113" s="68"/>
    </row>
    <row r="114" spans="1:45" ht="14.25" customHeight="1" outlineLevel="1" x14ac:dyDescent="0.25">
      <c r="A114" s="500"/>
      <c r="B114" s="2024"/>
      <c r="C114" s="2025"/>
      <c r="D114" s="2025"/>
      <c r="E114" s="2025"/>
      <c r="F114" s="2025"/>
      <c r="G114" s="2025"/>
      <c r="H114" s="2025"/>
      <c r="I114" s="1726" t="s">
        <v>100</v>
      </c>
      <c r="J114" s="2026"/>
      <c r="K114" s="972"/>
      <c r="L114" s="2018">
        <f t="shared" si="42"/>
        <v>0</v>
      </c>
      <c r="M114" s="2021" t="str">
        <f>IFERROR(IF((VLOOKUP(N114,Überblick!$M$125:$N$133,2))="ja","ja","nein"),"")</f>
        <v/>
      </c>
      <c r="N114" s="2022"/>
      <c r="O114" s="72">
        <f t="shared" si="43"/>
        <v>0</v>
      </c>
      <c r="P114" s="78">
        <f t="shared" si="44"/>
        <v>0</v>
      </c>
      <c r="T114" s="214"/>
      <c r="U114" s="214"/>
      <c r="V114" s="398"/>
      <c r="W114" s="398"/>
      <c r="X114" s="398"/>
      <c r="Y114" s="398"/>
      <c r="Z114" s="398"/>
      <c r="AA114" s="398"/>
      <c r="AB114" s="398"/>
      <c r="AC114" s="398"/>
      <c r="AD114" s="398"/>
      <c r="AE114" s="72"/>
      <c r="AF114" s="72"/>
      <c r="AG114" s="72"/>
      <c r="AH114" s="72"/>
      <c r="AI114" s="72"/>
      <c r="AJ114" s="72"/>
      <c r="AK114" s="72"/>
      <c r="AL114" s="72"/>
      <c r="AM114" s="72"/>
      <c r="AN114" s="68"/>
      <c r="AO114" s="68"/>
      <c r="AP114" s="68"/>
      <c r="AQ114" s="68"/>
      <c r="AR114" s="68"/>
      <c r="AS114" s="68"/>
    </row>
    <row r="115" spans="1:45" ht="14.25" customHeight="1" outlineLevel="1" thickBot="1" x14ac:dyDescent="0.3">
      <c r="A115" s="500"/>
      <c r="B115" s="2042"/>
      <c r="C115" s="2043"/>
      <c r="D115" s="2043"/>
      <c r="E115" s="2043"/>
      <c r="F115" s="2043"/>
      <c r="G115" s="2043"/>
      <c r="H115" s="2043"/>
      <c r="I115" s="1769"/>
      <c r="J115" s="2044"/>
      <c r="K115" s="976"/>
      <c r="L115" s="2045"/>
      <c r="M115" s="2068"/>
      <c r="N115" s="2047"/>
      <c r="P115" s="78"/>
      <c r="T115" s="214"/>
      <c r="U115" s="214"/>
      <c r="V115" s="398"/>
      <c r="W115" s="398"/>
      <c r="X115" s="398"/>
      <c r="Y115" s="398"/>
      <c r="Z115" s="398"/>
      <c r="AA115" s="398"/>
      <c r="AB115" s="398"/>
      <c r="AC115" s="398"/>
      <c r="AD115" s="398"/>
      <c r="AE115" s="72"/>
      <c r="AF115" s="72"/>
      <c r="AG115" s="72"/>
      <c r="AH115" s="72"/>
      <c r="AI115" s="72"/>
      <c r="AJ115" s="72"/>
      <c r="AK115" s="72"/>
      <c r="AL115" s="72"/>
      <c r="AM115" s="72"/>
      <c r="AN115" s="68"/>
      <c r="AO115" s="68"/>
      <c r="AP115" s="68"/>
      <c r="AQ115" s="68"/>
      <c r="AR115" s="68"/>
      <c r="AS115" s="68"/>
    </row>
    <row r="116" spans="1:45" ht="14.25" customHeight="1" thickBot="1" x14ac:dyDescent="0.3">
      <c r="A116" s="500"/>
      <c r="B116" s="215"/>
      <c r="C116" s="215"/>
      <c r="D116" s="215"/>
      <c r="E116" s="215"/>
      <c r="F116" s="215"/>
      <c r="G116" s="215"/>
      <c r="H116" s="215"/>
      <c r="I116" s="216"/>
      <c r="J116" s="436"/>
      <c r="K116" s="436"/>
      <c r="L116" s="96">
        <f>SUM(L74:L115)</f>
        <v>0</v>
      </c>
      <c r="M116" s="78"/>
      <c r="N116" s="149"/>
      <c r="P116" s="78"/>
      <c r="V116" s="72"/>
      <c r="W116" s="72"/>
      <c r="X116" s="72"/>
      <c r="Y116" s="72"/>
      <c r="Z116" s="74"/>
      <c r="AA116" s="74"/>
      <c r="AB116" s="72"/>
      <c r="AC116" s="72"/>
      <c r="AD116" s="72"/>
      <c r="AE116" s="72"/>
      <c r="AF116" s="72"/>
      <c r="AG116" s="72"/>
      <c r="AH116" s="72"/>
      <c r="AI116" s="72"/>
      <c r="AJ116" s="72"/>
      <c r="AK116" s="72"/>
      <c r="AL116" s="72"/>
      <c r="AM116" s="72"/>
      <c r="AN116" s="68"/>
      <c r="AO116" s="68"/>
      <c r="AP116" s="68"/>
      <c r="AQ116" s="68"/>
      <c r="AR116" s="68"/>
      <c r="AS116" s="68"/>
    </row>
    <row r="117" spans="1:45" ht="14.25" customHeight="1" outlineLevel="1" x14ac:dyDescent="0.25">
      <c r="A117" s="500"/>
      <c r="B117" s="1019" t="s">
        <v>740</v>
      </c>
      <c r="C117" s="1020"/>
      <c r="D117" s="1020"/>
      <c r="E117" s="1020"/>
      <c r="F117" s="1020"/>
      <c r="G117" s="1020"/>
      <c r="H117" s="1629"/>
      <c r="I117" s="1131" t="s">
        <v>151</v>
      </c>
      <c r="J117" s="2051" t="s">
        <v>697</v>
      </c>
      <c r="K117" s="2075" t="s">
        <v>698</v>
      </c>
      <c r="L117" s="2048" t="s">
        <v>741</v>
      </c>
      <c r="M117" s="2075" t="s">
        <v>156</v>
      </c>
      <c r="N117" s="2102" t="s">
        <v>157</v>
      </c>
      <c r="P117" s="78"/>
      <c r="V117" s="72"/>
      <c r="W117" s="72"/>
      <c r="X117" s="72"/>
      <c r="Y117" s="72"/>
      <c r="Z117" s="74"/>
      <c r="AA117" s="74"/>
      <c r="AB117" s="72"/>
      <c r="AC117" s="72"/>
      <c r="AD117" s="72"/>
      <c r="AE117" s="72"/>
      <c r="AF117" s="72"/>
      <c r="AG117" s="72"/>
      <c r="AH117" s="72"/>
      <c r="AI117" s="72"/>
      <c r="AJ117" s="72"/>
      <c r="AK117" s="72"/>
      <c r="AL117" s="72"/>
      <c r="AM117" s="72"/>
      <c r="AN117" s="68"/>
      <c r="AO117" s="68"/>
      <c r="AP117" s="68"/>
      <c r="AQ117" s="68"/>
      <c r="AR117" s="68"/>
      <c r="AS117" s="68"/>
    </row>
    <row r="118" spans="1:45" ht="14.25" customHeight="1" outlineLevel="1" x14ac:dyDescent="0.25">
      <c r="A118" s="500"/>
      <c r="B118" s="1021"/>
      <c r="C118" s="1022"/>
      <c r="D118" s="1022"/>
      <c r="E118" s="1022"/>
      <c r="F118" s="1022"/>
      <c r="G118" s="1022"/>
      <c r="H118" s="1630"/>
      <c r="I118" s="1132"/>
      <c r="J118" s="2052"/>
      <c r="K118" s="2076"/>
      <c r="L118" s="2049"/>
      <c r="M118" s="2076"/>
      <c r="N118" s="2103"/>
      <c r="P118" s="78"/>
      <c r="V118" s="72"/>
      <c r="W118" s="72"/>
      <c r="X118" s="72"/>
      <c r="Y118" s="72"/>
      <c r="Z118" s="74"/>
      <c r="AA118" s="74"/>
      <c r="AB118" s="72"/>
      <c r="AC118" s="72"/>
      <c r="AD118" s="72"/>
      <c r="AE118" s="72"/>
      <c r="AF118" s="72"/>
      <c r="AG118" s="72"/>
      <c r="AH118" s="72"/>
      <c r="AI118" s="72"/>
      <c r="AJ118" s="72"/>
      <c r="AK118" s="72"/>
      <c r="AL118" s="72"/>
      <c r="AM118" s="72"/>
      <c r="AN118" s="68"/>
      <c r="AO118" s="68"/>
      <c r="AP118" s="68"/>
      <c r="AQ118" s="68"/>
      <c r="AR118" s="68"/>
      <c r="AS118" s="68"/>
    </row>
    <row r="119" spans="1:45" ht="14.25" customHeight="1" outlineLevel="1" thickBot="1" x14ac:dyDescent="0.3">
      <c r="A119" s="500"/>
      <c r="B119" s="1023"/>
      <c r="C119" s="1024"/>
      <c r="D119" s="1024"/>
      <c r="E119" s="1024"/>
      <c r="F119" s="1024"/>
      <c r="G119" s="1024"/>
      <c r="H119" s="1631"/>
      <c r="I119" s="1133"/>
      <c r="J119" s="2052"/>
      <c r="K119" s="2077"/>
      <c r="L119" s="2049"/>
      <c r="M119" s="2077"/>
      <c r="N119" s="2104"/>
      <c r="P119" s="78"/>
      <c r="V119" s="72"/>
      <c r="W119" s="72"/>
      <c r="X119" s="72"/>
      <c r="Y119" s="72"/>
      <c r="Z119" s="74"/>
      <c r="AA119" s="74"/>
      <c r="AB119" s="72"/>
      <c r="AC119" s="72"/>
      <c r="AD119" s="72"/>
      <c r="AE119" s="72"/>
      <c r="AF119" s="72"/>
      <c r="AG119" s="72"/>
      <c r="AH119" s="72"/>
      <c r="AI119" s="72"/>
      <c r="AJ119" s="72"/>
      <c r="AK119" s="72"/>
      <c r="AL119" s="72"/>
      <c r="AM119" s="72"/>
      <c r="AN119" s="68"/>
      <c r="AO119" s="68"/>
      <c r="AP119" s="68"/>
      <c r="AQ119" s="68"/>
      <c r="AR119" s="68"/>
      <c r="AS119" s="68"/>
    </row>
    <row r="120" spans="1:45" ht="14.25" customHeight="1" outlineLevel="1" x14ac:dyDescent="0.25">
      <c r="A120" s="500"/>
      <c r="B120" s="2112" t="s">
        <v>742</v>
      </c>
      <c r="C120" s="2113"/>
      <c r="D120" s="2113"/>
      <c r="E120" s="2113"/>
      <c r="F120" s="2113"/>
      <c r="G120" s="2113"/>
      <c r="H120" s="2114"/>
      <c r="I120" s="1763" t="s">
        <v>100</v>
      </c>
      <c r="J120" s="2121"/>
      <c r="K120" s="2122"/>
      <c r="L120" s="1027">
        <f>J120*K120</f>
        <v>0</v>
      </c>
      <c r="M120" s="2108" t="str">
        <f>IFERROR(IF((VLOOKUP(N120,Überblick!$M$125:$N$133,2))="ja","ja","nein"),"")</f>
        <v/>
      </c>
      <c r="N120" s="2109"/>
      <c r="O120" s="72">
        <f>IF(AND(I120="ja",J120=""),1,0)</f>
        <v>0</v>
      </c>
      <c r="P120" s="78">
        <f t="shared" si="44"/>
        <v>0</v>
      </c>
      <c r="V120" s="72"/>
      <c r="W120" s="72"/>
      <c r="X120" s="72"/>
      <c r="Y120" s="72"/>
      <c r="Z120" s="74"/>
      <c r="AA120" s="74"/>
      <c r="AB120" s="72"/>
      <c r="AC120" s="72"/>
      <c r="AD120" s="72"/>
      <c r="AE120" s="72"/>
      <c r="AF120" s="72"/>
      <c r="AG120" s="72"/>
      <c r="AH120" s="72"/>
      <c r="AI120" s="72"/>
      <c r="AJ120" s="72"/>
      <c r="AK120" s="72"/>
      <c r="AL120" s="72"/>
      <c r="AM120" s="72"/>
      <c r="AN120" s="68"/>
      <c r="AO120" s="68"/>
      <c r="AP120" s="68"/>
      <c r="AQ120" s="68"/>
      <c r="AR120" s="68"/>
      <c r="AS120" s="68"/>
    </row>
    <row r="121" spans="1:45" ht="14.25" customHeight="1" outlineLevel="1" x14ac:dyDescent="0.25">
      <c r="A121" s="500"/>
      <c r="B121" s="2115"/>
      <c r="C121" s="2116"/>
      <c r="D121" s="2116"/>
      <c r="E121" s="2116"/>
      <c r="F121" s="2116"/>
      <c r="G121" s="2116"/>
      <c r="H121" s="2117"/>
      <c r="I121" s="1727"/>
      <c r="J121" s="2037"/>
      <c r="K121" s="2038"/>
      <c r="L121" s="1029"/>
      <c r="M121" s="2032"/>
      <c r="N121" s="2035"/>
      <c r="P121" s="78"/>
      <c r="V121" s="72"/>
      <c r="W121" s="72"/>
      <c r="X121" s="72"/>
      <c r="Y121" s="72"/>
      <c r="Z121" s="74"/>
      <c r="AA121" s="74"/>
      <c r="AB121" s="72"/>
      <c r="AC121" s="72"/>
      <c r="AD121" s="72"/>
      <c r="AE121" s="72"/>
      <c r="AF121" s="72"/>
      <c r="AG121" s="72"/>
      <c r="AH121" s="72"/>
      <c r="AI121" s="72"/>
      <c r="AJ121" s="72"/>
      <c r="AK121" s="72"/>
      <c r="AL121" s="72"/>
      <c r="AM121" s="72"/>
      <c r="AN121" s="68"/>
      <c r="AO121" s="68"/>
      <c r="AP121" s="68"/>
      <c r="AQ121" s="68"/>
      <c r="AR121" s="68"/>
      <c r="AS121" s="68"/>
    </row>
    <row r="122" spans="1:45" ht="14.25" customHeight="1" outlineLevel="1" x14ac:dyDescent="0.25">
      <c r="A122" s="500"/>
      <c r="B122" s="2118"/>
      <c r="C122" s="2119"/>
      <c r="D122" s="2119"/>
      <c r="E122" s="2119"/>
      <c r="F122" s="2119"/>
      <c r="G122" s="2119"/>
      <c r="H122" s="2120"/>
      <c r="I122" s="1743"/>
      <c r="J122" s="2034"/>
      <c r="K122" s="1619"/>
      <c r="L122" s="2057"/>
      <c r="M122" s="2033"/>
      <c r="N122" s="2036"/>
      <c r="P122" s="78"/>
      <c r="V122" s="72"/>
      <c r="W122" s="72"/>
      <c r="X122" s="72"/>
      <c r="Y122" s="72"/>
      <c r="Z122" s="72"/>
      <c r="AA122" s="74"/>
      <c r="AB122" s="72"/>
      <c r="AC122" s="72"/>
      <c r="AD122" s="72"/>
      <c r="AE122" s="72"/>
      <c r="AF122" s="72"/>
      <c r="AG122" s="72"/>
      <c r="AH122" s="72"/>
      <c r="AI122" s="72"/>
      <c r="AJ122" s="72"/>
      <c r="AK122" s="72"/>
      <c r="AL122" s="72"/>
      <c r="AM122" s="72"/>
      <c r="AN122" s="68"/>
      <c r="AO122" s="68"/>
      <c r="AP122" s="68"/>
      <c r="AQ122" s="68"/>
      <c r="AR122" s="68"/>
      <c r="AS122" s="68"/>
    </row>
    <row r="123" spans="1:45" ht="14.25" customHeight="1" outlineLevel="1" x14ac:dyDescent="0.25">
      <c r="A123" s="500"/>
      <c r="B123" s="2123" t="s">
        <v>743</v>
      </c>
      <c r="C123" s="2124"/>
      <c r="D123" s="2124"/>
      <c r="E123" s="2124"/>
      <c r="F123" s="2124"/>
      <c r="G123" s="2124"/>
      <c r="H123" s="2125"/>
      <c r="I123" s="1727" t="s">
        <v>99</v>
      </c>
      <c r="J123" s="2026"/>
      <c r="K123" s="972"/>
      <c r="L123" s="2018">
        <f>J123*K123</f>
        <v>0</v>
      </c>
      <c r="M123" s="2020" t="str">
        <f>IFERROR(IF((VLOOKUP(N123,Überblick!$M$125:$N$133,2))="ja","ja","nein"),"")</f>
        <v/>
      </c>
      <c r="N123" s="2023"/>
      <c r="O123" s="72">
        <f t="shared" ref="O123" si="55">IF(AND(I123="ja",J123=""),1,0)</f>
        <v>1</v>
      </c>
      <c r="P123" s="78">
        <f t="shared" si="44"/>
        <v>1</v>
      </c>
      <c r="V123" s="72"/>
      <c r="W123" s="72"/>
      <c r="X123" s="72"/>
      <c r="Y123" s="72"/>
      <c r="Z123" s="72"/>
      <c r="AA123" s="75"/>
      <c r="AB123" s="75"/>
      <c r="AC123" s="72"/>
      <c r="AD123" s="72"/>
      <c r="AE123" s="72"/>
      <c r="AF123" s="72"/>
      <c r="AG123" s="72"/>
      <c r="AH123" s="72"/>
      <c r="AI123" s="72"/>
      <c r="AJ123" s="72"/>
      <c r="AK123" s="72"/>
      <c r="AL123" s="72"/>
      <c r="AM123" s="72"/>
    </row>
    <row r="124" spans="1:45" ht="14.25" customHeight="1" outlineLevel="1" x14ac:dyDescent="0.25">
      <c r="A124" s="500"/>
      <c r="B124" s="2115"/>
      <c r="C124" s="2116"/>
      <c r="D124" s="2116"/>
      <c r="E124" s="2116"/>
      <c r="F124" s="2116"/>
      <c r="G124" s="2116"/>
      <c r="H124" s="2117"/>
      <c r="I124" s="1743"/>
      <c r="J124" s="2026"/>
      <c r="K124" s="972"/>
      <c r="L124" s="2018"/>
      <c r="M124" s="2020"/>
      <c r="N124" s="2035"/>
      <c r="P124" s="78"/>
      <c r="V124" s="72"/>
      <c r="W124" s="72"/>
      <c r="X124" s="72"/>
      <c r="Y124" s="72"/>
      <c r="Z124" s="76"/>
      <c r="AA124" s="74"/>
      <c r="AB124" s="72"/>
      <c r="AC124" s="72"/>
      <c r="AD124" s="72"/>
      <c r="AE124" s="72"/>
      <c r="AF124" s="72"/>
      <c r="AG124" s="72"/>
      <c r="AH124" s="72"/>
      <c r="AI124" s="72"/>
      <c r="AJ124" s="72"/>
      <c r="AK124" s="72"/>
      <c r="AL124" s="72"/>
      <c r="AM124" s="72"/>
      <c r="AQ124" s="68"/>
    </row>
    <row r="125" spans="1:45" ht="14.25" customHeight="1" outlineLevel="1" x14ac:dyDescent="0.25">
      <c r="A125" s="500"/>
      <c r="B125" s="2123" t="s">
        <v>744</v>
      </c>
      <c r="C125" s="2124"/>
      <c r="D125" s="2124"/>
      <c r="E125" s="2124"/>
      <c r="F125" s="2124"/>
      <c r="G125" s="2124"/>
      <c r="H125" s="2125"/>
      <c r="I125" s="1727" t="s">
        <v>99</v>
      </c>
      <c r="J125" s="2026"/>
      <c r="K125" s="972"/>
      <c r="L125" s="2018">
        <f>J125*K125</f>
        <v>0</v>
      </c>
      <c r="M125" s="2020" t="str">
        <f>IFERROR(IF((VLOOKUP(N125,Überblick!$M$125:$N$133,2))="ja","ja","nein"),"")</f>
        <v/>
      </c>
      <c r="N125" s="2023"/>
      <c r="O125" s="72">
        <f t="shared" ref="O125" si="56">IF(AND(I125="ja",J125=""),1,0)</f>
        <v>1</v>
      </c>
      <c r="P125" s="78">
        <f t="shared" si="44"/>
        <v>1</v>
      </c>
      <c r="V125" s="72"/>
      <c r="W125" s="72"/>
      <c r="X125" s="72"/>
      <c r="Y125" s="72"/>
      <c r="Z125" s="72"/>
      <c r="AA125" s="75"/>
      <c r="AB125" s="75"/>
      <c r="AC125" s="72"/>
      <c r="AD125" s="72"/>
      <c r="AE125" s="72"/>
      <c r="AF125" s="72"/>
      <c r="AG125" s="72"/>
      <c r="AH125" s="72"/>
      <c r="AI125" s="72"/>
      <c r="AJ125" s="72"/>
      <c r="AK125" s="72"/>
      <c r="AL125" s="72"/>
      <c r="AM125" s="72"/>
    </row>
    <row r="126" spans="1:45" ht="14.25" customHeight="1" outlineLevel="1" x14ac:dyDescent="0.25">
      <c r="A126" s="500"/>
      <c r="B126" s="2115"/>
      <c r="C126" s="2116"/>
      <c r="D126" s="2116"/>
      <c r="E126" s="2116"/>
      <c r="F126" s="2116"/>
      <c r="G126" s="2116"/>
      <c r="H126" s="2117"/>
      <c r="I126" s="1743"/>
      <c r="J126" s="2026"/>
      <c r="K126" s="972"/>
      <c r="L126" s="2018"/>
      <c r="M126" s="2020"/>
      <c r="N126" s="2035"/>
      <c r="P126" s="78"/>
      <c r="V126" s="72"/>
      <c r="W126" s="72"/>
      <c r="X126" s="72"/>
      <c r="Y126" s="72"/>
      <c r="Z126" s="76"/>
      <c r="AA126" s="74"/>
      <c r="AB126" s="72"/>
      <c r="AC126" s="72"/>
      <c r="AD126" s="72"/>
      <c r="AE126" s="72"/>
      <c r="AF126" s="72"/>
      <c r="AG126" s="72"/>
      <c r="AH126" s="72"/>
      <c r="AI126" s="72"/>
      <c r="AJ126" s="72"/>
      <c r="AK126" s="72"/>
      <c r="AL126" s="72"/>
      <c r="AM126" s="72"/>
      <c r="AQ126" s="68"/>
    </row>
    <row r="127" spans="1:45" ht="14.25" customHeight="1" outlineLevel="1" x14ac:dyDescent="0.25">
      <c r="A127" s="500"/>
      <c r="B127" s="2014" t="s">
        <v>974</v>
      </c>
      <c r="C127" s="2015"/>
      <c r="D127" s="2015"/>
      <c r="E127" s="2015"/>
      <c r="F127" s="2015"/>
      <c r="G127" s="2015"/>
      <c r="H127" s="2015"/>
      <c r="I127" s="1727" t="s">
        <v>100</v>
      </c>
      <c r="J127" s="2026"/>
      <c r="K127" s="972"/>
      <c r="L127" s="2018">
        <f>J127*K127</f>
        <v>0</v>
      </c>
      <c r="M127" s="2020" t="str">
        <f>IFERROR(IF((VLOOKUP(N127,Überblick!$M$125:$N$133,2))="ja","ja","nein"),"")</f>
        <v/>
      </c>
      <c r="N127" s="2023"/>
      <c r="O127" s="72">
        <f t="shared" ref="O127" si="57">IF(AND(I127="ja",J127=""),1,0)</f>
        <v>0</v>
      </c>
      <c r="P127" s="78">
        <f t="shared" si="44"/>
        <v>0</v>
      </c>
      <c r="V127" s="72"/>
      <c r="W127" s="72"/>
      <c r="X127" s="72"/>
      <c r="Y127" s="72"/>
      <c r="Z127" s="72"/>
      <c r="AA127" s="75"/>
      <c r="AB127" s="75"/>
      <c r="AC127" s="72"/>
      <c r="AD127" s="72"/>
      <c r="AE127" s="72"/>
      <c r="AF127" s="72"/>
      <c r="AG127" s="72"/>
      <c r="AH127" s="72"/>
      <c r="AI127" s="72"/>
      <c r="AJ127" s="72"/>
      <c r="AK127" s="72"/>
      <c r="AL127" s="72"/>
      <c r="AM127" s="72"/>
    </row>
    <row r="128" spans="1:45" ht="14.25" customHeight="1" outlineLevel="1" x14ac:dyDescent="0.25">
      <c r="A128" s="500"/>
      <c r="B128" s="2016"/>
      <c r="C128" s="2017"/>
      <c r="D128" s="2017"/>
      <c r="E128" s="2017"/>
      <c r="F128" s="2017"/>
      <c r="G128" s="2017"/>
      <c r="H128" s="2017"/>
      <c r="I128" s="1743"/>
      <c r="J128" s="2026"/>
      <c r="K128" s="972"/>
      <c r="L128" s="2018"/>
      <c r="M128" s="2020"/>
      <c r="N128" s="2035"/>
      <c r="P128" s="78"/>
      <c r="V128" s="72"/>
      <c r="W128" s="72"/>
      <c r="X128" s="72"/>
      <c r="Y128" s="72"/>
      <c r="Z128" s="76"/>
      <c r="AA128" s="74"/>
      <c r="AB128" s="72"/>
      <c r="AC128" s="72"/>
      <c r="AD128" s="72"/>
      <c r="AE128" s="72"/>
      <c r="AF128" s="72"/>
      <c r="AG128" s="72"/>
      <c r="AH128" s="72"/>
      <c r="AI128" s="72"/>
      <c r="AJ128" s="72"/>
      <c r="AK128" s="72"/>
      <c r="AL128" s="72"/>
      <c r="AM128" s="72"/>
      <c r="AQ128" s="68"/>
    </row>
    <row r="129" spans="1:43" ht="14.25" customHeight="1" outlineLevel="1" x14ac:dyDescent="0.25">
      <c r="A129" s="500"/>
      <c r="B129" s="2123"/>
      <c r="C129" s="2124"/>
      <c r="D129" s="2124"/>
      <c r="E129" s="2124"/>
      <c r="F129" s="2124"/>
      <c r="G129" s="2124"/>
      <c r="H129" s="2125"/>
      <c r="I129" s="1727" t="s">
        <v>100</v>
      </c>
      <c r="J129" s="2026"/>
      <c r="K129" s="972"/>
      <c r="L129" s="2018">
        <f>J129*K129</f>
        <v>0</v>
      </c>
      <c r="M129" s="2020" t="str">
        <f>IFERROR(IF((VLOOKUP(N129,Überblick!$M$125:$N$133,2))="ja","ja","nein"),"")</f>
        <v/>
      </c>
      <c r="N129" s="2023"/>
      <c r="O129" s="72">
        <f t="shared" ref="O129:O154" si="58">IF(AND(I129="ja",J129=""),1,0)</f>
        <v>0</v>
      </c>
      <c r="P129" s="78">
        <f t="shared" si="44"/>
        <v>0</v>
      </c>
      <c r="V129" s="72"/>
      <c r="W129" s="72"/>
      <c r="X129" s="72"/>
      <c r="Y129" s="72"/>
      <c r="Z129" s="72"/>
      <c r="AA129" s="75"/>
      <c r="AB129" s="75"/>
      <c r="AC129" s="72"/>
      <c r="AD129" s="72"/>
      <c r="AE129" s="72"/>
      <c r="AF129" s="72"/>
      <c r="AG129" s="72"/>
      <c r="AH129" s="72"/>
      <c r="AI129" s="72"/>
      <c r="AJ129" s="72"/>
      <c r="AK129" s="72"/>
      <c r="AL129" s="72"/>
      <c r="AM129" s="72"/>
    </row>
    <row r="130" spans="1:43" ht="14.25" customHeight="1" outlineLevel="1" x14ac:dyDescent="0.25">
      <c r="A130" s="500"/>
      <c r="B130" s="2115"/>
      <c r="C130" s="2116"/>
      <c r="D130" s="2116"/>
      <c r="E130" s="2116"/>
      <c r="F130" s="2116"/>
      <c r="G130" s="2116"/>
      <c r="H130" s="2117"/>
      <c r="I130" s="1743"/>
      <c r="J130" s="2026"/>
      <c r="K130" s="972"/>
      <c r="L130" s="2018"/>
      <c r="M130" s="2020"/>
      <c r="N130" s="2035"/>
      <c r="P130" s="78"/>
      <c r="V130" s="72"/>
      <c r="W130" s="72"/>
      <c r="X130" s="72"/>
      <c r="Y130" s="72"/>
      <c r="Z130" s="76"/>
      <c r="AA130" s="74"/>
      <c r="AB130" s="72"/>
      <c r="AC130" s="72"/>
      <c r="AD130" s="72"/>
      <c r="AE130" s="72"/>
      <c r="AF130" s="72"/>
      <c r="AG130" s="72"/>
      <c r="AH130" s="72"/>
      <c r="AI130" s="72"/>
      <c r="AJ130" s="72"/>
      <c r="AK130" s="72"/>
      <c r="AL130" s="72"/>
      <c r="AM130" s="72"/>
      <c r="AQ130" s="68"/>
    </row>
    <row r="131" spans="1:43" ht="14.25" customHeight="1" outlineLevel="1" x14ac:dyDescent="0.25">
      <c r="A131" s="500"/>
      <c r="B131" s="2123"/>
      <c r="C131" s="2124"/>
      <c r="D131" s="2124"/>
      <c r="E131" s="2124"/>
      <c r="F131" s="2124"/>
      <c r="G131" s="2124"/>
      <c r="H131" s="2125"/>
      <c r="I131" s="1726" t="s">
        <v>100</v>
      </c>
      <c r="J131" s="2026"/>
      <c r="K131" s="972"/>
      <c r="L131" s="2018">
        <f>J131*K131</f>
        <v>0</v>
      </c>
      <c r="M131" s="2020" t="str">
        <f>IFERROR(IF((VLOOKUP(N131,Überblick!$M$125:$N$133,2))="ja","ja","nein"),"")</f>
        <v/>
      </c>
      <c r="N131" s="2023"/>
      <c r="O131" s="72">
        <f t="shared" si="58"/>
        <v>0</v>
      </c>
      <c r="P131" s="78">
        <f t="shared" si="44"/>
        <v>0</v>
      </c>
      <c r="V131" s="72"/>
      <c r="W131" s="72"/>
      <c r="X131" s="72"/>
      <c r="Y131" s="72"/>
      <c r="Z131" s="76"/>
      <c r="AA131" s="74"/>
      <c r="AB131" s="72"/>
      <c r="AC131" s="72"/>
      <c r="AD131" s="72"/>
      <c r="AE131" s="72"/>
      <c r="AF131" s="72"/>
      <c r="AG131" s="72"/>
      <c r="AH131" s="72"/>
      <c r="AI131" s="72"/>
      <c r="AJ131" s="72"/>
      <c r="AK131" s="72"/>
      <c r="AL131" s="72"/>
      <c r="AM131" s="72"/>
      <c r="AQ131" s="68"/>
    </row>
    <row r="132" spans="1:43" ht="14.25" customHeight="1" outlineLevel="1" thickBot="1" x14ac:dyDescent="0.3">
      <c r="A132" s="500"/>
      <c r="B132" s="2130"/>
      <c r="C132" s="2131"/>
      <c r="D132" s="2131"/>
      <c r="E132" s="2131"/>
      <c r="F132" s="2131"/>
      <c r="G132" s="2131"/>
      <c r="H132" s="2132"/>
      <c r="I132" s="1769"/>
      <c r="J132" s="2044"/>
      <c r="K132" s="976"/>
      <c r="L132" s="2045"/>
      <c r="M132" s="2046"/>
      <c r="N132" s="2127"/>
      <c r="P132" s="78"/>
      <c r="V132" s="72"/>
      <c r="W132" s="72"/>
      <c r="X132" s="72"/>
      <c r="Y132" s="72"/>
      <c r="Z132" s="77"/>
      <c r="AA132" s="74"/>
      <c r="AB132" s="150"/>
      <c r="AC132" s="72"/>
      <c r="AD132" s="72"/>
      <c r="AE132" s="72"/>
      <c r="AF132" s="72"/>
      <c r="AG132" s="72"/>
      <c r="AH132" s="72"/>
      <c r="AI132" s="72"/>
      <c r="AJ132" s="72"/>
      <c r="AK132" s="72"/>
      <c r="AL132" s="72"/>
      <c r="AM132" s="72"/>
      <c r="AQ132" s="68"/>
    </row>
    <row r="133" spans="1:43" ht="14.25" customHeight="1" thickBot="1" x14ac:dyDescent="0.3">
      <c r="A133" s="500"/>
      <c r="B133" s="217"/>
      <c r="C133" s="217"/>
      <c r="D133" s="217"/>
      <c r="E133" s="217"/>
      <c r="F133" s="217"/>
      <c r="G133" s="217"/>
      <c r="H133" s="217"/>
      <c r="I133" s="216"/>
      <c r="J133" s="436"/>
      <c r="K133" s="436"/>
      <c r="L133" s="96">
        <f>SUM(L120:L132)</f>
        <v>0</v>
      </c>
      <c r="M133" s="213"/>
      <c r="N133" s="171"/>
      <c r="P133" s="78"/>
      <c r="V133" s="72"/>
      <c r="W133" s="72"/>
      <c r="X133" s="72"/>
      <c r="Y133" s="72"/>
      <c r="Z133" s="74" t="e">
        <f>IF(#REF!="ja",AA133,0)</f>
        <v>#REF!</v>
      </c>
      <c r="AA133" s="74">
        <v>3.6499999999999998E-2</v>
      </c>
      <c r="AB133" s="72"/>
      <c r="AC133" s="72"/>
      <c r="AD133" s="72"/>
      <c r="AE133" s="72"/>
      <c r="AF133" s="72"/>
      <c r="AG133" s="72"/>
      <c r="AH133" s="72"/>
      <c r="AI133" s="72"/>
      <c r="AJ133" s="72"/>
      <c r="AK133" s="72"/>
      <c r="AL133" s="72"/>
      <c r="AM133" s="72"/>
      <c r="AQ133" s="193"/>
    </row>
    <row r="134" spans="1:43" ht="14.25" customHeight="1" outlineLevel="1" thickBot="1" x14ac:dyDescent="0.3">
      <c r="A134" s="500"/>
      <c r="B134" s="2105" t="s">
        <v>745</v>
      </c>
      <c r="C134" s="2075"/>
      <c r="D134" s="2075"/>
      <c r="E134" s="2075"/>
      <c r="F134" s="2075"/>
      <c r="G134" s="2075"/>
      <c r="H134" s="2075"/>
      <c r="I134" s="1131" t="s">
        <v>151</v>
      </c>
      <c r="J134" s="2051" t="s">
        <v>697</v>
      </c>
      <c r="K134" s="2075" t="s">
        <v>698</v>
      </c>
      <c r="L134" s="2048" t="s">
        <v>741</v>
      </c>
      <c r="M134" s="2075" t="s">
        <v>156</v>
      </c>
      <c r="N134" s="2039" t="s">
        <v>157</v>
      </c>
      <c r="P134" s="78"/>
      <c r="V134" s="72"/>
      <c r="W134" s="72"/>
      <c r="X134" s="72"/>
      <c r="Y134" s="72"/>
      <c r="Z134" s="76"/>
      <c r="AA134" s="74"/>
      <c r="AB134" s="72"/>
      <c r="AC134" s="72"/>
      <c r="AD134" s="72"/>
      <c r="AE134" s="72"/>
      <c r="AF134" s="72"/>
      <c r="AG134" s="72"/>
      <c r="AH134" s="72"/>
      <c r="AI134" s="72"/>
      <c r="AJ134" s="72"/>
      <c r="AK134" s="72"/>
      <c r="AL134" s="72"/>
      <c r="AM134" s="72"/>
      <c r="AQ134" s="192"/>
    </row>
    <row r="135" spans="1:43" ht="14.25" customHeight="1" outlineLevel="1" thickBot="1" x14ac:dyDescent="0.3">
      <c r="A135" s="500"/>
      <c r="B135" s="2106"/>
      <c r="C135" s="2076"/>
      <c r="D135" s="2076"/>
      <c r="E135" s="2076"/>
      <c r="F135" s="2076"/>
      <c r="G135" s="2076"/>
      <c r="H135" s="2076"/>
      <c r="I135" s="1132"/>
      <c r="J135" s="2052"/>
      <c r="K135" s="2076"/>
      <c r="L135" s="2049"/>
      <c r="M135" s="2076"/>
      <c r="N135" s="2039"/>
      <c r="P135" s="78"/>
      <c r="V135" s="72"/>
      <c r="W135" s="72"/>
      <c r="X135" s="72"/>
      <c r="Y135" s="72"/>
      <c r="Z135" s="76"/>
      <c r="AA135" s="74"/>
      <c r="AB135" s="72"/>
      <c r="AC135" s="72"/>
      <c r="AD135" s="72"/>
      <c r="AE135" s="72"/>
      <c r="AF135" s="72"/>
      <c r="AG135" s="72"/>
      <c r="AH135" s="72"/>
      <c r="AI135" s="72"/>
      <c r="AJ135" s="72"/>
      <c r="AK135" s="72"/>
      <c r="AL135" s="72"/>
      <c r="AM135" s="72"/>
      <c r="AQ135" s="68"/>
    </row>
    <row r="136" spans="1:43" ht="14.25" customHeight="1" outlineLevel="1" thickBot="1" x14ac:dyDescent="0.3">
      <c r="A136" s="500"/>
      <c r="B136" s="2107"/>
      <c r="C136" s="2077"/>
      <c r="D136" s="2077"/>
      <c r="E136" s="2077"/>
      <c r="F136" s="2077"/>
      <c r="G136" s="2077"/>
      <c r="H136" s="2077"/>
      <c r="I136" s="1133"/>
      <c r="J136" s="2052"/>
      <c r="K136" s="2077"/>
      <c r="L136" s="2049"/>
      <c r="M136" s="2077"/>
      <c r="N136" s="2039"/>
      <c r="P136" s="78"/>
      <c r="V136" s="72"/>
      <c r="W136" s="72"/>
      <c r="X136" s="72"/>
      <c r="Y136" s="72"/>
      <c r="Z136" s="76"/>
      <c r="AA136" s="74"/>
      <c r="AB136" s="72"/>
      <c r="AC136" s="72"/>
      <c r="AD136" s="72"/>
      <c r="AE136" s="72"/>
      <c r="AF136" s="72"/>
      <c r="AG136" s="72"/>
      <c r="AH136" s="72"/>
      <c r="AI136" s="72"/>
      <c r="AJ136" s="72"/>
      <c r="AK136" s="72"/>
      <c r="AL136" s="72"/>
      <c r="AM136" s="72"/>
      <c r="AQ136" s="68"/>
    </row>
    <row r="137" spans="1:43" ht="14.25" customHeight="1" outlineLevel="1" x14ac:dyDescent="0.25">
      <c r="A137" s="500"/>
      <c r="B137" s="2078" t="s">
        <v>746</v>
      </c>
      <c r="C137" s="2079"/>
      <c r="D137" s="2079"/>
      <c r="E137" s="2079"/>
      <c r="F137" s="2079"/>
      <c r="G137" s="2079"/>
      <c r="H137" s="2079"/>
      <c r="I137" s="1727" t="s">
        <v>100</v>
      </c>
      <c r="J137" s="2040"/>
      <c r="K137" s="1025"/>
      <c r="L137" s="2041">
        <f>J137*K137</f>
        <v>0</v>
      </c>
      <c r="M137" s="2020" t="str">
        <f>IFERROR(IF((VLOOKUP(N137,Überblick!$M$125:$N$133,2))="ja","ja","nein"),"")</f>
        <v/>
      </c>
      <c r="N137" s="2059"/>
      <c r="O137" s="72">
        <f t="shared" ref="O137" si="59">IF(AND(I137="ja",J137=""),1,0)</f>
        <v>0</v>
      </c>
      <c r="P137" s="78">
        <f t="shared" ref="P137:P200" si="60">IF(I137="ja",1,0)</f>
        <v>0</v>
      </c>
      <c r="V137" s="72"/>
      <c r="W137" s="72"/>
      <c r="X137" s="72"/>
      <c r="Y137" s="72"/>
      <c r="Z137" s="76"/>
      <c r="AA137" s="74"/>
      <c r="AB137" s="72"/>
      <c r="AC137" s="72"/>
      <c r="AD137" s="72"/>
      <c r="AE137" s="72"/>
      <c r="AF137" s="72"/>
      <c r="AG137" s="72"/>
      <c r="AH137" s="72"/>
      <c r="AI137" s="72"/>
      <c r="AJ137" s="72"/>
      <c r="AK137" s="72"/>
      <c r="AL137" s="72"/>
      <c r="AM137" s="72"/>
      <c r="AQ137" s="68"/>
    </row>
    <row r="138" spans="1:43" ht="14.25" customHeight="1" outlineLevel="1" x14ac:dyDescent="0.25">
      <c r="A138" s="500"/>
      <c r="B138" s="2024"/>
      <c r="C138" s="2025"/>
      <c r="D138" s="2025"/>
      <c r="E138" s="2025"/>
      <c r="F138" s="2025"/>
      <c r="G138" s="2025"/>
      <c r="H138" s="2025"/>
      <c r="I138" s="1743"/>
      <c r="J138" s="2026"/>
      <c r="K138" s="972"/>
      <c r="L138" s="2018"/>
      <c r="M138" s="2020"/>
      <c r="N138" s="2022"/>
      <c r="P138" s="78"/>
      <c r="V138" s="72"/>
      <c r="W138" s="72"/>
      <c r="X138" s="72"/>
      <c r="Y138" s="72"/>
      <c r="Z138" s="76"/>
      <c r="AA138" s="74"/>
      <c r="AB138" s="72"/>
      <c r="AC138" s="72"/>
      <c r="AD138" s="72"/>
      <c r="AE138" s="72"/>
      <c r="AF138" s="72"/>
      <c r="AG138" s="72"/>
      <c r="AH138" s="72"/>
      <c r="AI138" s="72"/>
      <c r="AJ138" s="72"/>
      <c r="AK138" s="72"/>
      <c r="AL138" s="72"/>
      <c r="AM138" s="72"/>
      <c r="AQ138" s="192"/>
    </row>
    <row r="139" spans="1:43" ht="14.25" customHeight="1" outlineLevel="1" x14ac:dyDescent="0.25">
      <c r="A139" s="500"/>
      <c r="B139" s="2024" t="s">
        <v>747</v>
      </c>
      <c r="C139" s="2025"/>
      <c r="D139" s="2025"/>
      <c r="E139" s="2025"/>
      <c r="F139" s="2025"/>
      <c r="G139" s="2025"/>
      <c r="H139" s="2025"/>
      <c r="I139" s="1727" t="s">
        <v>100</v>
      </c>
      <c r="J139" s="2026"/>
      <c r="K139" s="972"/>
      <c r="L139" s="2018">
        <f>J139*K139</f>
        <v>0</v>
      </c>
      <c r="M139" s="2020" t="str">
        <f>IFERROR(IF((VLOOKUP(N139,Überblick!$M$125:$N$133,2))="ja","ja","nein"),"")</f>
        <v/>
      </c>
      <c r="N139" s="2022"/>
      <c r="O139" s="72">
        <f t="shared" ref="O139" si="61">IF(AND(I139="ja",J139=""),1,0)</f>
        <v>0</v>
      </c>
      <c r="P139" s="78">
        <f t="shared" si="60"/>
        <v>0</v>
      </c>
      <c r="V139" s="72"/>
      <c r="W139" s="72"/>
      <c r="X139" s="72"/>
      <c r="Y139" s="72"/>
      <c r="Z139" s="76"/>
      <c r="AA139" s="74"/>
      <c r="AB139" s="72"/>
      <c r="AC139" s="72"/>
      <c r="AD139" s="72"/>
      <c r="AE139" s="72"/>
      <c r="AF139" s="72"/>
      <c r="AG139" s="72"/>
      <c r="AH139" s="72"/>
      <c r="AI139" s="72"/>
      <c r="AJ139" s="72"/>
      <c r="AK139" s="72"/>
      <c r="AL139" s="72"/>
      <c r="AM139" s="72"/>
      <c r="AQ139" s="68"/>
    </row>
    <row r="140" spans="1:43" ht="14.25" customHeight="1" outlineLevel="1" x14ac:dyDescent="0.25">
      <c r="A140" s="500"/>
      <c r="B140" s="2024"/>
      <c r="C140" s="2025"/>
      <c r="D140" s="2025"/>
      <c r="E140" s="2025"/>
      <c r="F140" s="2025"/>
      <c r="G140" s="2025"/>
      <c r="H140" s="2025"/>
      <c r="I140" s="1743"/>
      <c r="J140" s="2026"/>
      <c r="K140" s="972"/>
      <c r="L140" s="2018"/>
      <c r="M140" s="2020"/>
      <c r="N140" s="2022"/>
      <c r="P140" s="78"/>
      <c r="V140" s="72"/>
      <c r="W140" s="72"/>
      <c r="X140" s="72"/>
      <c r="Y140" s="72"/>
      <c r="Z140" s="76"/>
      <c r="AA140" s="74"/>
      <c r="AB140" s="72"/>
      <c r="AC140" s="72"/>
      <c r="AD140" s="72"/>
      <c r="AE140" s="72"/>
      <c r="AF140" s="72"/>
      <c r="AG140" s="72"/>
      <c r="AH140" s="72"/>
      <c r="AI140" s="72"/>
      <c r="AJ140" s="72"/>
      <c r="AK140" s="72"/>
      <c r="AL140" s="72"/>
      <c r="AM140" s="72"/>
      <c r="AQ140" s="192"/>
    </row>
    <row r="141" spans="1:43" ht="14.25" customHeight="1" outlineLevel="1" x14ac:dyDescent="0.25">
      <c r="A141" s="500"/>
      <c r="B141" s="2014" t="s">
        <v>974</v>
      </c>
      <c r="C141" s="2015"/>
      <c r="D141" s="2015"/>
      <c r="E141" s="2015"/>
      <c r="F141" s="2015"/>
      <c r="G141" s="2015"/>
      <c r="H141" s="2015"/>
      <c r="I141" s="1727" t="s">
        <v>100</v>
      </c>
      <c r="J141" s="2026"/>
      <c r="K141" s="972"/>
      <c r="L141" s="2018">
        <f>J141*K141</f>
        <v>0</v>
      </c>
      <c r="M141" s="2020" t="str">
        <f>IFERROR(IF((VLOOKUP(N141,Überblick!$M$125:$N$133,2))="ja","ja","nein"),"")</f>
        <v/>
      </c>
      <c r="N141" s="2022"/>
      <c r="O141" s="72">
        <f t="shared" si="58"/>
        <v>0</v>
      </c>
      <c r="P141" s="78">
        <f t="shared" si="60"/>
        <v>0</v>
      </c>
      <c r="V141" s="72"/>
      <c r="W141" s="72"/>
      <c r="X141" s="72"/>
      <c r="Y141" s="72"/>
      <c r="Z141" s="76"/>
      <c r="AA141" s="74"/>
      <c r="AB141" s="72"/>
      <c r="AC141" s="72"/>
      <c r="AD141" s="72"/>
      <c r="AE141" s="72"/>
      <c r="AF141" s="72"/>
      <c r="AG141" s="72"/>
      <c r="AH141" s="72"/>
      <c r="AI141" s="72"/>
      <c r="AJ141" s="72"/>
      <c r="AK141" s="72"/>
      <c r="AL141" s="72"/>
      <c r="AM141" s="72"/>
      <c r="AQ141" s="68"/>
    </row>
    <row r="142" spans="1:43" ht="14.25" customHeight="1" outlineLevel="1" x14ac:dyDescent="0.25">
      <c r="A142" s="500"/>
      <c r="B142" s="2016"/>
      <c r="C142" s="2017"/>
      <c r="D142" s="2017"/>
      <c r="E142" s="2017"/>
      <c r="F142" s="2017"/>
      <c r="G142" s="2017"/>
      <c r="H142" s="2017"/>
      <c r="I142" s="1743"/>
      <c r="J142" s="2026"/>
      <c r="K142" s="972"/>
      <c r="L142" s="2018"/>
      <c r="M142" s="2020"/>
      <c r="N142" s="2022"/>
      <c r="P142" s="78"/>
      <c r="V142" s="72"/>
      <c r="W142" s="72"/>
      <c r="X142" s="72"/>
      <c r="Y142" s="72"/>
      <c r="Z142" s="76"/>
      <c r="AA142" s="74"/>
      <c r="AB142" s="72"/>
      <c r="AC142" s="72"/>
      <c r="AD142" s="72"/>
      <c r="AE142" s="72"/>
      <c r="AF142" s="72"/>
      <c r="AG142" s="72"/>
      <c r="AH142" s="72"/>
      <c r="AI142" s="72"/>
      <c r="AJ142" s="72"/>
      <c r="AK142" s="72"/>
      <c r="AL142" s="72"/>
      <c r="AM142" s="72"/>
      <c r="AQ142" s="192"/>
    </row>
    <row r="143" spans="1:43" ht="14.25" customHeight="1" outlineLevel="1" x14ac:dyDescent="0.25">
      <c r="A143" s="500"/>
      <c r="B143" s="2098"/>
      <c r="C143" s="2099"/>
      <c r="D143" s="2099"/>
      <c r="E143" s="2099"/>
      <c r="F143" s="2099"/>
      <c r="G143" s="2099"/>
      <c r="H143" s="2099"/>
      <c r="I143" s="1726" t="s">
        <v>100</v>
      </c>
      <c r="J143" s="2026"/>
      <c r="K143" s="972"/>
      <c r="L143" s="2018">
        <f>J143*K143</f>
        <v>0</v>
      </c>
      <c r="M143" s="2020" t="str">
        <f>IFERROR(IF((VLOOKUP(N143,Überblick!$M$125:$N$133,2))="ja","ja","nein"),"")</f>
        <v/>
      </c>
      <c r="N143" s="2022"/>
      <c r="O143" s="72">
        <f t="shared" si="58"/>
        <v>0</v>
      </c>
      <c r="P143" s="78">
        <f t="shared" si="60"/>
        <v>0</v>
      </c>
      <c r="V143" s="72"/>
      <c r="W143" s="72"/>
      <c r="X143" s="72"/>
      <c r="Y143" s="72"/>
      <c r="Z143" s="74"/>
      <c r="AA143" s="74"/>
      <c r="AB143" s="72"/>
      <c r="AC143" s="72"/>
      <c r="AD143" s="72"/>
      <c r="AE143" s="72"/>
      <c r="AF143" s="72"/>
      <c r="AG143" s="72"/>
      <c r="AH143" s="72"/>
      <c r="AI143" s="72"/>
      <c r="AJ143" s="72"/>
      <c r="AK143" s="72"/>
      <c r="AL143" s="72"/>
      <c r="AM143" s="72"/>
      <c r="AQ143" s="192"/>
    </row>
    <row r="144" spans="1:43" ht="14.25" customHeight="1" outlineLevel="1" thickBot="1" x14ac:dyDescent="0.3">
      <c r="A144" s="500"/>
      <c r="B144" s="2100"/>
      <c r="C144" s="2101"/>
      <c r="D144" s="2101"/>
      <c r="E144" s="2101"/>
      <c r="F144" s="2101"/>
      <c r="G144" s="2101"/>
      <c r="H144" s="2101"/>
      <c r="I144" s="1769"/>
      <c r="J144" s="2044"/>
      <c r="K144" s="976"/>
      <c r="L144" s="2045"/>
      <c r="M144" s="2046"/>
      <c r="N144" s="2047"/>
      <c r="P144" s="78"/>
      <c r="V144" s="72"/>
      <c r="W144" s="72"/>
      <c r="X144" s="72"/>
      <c r="Y144" s="72"/>
      <c r="Z144" s="74" t="e">
        <f>IF(#REF!="ja",AA144,0)</f>
        <v>#REF!</v>
      </c>
      <c r="AA144" s="74">
        <v>1E-3</v>
      </c>
      <c r="AB144" s="72"/>
      <c r="AC144" s="72"/>
      <c r="AD144" s="72"/>
      <c r="AE144" s="72"/>
      <c r="AF144" s="72"/>
      <c r="AG144" s="72"/>
      <c r="AH144" s="72"/>
      <c r="AI144" s="72"/>
      <c r="AJ144" s="72"/>
      <c r="AK144" s="72"/>
      <c r="AL144" s="72"/>
      <c r="AM144" s="72"/>
      <c r="AQ144" s="192"/>
    </row>
    <row r="145" spans="1:43" ht="14.25" customHeight="1" thickBot="1" x14ac:dyDescent="0.3">
      <c r="A145" s="500"/>
      <c r="B145" s="217"/>
      <c r="C145" s="217"/>
      <c r="D145" s="217"/>
      <c r="E145" s="217"/>
      <c r="F145" s="217"/>
      <c r="G145" s="217"/>
      <c r="H145" s="217"/>
      <c r="I145" s="216"/>
      <c r="J145" s="436"/>
      <c r="K145" s="436"/>
      <c r="L145" s="96">
        <f>SUM(L137:L144)</f>
        <v>0</v>
      </c>
      <c r="M145" s="213"/>
      <c r="N145" s="171"/>
      <c r="P145" s="78"/>
      <c r="V145" s="72"/>
      <c r="W145" s="72"/>
      <c r="X145" s="72"/>
      <c r="Y145" s="72"/>
      <c r="Z145" s="74"/>
      <c r="AA145" s="74"/>
      <c r="AB145" s="72"/>
      <c r="AC145" s="72"/>
      <c r="AD145" s="72"/>
      <c r="AE145" s="72"/>
      <c r="AF145" s="72"/>
      <c r="AG145" s="72"/>
      <c r="AH145" s="72"/>
      <c r="AI145" s="72"/>
      <c r="AJ145" s="72"/>
      <c r="AK145" s="72"/>
      <c r="AL145" s="72"/>
      <c r="AM145" s="72"/>
      <c r="AQ145" s="192"/>
    </row>
    <row r="146" spans="1:43" ht="14.25" customHeight="1" outlineLevel="1" thickBot="1" x14ac:dyDescent="0.3">
      <c r="A146" s="500"/>
      <c r="B146" s="2105" t="s">
        <v>748</v>
      </c>
      <c r="C146" s="2075"/>
      <c r="D146" s="2075"/>
      <c r="E146" s="2075"/>
      <c r="F146" s="2075"/>
      <c r="G146" s="2075"/>
      <c r="H146" s="2075"/>
      <c r="I146" s="1131" t="s">
        <v>151</v>
      </c>
      <c r="J146" s="2051" t="s">
        <v>697</v>
      </c>
      <c r="K146" s="2075" t="s">
        <v>698</v>
      </c>
      <c r="L146" s="2048" t="s">
        <v>741</v>
      </c>
      <c r="M146" s="2075" t="s">
        <v>156</v>
      </c>
      <c r="N146" s="2039" t="s">
        <v>157</v>
      </c>
      <c r="P146" s="78"/>
      <c r="V146" s="72"/>
      <c r="W146" s="72"/>
      <c r="X146" s="72"/>
      <c r="Y146" s="72"/>
      <c r="Z146" s="74"/>
      <c r="AA146" s="74"/>
      <c r="AB146" s="72"/>
      <c r="AC146" s="72"/>
      <c r="AD146" s="72"/>
      <c r="AE146" s="72"/>
      <c r="AF146" s="72"/>
      <c r="AG146" s="72"/>
      <c r="AH146" s="72"/>
      <c r="AI146" s="72"/>
      <c r="AJ146" s="72"/>
      <c r="AK146" s="72"/>
      <c r="AL146" s="72"/>
      <c r="AM146" s="72"/>
      <c r="AQ146" s="192"/>
    </row>
    <row r="147" spans="1:43" ht="14.25" customHeight="1" outlineLevel="1" thickBot="1" x14ac:dyDescent="0.3">
      <c r="A147" s="500"/>
      <c r="B147" s="2106"/>
      <c r="C147" s="2076"/>
      <c r="D147" s="2076"/>
      <c r="E147" s="2076"/>
      <c r="F147" s="2076"/>
      <c r="G147" s="2076"/>
      <c r="H147" s="2076"/>
      <c r="I147" s="1132"/>
      <c r="J147" s="2052"/>
      <c r="K147" s="2076"/>
      <c r="L147" s="2049"/>
      <c r="M147" s="2076"/>
      <c r="N147" s="2039"/>
      <c r="P147" s="78"/>
      <c r="V147" s="72"/>
      <c r="W147" s="72"/>
      <c r="X147" s="72"/>
      <c r="Y147" s="72"/>
      <c r="Z147" s="74" t="e">
        <f>IF(#REF!="ja",AA147,0)</f>
        <v>#REF!</v>
      </c>
      <c r="AA147" s="74">
        <v>2.5000000000000001E-3</v>
      </c>
      <c r="AB147" s="72"/>
      <c r="AC147" s="72"/>
      <c r="AD147" s="72"/>
      <c r="AE147" s="72"/>
      <c r="AF147" s="72"/>
      <c r="AG147" s="72"/>
      <c r="AH147" s="72"/>
      <c r="AI147" s="72"/>
      <c r="AJ147" s="72"/>
      <c r="AK147" s="72"/>
      <c r="AL147" s="72"/>
      <c r="AM147" s="72"/>
      <c r="AQ147" s="192"/>
    </row>
    <row r="148" spans="1:43" ht="14.25" customHeight="1" outlineLevel="1" thickBot="1" x14ac:dyDescent="0.3">
      <c r="A148" s="500"/>
      <c r="B148" s="2107"/>
      <c r="C148" s="2077"/>
      <c r="D148" s="2077"/>
      <c r="E148" s="2077"/>
      <c r="F148" s="2077"/>
      <c r="G148" s="2077"/>
      <c r="H148" s="2077"/>
      <c r="I148" s="1133"/>
      <c r="J148" s="2052"/>
      <c r="K148" s="2077"/>
      <c r="L148" s="2049"/>
      <c r="M148" s="2077"/>
      <c r="N148" s="2039"/>
      <c r="P148" s="78"/>
      <c r="V148" s="72"/>
      <c r="W148" s="72"/>
      <c r="X148" s="72"/>
      <c r="Y148" s="72"/>
      <c r="Z148" s="74"/>
      <c r="AA148" s="74"/>
      <c r="AB148" s="72"/>
      <c r="AC148" s="72"/>
      <c r="AD148" s="72"/>
      <c r="AE148" s="72"/>
      <c r="AF148" s="72"/>
      <c r="AG148" s="72"/>
      <c r="AH148" s="72"/>
      <c r="AI148" s="72"/>
      <c r="AJ148" s="72"/>
      <c r="AK148" s="72"/>
      <c r="AL148" s="72"/>
      <c r="AM148" s="72"/>
      <c r="AQ148" s="192"/>
    </row>
    <row r="149" spans="1:43" ht="14.25" customHeight="1" outlineLevel="1" x14ac:dyDescent="0.25">
      <c r="A149" s="500"/>
      <c r="B149" s="2078" t="s">
        <v>749</v>
      </c>
      <c r="C149" s="2079"/>
      <c r="D149" s="2079"/>
      <c r="E149" s="2079"/>
      <c r="F149" s="2079"/>
      <c r="G149" s="2079"/>
      <c r="H149" s="2079"/>
      <c r="I149" s="1919" t="s">
        <v>100</v>
      </c>
      <c r="J149" s="2040"/>
      <c r="K149" s="1025"/>
      <c r="L149" s="2041">
        <f>J149*K149</f>
        <v>0</v>
      </c>
      <c r="M149" s="2108" t="str">
        <f>IFERROR(IF((VLOOKUP(N149,Überblick!$M$125:$N$133,2))="ja","ja","nein"),"")</f>
        <v/>
      </c>
      <c r="N149" s="2059"/>
      <c r="O149" s="72">
        <f t="shared" si="58"/>
        <v>0</v>
      </c>
      <c r="P149" s="78">
        <f t="shared" si="60"/>
        <v>0</v>
      </c>
      <c r="S149" s="214"/>
      <c r="T149" s="214"/>
      <c r="U149" s="214"/>
      <c r="V149" s="398"/>
      <c r="W149" s="398"/>
      <c r="X149" s="398"/>
      <c r="Y149" s="398"/>
      <c r="Z149" s="74"/>
      <c r="AA149" s="74"/>
      <c r="AB149" s="72"/>
      <c r="AC149" s="72"/>
      <c r="AD149" s="72"/>
      <c r="AE149" s="72"/>
      <c r="AF149" s="72"/>
      <c r="AG149" s="72"/>
      <c r="AH149" s="72"/>
      <c r="AI149" s="72"/>
      <c r="AJ149" s="72"/>
      <c r="AK149" s="72"/>
      <c r="AL149" s="72"/>
      <c r="AM149" s="72"/>
      <c r="AQ149" s="192"/>
    </row>
    <row r="150" spans="1:43" ht="14.25" customHeight="1" outlineLevel="1" x14ac:dyDescent="0.25">
      <c r="A150" s="500"/>
      <c r="B150" s="2024"/>
      <c r="C150" s="2025"/>
      <c r="D150" s="2025"/>
      <c r="E150" s="2025"/>
      <c r="F150" s="2025"/>
      <c r="G150" s="2025"/>
      <c r="H150" s="2025"/>
      <c r="I150" s="1775"/>
      <c r="J150" s="2026"/>
      <c r="K150" s="972"/>
      <c r="L150" s="2018"/>
      <c r="M150" s="2032"/>
      <c r="N150" s="2022"/>
      <c r="P150" s="78"/>
      <c r="S150" s="214"/>
      <c r="T150" s="214"/>
      <c r="U150" s="214"/>
      <c r="V150" s="398"/>
      <c r="W150" s="398"/>
      <c r="X150" s="398"/>
      <c r="Y150" s="398"/>
      <c r="Z150" s="74"/>
      <c r="AA150" s="74"/>
      <c r="AB150" s="72"/>
      <c r="AC150" s="72"/>
      <c r="AD150" s="72"/>
      <c r="AE150" s="72"/>
      <c r="AF150" s="72"/>
      <c r="AG150" s="72"/>
      <c r="AH150" s="72"/>
      <c r="AI150" s="72"/>
      <c r="AJ150" s="72"/>
      <c r="AK150" s="72"/>
      <c r="AL150" s="72"/>
      <c r="AM150" s="72"/>
      <c r="AQ150" s="192"/>
    </row>
    <row r="151" spans="1:43" ht="14.25" customHeight="1" outlineLevel="1" x14ac:dyDescent="0.25">
      <c r="A151" s="500"/>
      <c r="B151" s="2024"/>
      <c r="C151" s="2025"/>
      <c r="D151" s="2025"/>
      <c r="E151" s="2025"/>
      <c r="F151" s="2025"/>
      <c r="G151" s="2025"/>
      <c r="H151" s="2025"/>
      <c r="I151" s="1775"/>
      <c r="J151" s="2026"/>
      <c r="K151" s="972"/>
      <c r="L151" s="2018"/>
      <c r="M151" s="2033"/>
      <c r="N151" s="2022"/>
      <c r="P151" s="78"/>
      <c r="S151" s="214"/>
      <c r="T151" s="214"/>
      <c r="U151" s="214"/>
      <c r="V151" s="398"/>
      <c r="W151" s="398"/>
      <c r="X151" s="398"/>
      <c r="Y151" s="398"/>
      <c r="Z151" s="74"/>
      <c r="AA151" s="74"/>
      <c r="AB151" s="72"/>
      <c r="AC151" s="72"/>
      <c r="AD151" s="72"/>
      <c r="AE151" s="72"/>
      <c r="AF151" s="72"/>
      <c r="AG151" s="72"/>
      <c r="AH151" s="72"/>
      <c r="AI151" s="72"/>
      <c r="AJ151" s="72"/>
      <c r="AK151" s="72"/>
      <c r="AL151" s="72"/>
      <c r="AM151" s="72"/>
      <c r="AQ151" s="192"/>
    </row>
    <row r="152" spans="1:43" ht="14.25" customHeight="1" outlineLevel="1" x14ac:dyDescent="0.25">
      <c r="A152" s="500"/>
      <c r="B152" s="2024" t="s">
        <v>750</v>
      </c>
      <c r="C152" s="2025"/>
      <c r="D152" s="2025"/>
      <c r="E152" s="2025"/>
      <c r="F152" s="2025"/>
      <c r="G152" s="2025"/>
      <c r="H152" s="2025"/>
      <c r="I152" s="1727" t="s">
        <v>100</v>
      </c>
      <c r="J152" s="2026"/>
      <c r="K152" s="972"/>
      <c r="L152" s="2018">
        <f>J152*K152</f>
        <v>0</v>
      </c>
      <c r="M152" s="2020" t="str">
        <f>IFERROR(IF((VLOOKUP(N152,Überblick!$M$125:$N$133,2))="ja","ja","nein"),"")</f>
        <v/>
      </c>
      <c r="N152" s="2022"/>
      <c r="O152" s="72">
        <f t="shared" si="58"/>
        <v>0</v>
      </c>
      <c r="P152" s="78">
        <f t="shared" si="60"/>
        <v>0</v>
      </c>
      <c r="S152" s="214"/>
      <c r="T152" s="214"/>
      <c r="U152" s="214"/>
      <c r="V152" s="398"/>
      <c r="W152" s="398"/>
      <c r="X152" s="398"/>
      <c r="Y152" s="398"/>
      <c r="Z152" s="76"/>
      <c r="AA152" s="74"/>
      <c r="AB152" s="72"/>
      <c r="AC152" s="72"/>
      <c r="AD152" s="72"/>
      <c r="AE152" s="72"/>
      <c r="AF152" s="72"/>
      <c r="AG152" s="72"/>
      <c r="AH152" s="72"/>
      <c r="AI152" s="72"/>
      <c r="AJ152" s="72"/>
      <c r="AK152" s="72"/>
      <c r="AL152" s="72"/>
      <c r="AM152" s="72"/>
      <c r="AQ152" s="192"/>
    </row>
    <row r="153" spans="1:43" ht="14.25" customHeight="1" outlineLevel="1" x14ac:dyDescent="0.25">
      <c r="A153" s="500"/>
      <c r="B153" s="2024"/>
      <c r="C153" s="2025"/>
      <c r="D153" s="2025"/>
      <c r="E153" s="2025"/>
      <c r="F153" s="2025"/>
      <c r="G153" s="2025"/>
      <c r="H153" s="2025"/>
      <c r="I153" s="1743"/>
      <c r="J153" s="2026"/>
      <c r="K153" s="972"/>
      <c r="L153" s="2018"/>
      <c r="M153" s="2020"/>
      <c r="N153" s="2022"/>
      <c r="P153" s="78"/>
      <c r="S153" s="214"/>
      <c r="T153" s="214"/>
      <c r="U153" s="214"/>
      <c r="V153" s="398"/>
      <c r="W153" s="398"/>
      <c r="X153" s="398"/>
      <c r="Y153" s="398"/>
      <c r="Z153" s="74" t="e">
        <f>SUM(Z133:Z152)</f>
        <v>#REF!</v>
      </c>
      <c r="AA153" s="75"/>
      <c r="AB153" s="75"/>
      <c r="AC153" s="72"/>
      <c r="AD153" s="72"/>
      <c r="AE153" s="72"/>
      <c r="AF153" s="72"/>
      <c r="AG153" s="72"/>
      <c r="AH153" s="72"/>
      <c r="AI153" s="72"/>
      <c r="AJ153" s="72"/>
      <c r="AK153" s="72"/>
      <c r="AL153" s="72"/>
      <c r="AM153" s="72"/>
      <c r="AQ153" s="68"/>
    </row>
    <row r="154" spans="1:43" ht="14.25" customHeight="1" outlineLevel="1" x14ac:dyDescent="0.25">
      <c r="A154" s="501"/>
      <c r="B154" s="2024" t="s">
        <v>751</v>
      </c>
      <c r="C154" s="2025"/>
      <c r="D154" s="2025"/>
      <c r="E154" s="2025"/>
      <c r="F154" s="2025"/>
      <c r="G154" s="2025"/>
      <c r="H154" s="2025"/>
      <c r="I154" s="1727" t="s">
        <v>99</v>
      </c>
      <c r="J154" s="2026"/>
      <c r="K154" s="972"/>
      <c r="L154" s="2018">
        <f>J154*K154</f>
        <v>0</v>
      </c>
      <c r="M154" s="2020" t="str">
        <f>IFERROR(IF((VLOOKUP(N154,Überblick!$M$125:$N$133,2))="ja","ja","nein"),"")</f>
        <v/>
      </c>
      <c r="N154" s="2022"/>
      <c r="O154" s="72">
        <f t="shared" si="58"/>
        <v>1</v>
      </c>
      <c r="P154" s="78">
        <f t="shared" si="60"/>
        <v>1</v>
      </c>
      <c r="S154" s="214"/>
      <c r="T154" s="214"/>
      <c r="U154" s="214"/>
      <c r="V154" s="398"/>
      <c r="W154" s="398"/>
      <c r="X154" s="398"/>
      <c r="Y154" s="398"/>
      <c r="Z154" s="74" t="e">
        <f>IF(#REF!="ja",AA154,0)</f>
        <v>#REF!</v>
      </c>
      <c r="AA154" s="74">
        <v>7.4999999999999997E-2</v>
      </c>
      <c r="AB154" s="77"/>
      <c r="AC154" s="72"/>
      <c r="AD154" s="72"/>
      <c r="AE154" s="72"/>
      <c r="AF154" s="72"/>
      <c r="AG154" s="72"/>
      <c r="AH154" s="72"/>
      <c r="AI154" s="72"/>
      <c r="AJ154" s="72"/>
      <c r="AK154" s="72"/>
      <c r="AL154" s="72"/>
      <c r="AM154" s="72"/>
      <c r="AQ154" s="193"/>
    </row>
    <row r="155" spans="1:43" ht="14.25" customHeight="1" outlineLevel="1" x14ac:dyDescent="0.25">
      <c r="A155" s="501"/>
      <c r="B155" s="2024"/>
      <c r="C155" s="2025"/>
      <c r="D155" s="2025"/>
      <c r="E155" s="2025"/>
      <c r="F155" s="2025"/>
      <c r="G155" s="2025"/>
      <c r="H155" s="2025"/>
      <c r="I155" s="1743"/>
      <c r="J155" s="2026"/>
      <c r="K155" s="972"/>
      <c r="L155" s="2018"/>
      <c r="M155" s="2020"/>
      <c r="N155" s="2022"/>
      <c r="P155" s="78"/>
      <c r="S155" s="214"/>
      <c r="T155" s="214"/>
      <c r="U155" s="214"/>
      <c r="V155" s="398"/>
      <c r="W155" s="398"/>
      <c r="X155" s="398"/>
      <c r="Y155" s="398"/>
      <c r="Z155" s="74"/>
      <c r="AA155" s="74"/>
      <c r="AB155" s="77"/>
      <c r="AC155" s="72"/>
      <c r="AD155" s="72"/>
      <c r="AE155" s="72"/>
      <c r="AF155" s="72"/>
      <c r="AG155" s="72"/>
      <c r="AH155" s="72"/>
      <c r="AI155" s="72"/>
      <c r="AJ155" s="72"/>
      <c r="AK155" s="72"/>
      <c r="AL155" s="72"/>
      <c r="AM155" s="72"/>
      <c r="AQ155" s="193"/>
    </row>
    <row r="156" spans="1:43" ht="14.25" customHeight="1" outlineLevel="1" x14ac:dyDescent="0.25">
      <c r="A156" s="501"/>
      <c r="B156" s="2024" t="s">
        <v>735</v>
      </c>
      <c r="C156" s="2025"/>
      <c r="D156" s="2025"/>
      <c r="E156" s="2025"/>
      <c r="F156" s="2025"/>
      <c r="G156" s="2025"/>
      <c r="H156" s="2025"/>
      <c r="I156" s="1727" t="s">
        <v>100</v>
      </c>
      <c r="J156" s="2026"/>
      <c r="K156" s="972"/>
      <c r="L156" s="2018">
        <f>J156*K156</f>
        <v>0</v>
      </c>
      <c r="M156" s="2020" t="str">
        <f>IFERROR(IF((VLOOKUP(N156,Überblick!$M$125:$N$133,2))="ja","ja","nein"),"")</f>
        <v/>
      </c>
      <c r="N156" s="2022"/>
      <c r="O156" s="72">
        <f>IF(AND(I156="ja",J156=""),1,0)</f>
        <v>0</v>
      </c>
      <c r="P156" s="78">
        <f t="shared" si="60"/>
        <v>0</v>
      </c>
      <c r="S156" s="214"/>
      <c r="T156" s="214"/>
      <c r="U156" s="214"/>
      <c r="V156" s="398"/>
      <c r="W156" s="398"/>
      <c r="X156" s="398"/>
      <c r="Y156" s="398"/>
      <c r="Z156" s="76"/>
      <c r="AA156" s="74"/>
      <c r="AB156" s="72"/>
      <c r="AC156" s="72"/>
      <c r="AD156" s="72"/>
      <c r="AE156" s="72"/>
      <c r="AF156" s="72"/>
      <c r="AG156" s="72"/>
      <c r="AH156" s="72"/>
      <c r="AI156" s="72"/>
      <c r="AJ156" s="72"/>
      <c r="AK156" s="72"/>
      <c r="AL156" s="72"/>
      <c r="AM156" s="72"/>
    </row>
    <row r="157" spans="1:43" ht="14.25" customHeight="1" outlineLevel="1" x14ac:dyDescent="0.25">
      <c r="A157" s="501"/>
      <c r="B157" s="2024"/>
      <c r="C157" s="2025"/>
      <c r="D157" s="2025"/>
      <c r="E157" s="2025"/>
      <c r="F157" s="2025"/>
      <c r="G157" s="2025"/>
      <c r="H157" s="2025"/>
      <c r="I157" s="1743"/>
      <c r="J157" s="2026"/>
      <c r="K157" s="972"/>
      <c r="L157" s="2018"/>
      <c r="M157" s="2020"/>
      <c r="N157" s="2022"/>
      <c r="P157" s="78"/>
      <c r="S157" s="214"/>
      <c r="T157" s="214"/>
      <c r="U157" s="214"/>
      <c r="V157" s="398"/>
      <c r="W157" s="398"/>
      <c r="X157" s="398"/>
      <c r="Y157" s="398"/>
      <c r="Z157" s="76"/>
      <c r="AA157" s="74"/>
      <c r="AB157" s="72"/>
      <c r="AC157" s="72"/>
      <c r="AD157" s="72"/>
      <c r="AE157" s="72"/>
      <c r="AF157" s="72"/>
      <c r="AG157" s="72"/>
      <c r="AH157" s="72"/>
      <c r="AI157" s="72"/>
      <c r="AJ157" s="72"/>
      <c r="AK157" s="72"/>
      <c r="AL157" s="72"/>
      <c r="AM157" s="72"/>
    </row>
    <row r="158" spans="1:43" ht="14.25" customHeight="1" outlineLevel="1" x14ac:dyDescent="0.25">
      <c r="A158" s="501"/>
      <c r="B158" s="2014" t="s">
        <v>974</v>
      </c>
      <c r="C158" s="2015"/>
      <c r="D158" s="2015"/>
      <c r="E158" s="2015"/>
      <c r="F158" s="2015"/>
      <c r="G158" s="2015"/>
      <c r="H158" s="2015"/>
      <c r="I158" s="1727" t="s">
        <v>100</v>
      </c>
      <c r="J158" s="2026"/>
      <c r="K158" s="972"/>
      <c r="L158" s="2018">
        <f>J158*K158</f>
        <v>0</v>
      </c>
      <c r="M158" s="2020" t="str">
        <f>IFERROR(IF((VLOOKUP(N158,Überblick!$M$125:$N$133,2))="ja","ja","nein"),"")</f>
        <v/>
      </c>
      <c r="N158" s="2022"/>
      <c r="O158" s="72">
        <f>IF(AND(I158="ja",J158=""),1,0)</f>
        <v>0</v>
      </c>
      <c r="P158" s="78">
        <f t="shared" si="60"/>
        <v>0</v>
      </c>
      <c r="S158" s="214"/>
      <c r="T158" s="214"/>
      <c r="U158" s="214"/>
      <c r="V158" s="398"/>
      <c r="W158" s="398"/>
      <c r="X158" s="398"/>
      <c r="Y158" s="398"/>
      <c r="Z158" s="76"/>
      <c r="AA158" s="74"/>
      <c r="AB158" s="72"/>
      <c r="AC158" s="72"/>
      <c r="AD158" s="72"/>
      <c r="AE158" s="72"/>
      <c r="AF158" s="72"/>
      <c r="AG158" s="72"/>
      <c r="AH158" s="72"/>
      <c r="AI158" s="72"/>
      <c r="AJ158" s="72"/>
      <c r="AK158" s="72"/>
      <c r="AL158" s="72"/>
      <c r="AM158" s="72"/>
    </row>
    <row r="159" spans="1:43" ht="14.25" customHeight="1" outlineLevel="1" x14ac:dyDescent="0.25">
      <c r="A159" s="501"/>
      <c r="B159" s="2016"/>
      <c r="C159" s="2017"/>
      <c r="D159" s="2017"/>
      <c r="E159" s="2017"/>
      <c r="F159" s="2017"/>
      <c r="G159" s="2017"/>
      <c r="H159" s="2017"/>
      <c r="I159" s="1743"/>
      <c r="J159" s="2026"/>
      <c r="K159" s="972"/>
      <c r="L159" s="2018"/>
      <c r="M159" s="2020"/>
      <c r="N159" s="2022"/>
      <c r="P159" s="78"/>
      <c r="S159" s="214"/>
      <c r="T159" s="214"/>
      <c r="U159" s="214"/>
      <c r="V159" s="398"/>
      <c r="W159" s="398"/>
      <c r="X159" s="398"/>
      <c r="Y159" s="398"/>
      <c r="Z159" s="76"/>
      <c r="AA159" s="74"/>
      <c r="AB159" s="72"/>
      <c r="AC159" s="72"/>
      <c r="AD159" s="72"/>
      <c r="AE159" s="72"/>
      <c r="AF159" s="72"/>
      <c r="AG159" s="72"/>
      <c r="AH159" s="72"/>
      <c r="AI159" s="72"/>
      <c r="AJ159" s="72"/>
      <c r="AK159" s="72"/>
      <c r="AL159" s="72"/>
      <c r="AM159" s="72"/>
    </row>
    <row r="160" spans="1:43" ht="14.25" customHeight="1" outlineLevel="1" x14ac:dyDescent="0.25">
      <c r="A160" s="501"/>
      <c r="B160" s="2024"/>
      <c r="C160" s="2025"/>
      <c r="D160" s="2025"/>
      <c r="E160" s="2025"/>
      <c r="F160" s="2025"/>
      <c r="G160" s="2025"/>
      <c r="H160" s="2025"/>
      <c r="I160" s="1727" t="s">
        <v>100</v>
      </c>
      <c r="J160" s="2026"/>
      <c r="K160" s="972"/>
      <c r="L160" s="2018">
        <f>J160*K160</f>
        <v>0</v>
      </c>
      <c r="M160" s="2020" t="str">
        <f>IFERROR(IF((VLOOKUP(N160,Überblick!$M$125:$N$133,2))="ja","ja","nein"),"")</f>
        <v/>
      </c>
      <c r="N160" s="2022"/>
      <c r="O160" s="72">
        <f>IF(AND(I160="ja",J160=""),1,0)</f>
        <v>0</v>
      </c>
      <c r="P160" s="78">
        <f t="shared" si="60"/>
        <v>0</v>
      </c>
      <c r="S160" s="214"/>
      <c r="T160" s="214"/>
      <c r="U160" s="214"/>
      <c r="V160" s="398"/>
      <c r="W160" s="398"/>
      <c r="X160" s="398"/>
      <c r="Y160" s="398"/>
      <c r="Z160" s="76"/>
      <c r="AA160" s="74"/>
      <c r="AB160" s="72"/>
      <c r="AC160" s="72"/>
      <c r="AD160" s="72"/>
      <c r="AE160" s="72"/>
      <c r="AF160" s="72"/>
      <c r="AG160" s="72"/>
      <c r="AH160" s="72"/>
      <c r="AI160" s="72"/>
      <c r="AJ160" s="72"/>
      <c r="AK160" s="72"/>
      <c r="AL160" s="72"/>
      <c r="AM160" s="72"/>
    </row>
    <row r="161" spans="1:43" ht="14.25" customHeight="1" outlineLevel="1" x14ac:dyDescent="0.25">
      <c r="A161" s="501"/>
      <c r="B161" s="2024"/>
      <c r="C161" s="2025"/>
      <c r="D161" s="2025"/>
      <c r="E161" s="2025"/>
      <c r="F161" s="2025"/>
      <c r="G161" s="2025"/>
      <c r="H161" s="2025"/>
      <c r="I161" s="1743"/>
      <c r="J161" s="2026"/>
      <c r="K161" s="972"/>
      <c r="L161" s="2018"/>
      <c r="M161" s="2020"/>
      <c r="N161" s="2022"/>
      <c r="P161" s="78"/>
      <c r="S161" s="214"/>
      <c r="T161" s="214"/>
      <c r="U161" s="214"/>
      <c r="V161" s="398"/>
      <c r="W161" s="398"/>
      <c r="X161" s="398"/>
      <c r="Y161" s="398"/>
      <c r="Z161" s="76"/>
      <c r="AA161" s="74"/>
      <c r="AB161" s="72"/>
      <c r="AC161" s="72"/>
      <c r="AD161" s="72"/>
      <c r="AE161" s="72"/>
      <c r="AF161" s="72"/>
      <c r="AG161" s="72"/>
      <c r="AH161" s="72"/>
      <c r="AI161" s="72"/>
      <c r="AJ161" s="72"/>
      <c r="AK161" s="72"/>
      <c r="AL161" s="72"/>
      <c r="AM161" s="72"/>
    </row>
    <row r="162" spans="1:43" ht="14.25" customHeight="1" outlineLevel="1" x14ac:dyDescent="0.25">
      <c r="A162" s="501"/>
      <c r="B162" s="2024"/>
      <c r="C162" s="2025"/>
      <c r="D162" s="2025"/>
      <c r="E162" s="2025"/>
      <c r="F162" s="2025"/>
      <c r="G162" s="2025"/>
      <c r="H162" s="2025"/>
      <c r="I162" s="1726" t="s">
        <v>100</v>
      </c>
      <c r="J162" s="2026"/>
      <c r="K162" s="972"/>
      <c r="L162" s="2018">
        <f>J162*K162</f>
        <v>0</v>
      </c>
      <c r="M162" s="2020" t="str">
        <f>IFERROR(IF((VLOOKUP(N162,Überblick!$M$125:$N$133,2))="ja","ja","nein"),"")</f>
        <v/>
      </c>
      <c r="N162" s="2022"/>
      <c r="O162" s="72">
        <f>IF(AND(I162="ja",J162=""),1,0)</f>
        <v>0</v>
      </c>
      <c r="P162" s="78">
        <f t="shared" si="60"/>
        <v>0</v>
      </c>
      <c r="S162" s="214"/>
      <c r="T162" s="214"/>
      <c r="U162" s="214"/>
      <c r="V162" s="398"/>
      <c r="W162" s="398"/>
      <c r="X162" s="398"/>
      <c r="Y162" s="398"/>
      <c r="Z162" s="76"/>
      <c r="AA162" s="74"/>
      <c r="AB162" s="72"/>
      <c r="AC162" s="72"/>
      <c r="AD162" s="72"/>
      <c r="AE162" s="72"/>
      <c r="AF162" s="72"/>
      <c r="AG162" s="72"/>
      <c r="AH162" s="72"/>
      <c r="AI162" s="72"/>
      <c r="AJ162" s="72"/>
      <c r="AK162" s="72"/>
      <c r="AL162" s="72"/>
      <c r="AM162" s="72"/>
    </row>
    <row r="163" spans="1:43" ht="14.25" customHeight="1" outlineLevel="1" thickBot="1" x14ac:dyDescent="0.3">
      <c r="A163" s="501"/>
      <c r="B163" s="2042"/>
      <c r="C163" s="2043"/>
      <c r="D163" s="2043"/>
      <c r="E163" s="2043"/>
      <c r="F163" s="2043"/>
      <c r="G163" s="2043"/>
      <c r="H163" s="2043"/>
      <c r="I163" s="1769"/>
      <c r="J163" s="2044"/>
      <c r="K163" s="976"/>
      <c r="L163" s="2045"/>
      <c r="M163" s="2046"/>
      <c r="N163" s="2047"/>
      <c r="P163" s="78"/>
      <c r="S163" s="214"/>
      <c r="T163" s="214"/>
      <c r="U163" s="214"/>
      <c r="V163" s="398"/>
      <c r="W163" s="398"/>
      <c r="X163" s="398"/>
      <c r="Y163" s="398"/>
      <c r="Z163" s="76"/>
      <c r="AA163" s="74"/>
      <c r="AB163" s="72"/>
      <c r="AC163" s="72"/>
      <c r="AD163" s="72"/>
      <c r="AE163" s="72"/>
      <c r="AF163" s="72"/>
      <c r="AG163" s="72"/>
      <c r="AH163" s="72"/>
      <c r="AI163" s="72"/>
      <c r="AJ163" s="72"/>
      <c r="AK163" s="72"/>
      <c r="AL163" s="72"/>
      <c r="AM163" s="72"/>
    </row>
    <row r="164" spans="1:43" ht="14.25" customHeight="1" thickBot="1" x14ac:dyDescent="0.3">
      <c r="A164" s="501"/>
      <c r="B164" s="215"/>
      <c r="C164" s="215"/>
      <c r="D164" s="215"/>
      <c r="E164" s="215"/>
      <c r="F164" s="215"/>
      <c r="G164" s="215"/>
      <c r="H164" s="218"/>
      <c r="I164" s="216"/>
      <c r="J164" s="436"/>
      <c r="K164" s="436"/>
      <c r="L164" s="96">
        <f>SUM(L149:L163)</f>
        <v>0</v>
      </c>
      <c r="M164" s="216"/>
      <c r="N164" s="171"/>
      <c r="P164" s="78"/>
      <c r="Q164" s="48"/>
      <c r="V164" s="72"/>
      <c r="W164" s="72"/>
      <c r="X164" s="72"/>
      <c r="Y164" s="72"/>
      <c r="Z164" s="74" t="e">
        <f>IF(#REF!="ja",AA164,0)</f>
        <v>#REF!</v>
      </c>
      <c r="AA164" s="74">
        <v>7.4999999999999997E-2</v>
      </c>
      <c r="AB164" s="77"/>
      <c r="AC164" s="72"/>
      <c r="AD164" s="72"/>
      <c r="AE164" s="72"/>
      <c r="AF164" s="72"/>
      <c r="AG164" s="72"/>
      <c r="AH164" s="72"/>
      <c r="AI164" s="72"/>
      <c r="AJ164" s="72"/>
      <c r="AK164" s="72"/>
      <c r="AL164" s="72"/>
      <c r="AM164" s="72"/>
    </row>
    <row r="165" spans="1:43" ht="14.25" customHeight="1" outlineLevel="1" thickBot="1" x14ac:dyDescent="0.3">
      <c r="A165" s="500"/>
      <c r="B165" s="2069" t="s">
        <v>752</v>
      </c>
      <c r="C165" s="2070"/>
      <c r="D165" s="2070"/>
      <c r="E165" s="2070"/>
      <c r="F165" s="2070"/>
      <c r="G165" s="2070"/>
      <c r="H165" s="2070"/>
      <c r="I165" s="1131" t="s">
        <v>151</v>
      </c>
      <c r="J165" s="2051" t="s">
        <v>697</v>
      </c>
      <c r="K165" s="2075" t="s">
        <v>698</v>
      </c>
      <c r="L165" s="2075" t="s">
        <v>753</v>
      </c>
      <c r="M165" s="2075" t="s">
        <v>156</v>
      </c>
      <c r="N165" s="2039" t="s">
        <v>157</v>
      </c>
      <c r="P165" s="78"/>
      <c r="V165" s="72"/>
      <c r="W165" s="72"/>
      <c r="X165" s="72"/>
      <c r="Y165" s="72"/>
      <c r="Z165" s="74"/>
      <c r="AA165" s="74"/>
      <c r="AB165" s="72"/>
      <c r="AC165" s="72"/>
      <c r="AD165" s="72"/>
      <c r="AE165" s="72"/>
      <c r="AF165" s="72"/>
      <c r="AG165" s="72"/>
      <c r="AH165" s="72"/>
      <c r="AI165" s="72"/>
      <c r="AJ165" s="72"/>
      <c r="AK165" s="72"/>
      <c r="AL165" s="72"/>
      <c r="AM165" s="72"/>
      <c r="AQ165" s="192"/>
    </row>
    <row r="166" spans="1:43" ht="14.25" customHeight="1" outlineLevel="1" thickBot="1" x14ac:dyDescent="0.3">
      <c r="A166" s="500"/>
      <c r="B166" s="2071"/>
      <c r="C166" s="2072"/>
      <c r="D166" s="2072"/>
      <c r="E166" s="2072"/>
      <c r="F166" s="2072"/>
      <c r="G166" s="2072"/>
      <c r="H166" s="2072"/>
      <c r="I166" s="1132"/>
      <c r="J166" s="2052"/>
      <c r="K166" s="2076"/>
      <c r="L166" s="2076"/>
      <c r="M166" s="2076"/>
      <c r="N166" s="2039"/>
      <c r="P166" s="78"/>
      <c r="V166" s="72"/>
      <c r="W166" s="72"/>
      <c r="X166" s="72"/>
      <c r="Y166" s="72"/>
      <c r="Z166" s="74" t="e">
        <f>IF(#REF!="ja",AA166,0)</f>
        <v>#REF!</v>
      </c>
      <c r="AA166" s="74">
        <v>2.5000000000000001E-3</v>
      </c>
      <c r="AB166" s="72"/>
      <c r="AC166" s="72"/>
      <c r="AD166" s="72"/>
      <c r="AE166" s="72"/>
      <c r="AF166" s="72"/>
      <c r="AG166" s="72"/>
      <c r="AH166" s="72"/>
      <c r="AI166" s="72"/>
      <c r="AJ166" s="72"/>
      <c r="AK166" s="72"/>
      <c r="AL166" s="72"/>
      <c r="AM166" s="72"/>
      <c r="AQ166" s="192"/>
    </row>
    <row r="167" spans="1:43" ht="14.25" customHeight="1" outlineLevel="1" thickBot="1" x14ac:dyDescent="0.3">
      <c r="A167" s="500"/>
      <c r="B167" s="2073"/>
      <c r="C167" s="2074"/>
      <c r="D167" s="2074"/>
      <c r="E167" s="2074"/>
      <c r="F167" s="2074"/>
      <c r="G167" s="2074"/>
      <c r="H167" s="2074"/>
      <c r="I167" s="1133"/>
      <c r="J167" s="2052"/>
      <c r="K167" s="2077"/>
      <c r="L167" s="2077"/>
      <c r="M167" s="2077"/>
      <c r="N167" s="2039"/>
      <c r="P167" s="78"/>
      <c r="V167" s="72"/>
      <c r="W167" s="72"/>
      <c r="X167" s="72"/>
      <c r="Y167" s="72"/>
      <c r="Z167" s="74"/>
      <c r="AA167" s="74"/>
      <c r="AB167" s="72"/>
      <c r="AC167" s="72"/>
      <c r="AD167" s="72"/>
      <c r="AE167" s="72"/>
      <c r="AF167" s="72"/>
      <c r="AG167" s="72"/>
      <c r="AH167" s="72"/>
      <c r="AI167" s="72"/>
      <c r="AJ167" s="72"/>
      <c r="AK167" s="72"/>
      <c r="AL167" s="72"/>
      <c r="AM167" s="72"/>
      <c r="AQ167" s="192"/>
    </row>
    <row r="168" spans="1:43" ht="14.25" customHeight="1" outlineLevel="1" x14ac:dyDescent="0.25">
      <c r="A168" s="500"/>
      <c r="B168" s="2060" t="s">
        <v>754</v>
      </c>
      <c r="C168" s="2061"/>
      <c r="D168" s="2061"/>
      <c r="E168" s="2061"/>
      <c r="F168" s="2061"/>
      <c r="G168" s="2061"/>
      <c r="H168" s="2061"/>
      <c r="I168" s="1919" t="s">
        <v>99</v>
      </c>
      <c r="J168" s="2040"/>
      <c r="K168" s="1025"/>
      <c r="L168" s="2041">
        <f>J168*K168</f>
        <v>0</v>
      </c>
      <c r="M168" s="2058" t="str">
        <f>IFERROR(IF((VLOOKUP(N168,Überblick!$M$125:$N$133,2))="ja","ja","nein"),"")</f>
        <v/>
      </c>
      <c r="N168" s="2059"/>
      <c r="O168" s="72">
        <f t="shared" ref="O168" si="62">IF(AND(I168="ja",J168=""),1,0)</f>
        <v>1</v>
      </c>
      <c r="P168" s="78">
        <f t="shared" si="60"/>
        <v>1</v>
      </c>
      <c r="S168" s="214"/>
      <c r="T168" s="214"/>
      <c r="U168" s="214"/>
      <c r="V168" s="398"/>
      <c r="W168" s="398"/>
      <c r="X168" s="398"/>
      <c r="Y168" s="398"/>
      <c r="Z168" s="74"/>
      <c r="AA168" s="74"/>
      <c r="AB168" s="72"/>
      <c r="AC168" s="72"/>
      <c r="AD168" s="72"/>
      <c r="AE168" s="72"/>
      <c r="AF168" s="72"/>
      <c r="AG168" s="72"/>
      <c r="AH168" s="72"/>
      <c r="AI168" s="72"/>
      <c r="AJ168" s="72"/>
      <c r="AK168" s="72"/>
      <c r="AL168" s="72"/>
      <c r="AM168" s="72"/>
      <c r="AQ168" s="192"/>
    </row>
    <row r="169" spans="1:43" ht="14.25" customHeight="1" outlineLevel="1" x14ac:dyDescent="0.25">
      <c r="A169" s="500"/>
      <c r="B169" s="2062"/>
      <c r="C169" s="2063"/>
      <c r="D169" s="2063"/>
      <c r="E169" s="2063"/>
      <c r="F169" s="2063"/>
      <c r="G169" s="2063"/>
      <c r="H169" s="2063"/>
      <c r="I169" s="1743"/>
      <c r="J169" s="2034"/>
      <c r="K169" s="1619"/>
      <c r="L169" s="2057"/>
      <c r="M169" s="2033"/>
      <c r="N169" s="2036"/>
      <c r="P169" s="78"/>
      <c r="S169" s="214"/>
      <c r="T169" s="214"/>
      <c r="U169" s="214"/>
      <c r="V169" s="398"/>
      <c r="W169" s="398"/>
      <c r="X169" s="398"/>
      <c r="Y169" s="398"/>
      <c r="Z169" s="74"/>
      <c r="AA169" s="74"/>
      <c r="AB169" s="72"/>
      <c r="AC169" s="72"/>
      <c r="AD169" s="72"/>
      <c r="AE169" s="72"/>
      <c r="AF169" s="72"/>
      <c r="AG169" s="72"/>
      <c r="AH169" s="72"/>
      <c r="AI169" s="72"/>
      <c r="AJ169" s="72"/>
      <c r="AK169" s="72"/>
      <c r="AL169" s="72"/>
      <c r="AM169" s="72"/>
      <c r="AQ169" s="192"/>
    </row>
    <row r="170" spans="1:43" ht="14.25" customHeight="1" outlineLevel="1" x14ac:dyDescent="0.25">
      <c r="A170" s="500"/>
      <c r="B170" s="2064"/>
      <c r="C170" s="2065"/>
      <c r="D170" s="2065"/>
      <c r="E170" s="2065"/>
      <c r="F170" s="2065"/>
      <c r="G170" s="2065"/>
      <c r="H170" s="2065"/>
      <c r="I170" s="1775"/>
      <c r="J170" s="2026"/>
      <c r="K170" s="972"/>
      <c r="L170" s="2018"/>
      <c r="M170" s="2020"/>
      <c r="N170" s="2022"/>
      <c r="P170" s="78"/>
      <c r="S170" s="214"/>
      <c r="T170" s="214"/>
      <c r="U170" s="214"/>
      <c r="V170" s="398"/>
      <c r="W170" s="398"/>
      <c r="X170" s="398"/>
      <c r="Y170" s="398"/>
      <c r="Z170" s="74"/>
      <c r="AA170" s="74"/>
      <c r="AB170" s="72"/>
      <c r="AC170" s="72"/>
      <c r="AD170" s="72"/>
      <c r="AE170" s="72"/>
      <c r="AF170" s="72"/>
      <c r="AG170" s="72"/>
      <c r="AH170" s="72"/>
      <c r="AI170" s="72"/>
      <c r="AJ170" s="72"/>
      <c r="AK170" s="72"/>
      <c r="AL170" s="72"/>
      <c r="AM170" s="72"/>
      <c r="AQ170" s="192"/>
    </row>
    <row r="171" spans="1:43" ht="14.25" customHeight="1" outlineLevel="1" x14ac:dyDescent="0.25">
      <c r="A171" s="500"/>
      <c r="B171" s="2064"/>
      <c r="C171" s="2065"/>
      <c r="D171" s="2065"/>
      <c r="E171" s="2065"/>
      <c r="F171" s="2065"/>
      <c r="G171" s="2065"/>
      <c r="H171" s="2065"/>
      <c r="I171" s="1775"/>
      <c r="J171" s="2026"/>
      <c r="K171" s="972"/>
      <c r="L171" s="2018"/>
      <c r="M171" s="2020"/>
      <c r="N171" s="2022"/>
      <c r="P171" s="78"/>
      <c r="S171" s="214"/>
      <c r="T171" s="214"/>
      <c r="U171" s="214"/>
      <c r="V171" s="398"/>
      <c r="W171" s="398"/>
      <c r="X171" s="398"/>
      <c r="Y171" s="398"/>
      <c r="Z171" s="74"/>
      <c r="AA171" s="74"/>
      <c r="AB171" s="72"/>
      <c r="AC171" s="72"/>
      <c r="AD171" s="72"/>
      <c r="AE171" s="72"/>
      <c r="AF171" s="72"/>
      <c r="AG171" s="72"/>
      <c r="AH171" s="72"/>
      <c r="AI171" s="72"/>
      <c r="AJ171" s="72"/>
      <c r="AK171" s="72"/>
      <c r="AL171" s="72"/>
      <c r="AM171" s="72"/>
      <c r="AQ171" s="192"/>
    </row>
    <row r="172" spans="1:43" ht="14.25" customHeight="1" outlineLevel="1" x14ac:dyDescent="0.25">
      <c r="A172" s="500"/>
      <c r="B172" s="2024"/>
      <c r="C172" s="2025"/>
      <c r="D172" s="2025"/>
      <c r="E172" s="2025"/>
      <c r="F172" s="2025"/>
      <c r="G172" s="2025"/>
      <c r="H172" s="2025"/>
      <c r="I172" s="1727" t="s">
        <v>100</v>
      </c>
      <c r="J172" s="2026"/>
      <c r="K172" s="972"/>
      <c r="L172" s="2018">
        <f>J172*K172</f>
        <v>0</v>
      </c>
      <c r="M172" s="2020" t="str">
        <f>IFERROR(IF((VLOOKUP(N172,Überblick!$M$125:$N$133,2))="ja","ja","nein"),"")</f>
        <v/>
      </c>
      <c r="N172" s="2022"/>
      <c r="O172" s="72">
        <f t="shared" ref="O172" si="63">IF(AND(I172="ja",J172=""),1,0)</f>
        <v>0</v>
      </c>
      <c r="P172" s="78">
        <f t="shared" si="60"/>
        <v>0</v>
      </c>
      <c r="S172" s="214"/>
      <c r="T172" s="214"/>
      <c r="U172" s="214"/>
      <c r="V172" s="398"/>
      <c r="W172" s="398"/>
      <c r="X172" s="398"/>
      <c r="Y172" s="398"/>
      <c r="Z172" s="76"/>
      <c r="AA172" s="74"/>
      <c r="AB172" s="72"/>
      <c r="AC172" s="72"/>
      <c r="AD172" s="72"/>
      <c r="AE172" s="72"/>
      <c r="AF172" s="72"/>
      <c r="AG172" s="72"/>
      <c r="AH172" s="72"/>
      <c r="AI172" s="72"/>
      <c r="AJ172" s="72"/>
      <c r="AK172" s="72"/>
      <c r="AL172" s="72"/>
      <c r="AM172" s="72"/>
      <c r="AQ172" s="192"/>
    </row>
    <row r="173" spans="1:43" ht="14.25" customHeight="1" outlineLevel="1" x14ac:dyDescent="0.25">
      <c r="A173" s="500"/>
      <c r="B173" s="2024"/>
      <c r="C173" s="2025"/>
      <c r="D173" s="2025"/>
      <c r="E173" s="2025"/>
      <c r="F173" s="2025"/>
      <c r="G173" s="2025"/>
      <c r="H173" s="2025"/>
      <c r="I173" s="1743"/>
      <c r="J173" s="2026"/>
      <c r="K173" s="972"/>
      <c r="L173" s="2018"/>
      <c r="M173" s="2020"/>
      <c r="N173" s="2022"/>
      <c r="P173" s="78"/>
      <c r="S173" s="214"/>
      <c r="T173" s="214"/>
      <c r="U173" s="214"/>
      <c r="V173" s="398"/>
      <c r="W173" s="398"/>
      <c r="X173" s="398"/>
      <c r="Y173" s="398"/>
      <c r="Z173" s="74" t="e">
        <f>SUM(Z146:Z172)</f>
        <v>#REF!</v>
      </c>
      <c r="AA173" s="75"/>
      <c r="AB173" s="75"/>
      <c r="AC173" s="72"/>
      <c r="AD173" s="72"/>
      <c r="AE173" s="72"/>
      <c r="AF173" s="72"/>
      <c r="AG173" s="72"/>
      <c r="AH173" s="72"/>
      <c r="AI173" s="72"/>
      <c r="AJ173" s="72"/>
      <c r="AK173" s="72"/>
      <c r="AL173" s="72"/>
      <c r="AM173" s="72"/>
      <c r="AQ173" s="68"/>
    </row>
    <row r="174" spans="1:43" ht="14.25" customHeight="1" outlineLevel="1" x14ac:dyDescent="0.25">
      <c r="A174" s="500"/>
      <c r="B174" s="2024"/>
      <c r="C174" s="2025"/>
      <c r="D174" s="2025"/>
      <c r="E174" s="2025"/>
      <c r="F174" s="2025"/>
      <c r="G174" s="2025"/>
      <c r="H174" s="2025"/>
      <c r="I174" s="1727" t="s">
        <v>100</v>
      </c>
      <c r="J174" s="2026"/>
      <c r="K174" s="972"/>
      <c r="L174" s="2018">
        <f>J174*K174</f>
        <v>0</v>
      </c>
      <c r="M174" s="2020" t="str">
        <f>IFERROR(IF((VLOOKUP(N174,Überblick!$M$125:$N$133,2))="ja","ja","nein"),"")</f>
        <v/>
      </c>
      <c r="N174" s="2022"/>
      <c r="O174" s="72">
        <f t="shared" ref="O174" si="64">IF(AND(I174="ja",J174=""),1,0)</f>
        <v>0</v>
      </c>
      <c r="P174" s="78">
        <f t="shared" si="60"/>
        <v>0</v>
      </c>
      <c r="S174" s="214"/>
      <c r="T174" s="214"/>
      <c r="U174" s="214"/>
      <c r="V174" s="398"/>
      <c r="W174" s="398"/>
      <c r="X174" s="398"/>
      <c r="Y174" s="398"/>
      <c r="Z174" s="76"/>
      <c r="AA174" s="74"/>
      <c r="AB174" s="72"/>
      <c r="AC174" s="72"/>
      <c r="AD174" s="72"/>
      <c r="AE174" s="72"/>
      <c r="AF174" s="72"/>
      <c r="AG174" s="72"/>
      <c r="AH174" s="72"/>
      <c r="AI174" s="72"/>
      <c r="AJ174" s="72"/>
      <c r="AK174" s="72"/>
      <c r="AL174" s="72"/>
      <c r="AM174" s="72"/>
      <c r="AQ174" s="192"/>
    </row>
    <row r="175" spans="1:43" ht="14.25" customHeight="1" outlineLevel="1" x14ac:dyDescent="0.25">
      <c r="A175" s="500"/>
      <c r="B175" s="2024"/>
      <c r="C175" s="2025"/>
      <c r="D175" s="2025"/>
      <c r="E175" s="2025"/>
      <c r="F175" s="2025"/>
      <c r="G175" s="2025"/>
      <c r="H175" s="2025"/>
      <c r="I175" s="1743"/>
      <c r="J175" s="2026"/>
      <c r="K175" s="972"/>
      <c r="L175" s="2018"/>
      <c r="M175" s="2020"/>
      <c r="N175" s="2022"/>
      <c r="P175" s="78"/>
      <c r="S175" s="214"/>
      <c r="T175" s="214"/>
      <c r="U175" s="214"/>
      <c r="V175" s="398"/>
      <c r="W175" s="398"/>
      <c r="X175" s="398"/>
      <c r="Y175" s="398"/>
      <c r="Z175" s="74" t="e">
        <f>SUM(Z148:Z174)</f>
        <v>#REF!</v>
      </c>
      <c r="AA175" s="75"/>
      <c r="AB175" s="75"/>
      <c r="AC175" s="72"/>
      <c r="AD175" s="72"/>
      <c r="AE175" s="72"/>
      <c r="AF175" s="72"/>
      <c r="AG175" s="72"/>
      <c r="AH175" s="72"/>
      <c r="AI175" s="72"/>
      <c r="AJ175" s="72"/>
      <c r="AK175" s="72"/>
      <c r="AL175" s="72"/>
      <c r="AM175" s="72"/>
      <c r="AQ175" s="68"/>
    </row>
    <row r="176" spans="1:43" ht="14.25" customHeight="1" outlineLevel="1" x14ac:dyDescent="0.25">
      <c r="A176" s="500"/>
      <c r="B176" s="2014" t="s">
        <v>974</v>
      </c>
      <c r="C176" s="2015"/>
      <c r="D176" s="2015"/>
      <c r="E176" s="2015"/>
      <c r="F176" s="2015"/>
      <c r="G176" s="2015"/>
      <c r="H176" s="2015"/>
      <c r="I176" s="1727" t="s">
        <v>100</v>
      </c>
      <c r="J176" s="2026"/>
      <c r="K176" s="972"/>
      <c r="L176" s="2018">
        <f>J176*K176</f>
        <v>0</v>
      </c>
      <c r="M176" s="2020" t="str">
        <f>IFERROR(IF((VLOOKUP(N176,Überblick!$M$125:$N$133,2))="ja","ja","nein"),"")</f>
        <v/>
      </c>
      <c r="N176" s="2022"/>
      <c r="O176" s="72">
        <f t="shared" ref="O176" si="65">IF(AND(I176="ja",J176=""),1,0)</f>
        <v>0</v>
      </c>
      <c r="P176" s="78">
        <f t="shared" si="60"/>
        <v>0</v>
      </c>
      <c r="S176" s="214"/>
      <c r="T176" s="214"/>
      <c r="U176" s="214"/>
      <c r="V176" s="398"/>
      <c r="W176" s="398"/>
      <c r="X176" s="398"/>
      <c r="Y176" s="398"/>
      <c r="Z176" s="76"/>
      <c r="AA176" s="74"/>
      <c r="AB176" s="72"/>
      <c r="AC176" s="72"/>
      <c r="AD176" s="72"/>
      <c r="AE176" s="72"/>
      <c r="AF176" s="72"/>
      <c r="AG176" s="72"/>
      <c r="AH176" s="72"/>
      <c r="AI176" s="72"/>
      <c r="AJ176" s="72"/>
      <c r="AK176" s="72"/>
      <c r="AL176" s="72"/>
      <c r="AM176" s="72"/>
      <c r="AQ176" s="192"/>
    </row>
    <row r="177" spans="1:43" ht="14.25" customHeight="1" outlineLevel="1" x14ac:dyDescent="0.25">
      <c r="A177" s="500"/>
      <c r="B177" s="2016"/>
      <c r="C177" s="2017"/>
      <c r="D177" s="2017"/>
      <c r="E177" s="2017"/>
      <c r="F177" s="2017"/>
      <c r="G177" s="2017"/>
      <c r="H177" s="2017"/>
      <c r="I177" s="1743"/>
      <c r="J177" s="2026"/>
      <c r="K177" s="972"/>
      <c r="L177" s="2018"/>
      <c r="M177" s="2020"/>
      <c r="N177" s="2022"/>
      <c r="P177" s="78"/>
      <c r="S177" s="214"/>
      <c r="T177" s="214"/>
      <c r="U177" s="214"/>
      <c r="V177" s="398"/>
      <c r="W177" s="398"/>
      <c r="X177" s="398"/>
      <c r="Y177" s="398"/>
      <c r="Z177" s="74" t="e">
        <f>SUM(Z148:Z176)</f>
        <v>#REF!</v>
      </c>
      <c r="AA177" s="75"/>
      <c r="AB177" s="75"/>
      <c r="AC177" s="72"/>
      <c r="AD177" s="72"/>
      <c r="AE177" s="72"/>
      <c r="AF177" s="72"/>
      <c r="AG177" s="72"/>
      <c r="AH177" s="72"/>
      <c r="AI177" s="72"/>
      <c r="AJ177" s="72"/>
      <c r="AK177" s="72"/>
      <c r="AL177" s="72"/>
      <c r="AM177" s="72"/>
      <c r="AQ177" s="68"/>
    </row>
    <row r="178" spans="1:43" ht="14.25" customHeight="1" outlineLevel="1" x14ac:dyDescent="0.25">
      <c r="A178" s="500"/>
      <c r="B178" s="2024"/>
      <c r="C178" s="2025"/>
      <c r="D178" s="2025"/>
      <c r="E178" s="2025"/>
      <c r="F178" s="2025"/>
      <c r="G178" s="2025"/>
      <c r="H178" s="2025"/>
      <c r="I178" s="1727" t="s">
        <v>100</v>
      </c>
      <c r="J178" s="2026"/>
      <c r="K178" s="972"/>
      <c r="L178" s="2018">
        <f>J178*K178</f>
        <v>0</v>
      </c>
      <c r="M178" s="2020" t="str">
        <f>IFERROR(IF((VLOOKUP(N178,Überblick!$M$125:$N$133,2))="ja","ja","nein"),"")</f>
        <v/>
      </c>
      <c r="N178" s="2022"/>
      <c r="O178" s="72">
        <f t="shared" ref="O178" si="66">IF(AND(I178="ja",J178=""),1,0)</f>
        <v>0</v>
      </c>
      <c r="P178" s="78">
        <f t="shared" si="60"/>
        <v>0</v>
      </c>
      <c r="S178" s="214"/>
      <c r="T178" s="214"/>
      <c r="U178" s="214"/>
      <c r="V178" s="398"/>
      <c r="W178" s="398"/>
      <c r="X178" s="398"/>
      <c r="Y178" s="398"/>
      <c r="Z178" s="76"/>
      <c r="AA178" s="74"/>
      <c r="AB178" s="72"/>
      <c r="AC178" s="72"/>
      <c r="AD178" s="72"/>
      <c r="AE178" s="72"/>
      <c r="AF178" s="72"/>
      <c r="AG178" s="72"/>
      <c r="AH178" s="72"/>
      <c r="AI178" s="72"/>
      <c r="AJ178" s="72"/>
      <c r="AK178" s="72"/>
      <c r="AL178" s="72"/>
      <c r="AM178" s="72"/>
      <c r="AQ178" s="192"/>
    </row>
    <row r="179" spans="1:43" ht="14.25" customHeight="1" outlineLevel="1" x14ac:dyDescent="0.25">
      <c r="A179" s="500"/>
      <c r="B179" s="2024"/>
      <c r="C179" s="2025"/>
      <c r="D179" s="2025"/>
      <c r="E179" s="2025"/>
      <c r="F179" s="2025"/>
      <c r="G179" s="2025"/>
      <c r="H179" s="2025"/>
      <c r="I179" s="1743"/>
      <c r="J179" s="2026"/>
      <c r="K179" s="972"/>
      <c r="L179" s="2018"/>
      <c r="M179" s="2020"/>
      <c r="N179" s="2022"/>
      <c r="P179" s="78"/>
      <c r="S179" s="214"/>
      <c r="T179" s="214"/>
      <c r="U179" s="214"/>
      <c r="V179" s="398"/>
      <c r="W179" s="398"/>
      <c r="X179" s="398"/>
      <c r="Y179" s="398"/>
      <c r="Z179" s="74" t="e">
        <f>SUM(Z150:Z178)</f>
        <v>#REF!</v>
      </c>
      <c r="AA179" s="75"/>
      <c r="AB179" s="75"/>
      <c r="AC179" s="72"/>
      <c r="AD179" s="72"/>
      <c r="AE179" s="72"/>
      <c r="AF179" s="72"/>
      <c r="AG179" s="72"/>
      <c r="AH179" s="72"/>
      <c r="AI179" s="72"/>
      <c r="AJ179" s="72"/>
      <c r="AK179" s="72"/>
      <c r="AL179" s="72"/>
      <c r="AM179" s="72"/>
      <c r="AQ179" s="68"/>
    </row>
    <row r="180" spans="1:43" ht="14.25" customHeight="1" outlineLevel="1" x14ac:dyDescent="0.25">
      <c r="A180" s="501"/>
      <c r="B180" s="2024"/>
      <c r="C180" s="2025"/>
      <c r="D180" s="2025"/>
      <c r="E180" s="2025"/>
      <c r="F180" s="2025"/>
      <c r="G180" s="2025"/>
      <c r="H180" s="2025"/>
      <c r="I180" s="1726" t="s">
        <v>100</v>
      </c>
      <c r="J180" s="2026"/>
      <c r="K180" s="972"/>
      <c r="L180" s="2018">
        <f>J180*K180</f>
        <v>0</v>
      </c>
      <c r="M180" s="2020" t="str">
        <f>IFERROR(IF((VLOOKUP(N180,Überblick!$M$125:$N$133,2))="ja","ja","nein"),"")</f>
        <v/>
      </c>
      <c r="N180" s="2022"/>
      <c r="O180" s="72">
        <f t="shared" ref="O180" si="67">IF(AND(I180="ja",J180=""),1,0)</f>
        <v>0</v>
      </c>
      <c r="P180" s="78">
        <f t="shared" si="60"/>
        <v>0</v>
      </c>
      <c r="S180" s="214"/>
      <c r="T180" s="214"/>
      <c r="U180" s="214"/>
      <c r="V180" s="398"/>
      <c r="W180" s="398"/>
      <c r="X180" s="398"/>
      <c r="Y180" s="398"/>
      <c r="Z180" s="74" t="e">
        <f>IF(#REF!="ja",AA180,0)</f>
        <v>#REF!</v>
      </c>
      <c r="AA180" s="74">
        <v>7.4999999999999997E-2</v>
      </c>
      <c r="AB180" s="77"/>
      <c r="AC180" s="72"/>
      <c r="AD180" s="72"/>
      <c r="AE180" s="72"/>
      <c r="AF180" s="72"/>
      <c r="AG180" s="72"/>
      <c r="AH180" s="72"/>
      <c r="AI180" s="72"/>
      <c r="AJ180" s="72"/>
      <c r="AK180" s="72"/>
      <c r="AL180" s="72"/>
      <c r="AM180" s="72"/>
      <c r="AQ180" s="193"/>
    </row>
    <row r="181" spans="1:43" ht="14.25" customHeight="1" outlineLevel="1" thickBot="1" x14ac:dyDescent="0.3">
      <c r="A181" s="501"/>
      <c r="B181" s="2042"/>
      <c r="C181" s="2043"/>
      <c r="D181" s="2043"/>
      <c r="E181" s="2043"/>
      <c r="F181" s="2043"/>
      <c r="G181" s="2043"/>
      <c r="H181" s="2043"/>
      <c r="I181" s="1769"/>
      <c r="J181" s="2044"/>
      <c r="K181" s="976"/>
      <c r="L181" s="2045"/>
      <c r="M181" s="2046"/>
      <c r="N181" s="2047"/>
      <c r="P181" s="78"/>
      <c r="S181" s="214"/>
      <c r="T181" s="214"/>
      <c r="U181" s="214"/>
      <c r="V181" s="398"/>
      <c r="W181" s="398"/>
      <c r="X181" s="398"/>
      <c r="Y181" s="398"/>
      <c r="Z181" s="74"/>
      <c r="AA181" s="74"/>
      <c r="AB181" s="77"/>
      <c r="AC181" s="72"/>
      <c r="AD181" s="72"/>
      <c r="AE181" s="72"/>
      <c r="AF181" s="72"/>
      <c r="AG181" s="72"/>
      <c r="AH181" s="72"/>
      <c r="AI181" s="72"/>
      <c r="AJ181" s="72"/>
      <c r="AK181" s="72"/>
      <c r="AL181" s="72"/>
      <c r="AM181" s="72"/>
      <c r="AQ181" s="193"/>
    </row>
    <row r="182" spans="1:43" ht="14.25" customHeight="1" thickBot="1" x14ac:dyDescent="0.3">
      <c r="B182" s="60"/>
      <c r="C182" s="60"/>
      <c r="D182" s="60"/>
      <c r="E182" s="60"/>
      <c r="F182" s="65"/>
      <c r="G182" s="65"/>
      <c r="H182" s="65"/>
      <c r="I182" s="65"/>
      <c r="J182" s="65"/>
      <c r="K182" s="66"/>
      <c r="L182" s="424">
        <f>SUM(L168:L181)</f>
        <v>0</v>
      </c>
      <c r="M182" s="66"/>
      <c r="N182" s="66"/>
      <c r="P182" s="78"/>
      <c r="Q182" s="66"/>
      <c r="R182" s="66"/>
      <c r="S182" s="66"/>
      <c r="T182" s="66"/>
      <c r="U182" s="66"/>
      <c r="V182" s="399"/>
      <c r="W182" s="399"/>
      <c r="X182" s="399"/>
      <c r="Y182" s="72"/>
      <c r="Z182" s="72"/>
      <c r="AA182" s="72"/>
      <c r="AB182" s="72"/>
      <c r="AC182" s="72"/>
      <c r="AD182" s="72"/>
      <c r="AE182" s="72"/>
      <c r="AF182" s="72"/>
      <c r="AG182" s="72"/>
      <c r="AH182" s="72"/>
      <c r="AI182" s="72"/>
      <c r="AJ182" s="72"/>
      <c r="AK182" s="72"/>
      <c r="AL182" s="72"/>
      <c r="AM182" s="72"/>
    </row>
    <row r="183" spans="1:43" ht="14.25" customHeight="1" outlineLevel="1" x14ac:dyDescent="0.25">
      <c r="B183" s="2093" t="s">
        <v>755</v>
      </c>
      <c r="C183" s="2051"/>
      <c r="D183" s="2051"/>
      <c r="E183" s="2051"/>
      <c r="F183" s="2051"/>
      <c r="G183" s="2051"/>
      <c r="H183" s="2051"/>
      <c r="I183" s="2096" t="s">
        <v>151</v>
      </c>
      <c r="J183" s="2051" t="s">
        <v>697</v>
      </c>
      <c r="K183" s="2051" t="s">
        <v>698</v>
      </c>
      <c r="L183" s="2048" t="s">
        <v>741</v>
      </c>
      <c r="M183" s="2051" t="s">
        <v>156</v>
      </c>
      <c r="N183" s="2054" t="s">
        <v>157</v>
      </c>
      <c r="P183" s="78"/>
      <c r="Q183" s="66"/>
      <c r="R183" s="66"/>
      <c r="S183" s="66"/>
      <c r="T183" s="66"/>
      <c r="U183" s="66"/>
      <c r="V183" s="399"/>
      <c r="W183" s="399"/>
      <c r="X183" s="399"/>
      <c r="Y183" s="72"/>
      <c r="Z183" s="72"/>
      <c r="AA183" s="72"/>
      <c r="AB183" s="72"/>
      <c r="AC183" s="72"/>
      <c r="AD183" s="72"/>
      <c r="AE183" s="72"/>
      <c r="AF183" s="72"/>
      <c r="AG183" s="72"/>
      <c r="AH183" s="72"/>
      <c r="AI183" s="72"/>
      <c r="AJ183" s="72"/>
      <c r="AK183" s="72"/>
      <c r="AL183" s="72"/>
      <c r="AM183" s="72"/>
    </row>
    <row r="184" spans="1:43" ht="14.25" customHeight="1" outlineLevel="1" x14ac:dyDescent="0.25">
      <c r="B184" s="2094"/>
      <c r="C184" s="2052"/>
      <c r="D184" s="2052"/>
      <c r="E184" s="2052"/>
      <c r="F184" s="2052"/>
      <c r="G184" s="2052"/>
      <c r="H184" s="2052"/>
      <c r="I184" s="2097"/>
      <c r="J184" s="2052"/>
      <c r="K184" s="2052"/>
      <c r="L184" s="2049"/>
      <c r="M184" s="2052"/>
      <c r="N184" s="2055"/>
      <c r="P184" s="78"/>
      <c r="Q184" s="66"/>
      <c r="R184" s="66"/>
      <c r="S184" s="66"/>
      <c r="T184" s="66"/>
      <c r="U184" s="66"/>
      <c r="V184" s="399"/>
      <c r="W184" s="399"/>
      <c r="X184" s="399"/>
      <c r="Y184" s="72"/>
      <c r="Z184" s="72"/>
      <c r="AA184" s="72"/>
      <c r="AB184" s="72"/>
      <c r="AC184" s="72"/>
      <c r="AD184" s="72"/>
      <c r="AE184" s="72"/>
      <c r="AF184" s="72"/>
      <c r="AG184" s="72"/>
      <c r="AH184" s="72"/>
      <c r="AI184" s="72"/>
      <c r="AJ184" s="72"/>
      <c r="AK184" s="72"/>
      <c r="AL184" s="72"/>
      <c r="AM184" s="72"/>
    </row>
    <row r="185" spans="1:43" ht="14.25" customHeight="1" outlineLevel="1" thickBot="1" x14ac:dyDescent="0.3">
      <c r="B185" s="2095"/>
      <c r="C185" s="2053"/>
      <c r="D185" s="2053"/>
      <c r="E185" s="2053"/>
      <c r="F185" s="2053"/>
      <c r="G185" s="2053"/>
      <c r="H185" s="2053"/>
      <c r="I185" s="932"/>
      <c r="J185" s="2053"/>
      <c r="K185" s="2053"/>
      <c r="L185" s="2050"/>
      <c r="M185" s="2053"/>
      <c r="N185" s="2056"/>
      <c r="P185" s="78"/>
      <c r="Q185" s="66"/>
      <c r="R185" s="66"/>
      <c r="S185" s="66"/>
      <c r="T185" s="66"/>
      <c r="U185" s="66"/>
      <c r="V185" s="399"/>
      <c r="W185" s="399"/>
      <c r="X185" s="399"/>
      <c r="Y185" s="72"/>
      <c r="Z185" s="72"/>
      <c r="AA185" s="72"/>
      <c r="AB185" s="72"/>
      <c r="AC185" s="72"/>
      <c r="AD185" s="72"/>
      <c r="AE185" s="72"/>
      <c r="AF185" s="72"/>
      <c r="AG185" s="72"/>
      <c r="AH185" s="72"/>
      <c r="AI185" s="72"/>
      <c r="AJ185" s="72"/>
      <c r="AK185" s="72"/>
      <c r="AL185" s="72"/>
      <c r="AM185" s="72"/>
    </row>
    <row r="186" spans="1:43" ht="14.25" customHeight="1" outlineLevel="1" x14ac:dyDescent="0.25">
      <c r="B186" s="2030" t="s">
        <v>756</v>
      </c>
      <c r="C186" s="2031"/>
      <c r="D186" s="2031"/>
      <c r="E186" s="2031"/>
      <c r="F186" s="2031"/>
      <c r="G186" s="2031"/>
      <c r="H186" s="2031"/>
      <c r="I186" s="1727" t="s">
        <v>99</v>
      </c>
      <c r="J186" s="2037"/>
      <c r="K186" s="2038"/>
      <c r="L186" s="1029">
        <f>J186*K186</f>
        <v>0</v>
      </c>
      <c r="M186" s="2032" t="str">
        <f>IFERROR(IF((VLOOKUP(N186,Überblick!$M$125:$N$133,2))="ja","ja","nein"),"")</f>
        <v/>
      </c>
      <c r="N186" s="2035"/>
      <c r="O186" s="72">
        <f t="shared" ref="O186" si="68">IF(AND(I186="ja",J186=""),1,0)</f>
        <v>1</v>
      </c>
      <c r="P186" s="78">
        <f t="shared" si="60"/>
        <v>1</v>
      </c>
      <c r="Q186" s="66"/>
      <c r="R186" s="66"/>
      <c r="S186" s="66"/>
      <c r="T186" s="66"/>
      <c r="U186" s="66"/>
      <c r="V186" s="399"/>
      <c r="W186" s="399"/>
      <c r="X186" s="399"/>
      <c r="Y186" s="72"/>
      <c r="Z186" s="72"/>
      <c r="AA186" s="72"/>
      <c r="AB186" s="72"/>
      <c r="AC186" s="72"/>
      <c r="AD186" s="72"/>
      <c r="AE186" s="72"/>
      <c r="AF186" s="72"/>
      <c r="AG186" s="72"/>
      <c r="AH186" s="72"/>
      <c r="AI186" s="72"/>
      <c r="AJ186" s="72"/>
      <c r="AK186" s="72"/>
      <c r="AL186" s="72"/>
      <c r="AM186" s="72"/>
    </row>
    <row r="187" spans="1:43" ht="14.25" customHeight="1" outlineLevel="1" x14ac:dyDescent="0.25">
      <c r="B187" s="2024"/>
      <c r="C187" s="2025"/>
      <c r="D187" s="2025"/>
      <c r="E187" s="2025"/>
      <c r="F187" s="2025"/>
      <c r="G187" s="2025"/>
      <c r="H187" s="2025"/>
      <c r="I187" s="1727"/>
      <c r="J187" s="2037"/>
      <c r="K187" s="2038"/>
      <c r="L187" s="1029"/>
      <c r="M187" s="2032"/>
      <c r="N187" s="2035"/>
      <c r="P187" s="78"/>
      <c r="Q187" s="66"/>
      <c r="R187" s="66"/>
      <c r="S187" s="66"/>
      <c r="T187" s="66"/>
      <c r="U187" s="66"/>
      <c r="V187" s="399"/>
      <c r="W187" s="399"/>
      <c r="X187" s="399"/>
      <c r="Y187" s="72"/>
      <c r="Z187" s="72"/>
      <c r="AA187" s="72"/>
      <c r="AB187" s="72"/>
      <c r="AC187" s="72"/>
      <c r="AD187" s="72"/>
      <c r="AE187" s="72"/>
      <c r="AF187" s="72"/>
      <c r="AG187" s="72"/>
      <c r="AH187" s="72"/>
      <c r="AI187" s="72"/>
      <c r="AJ187" s="72"/>
      <c r="AK187" s="72"/>
      <c r="AL187" s="72"/>
      <c r="AM187" s="72"/>
    </row>
    <row r="188" spans="1:43" ht="14.25" customHeight="1" outlineLevel="1" x14ac:dyDescent="0.25">
      <c r="B188" s="2024"/>
      <c r="C188" s="2025"/>
      <c r="D188" s="2025"/>
      <c r="E188" s="2025"/>
      <c r="F188" s="2025"/>
      <c r="G188" s="2025"/>
      <c r="H188" s="2025"/>
      <c r="I188" s="1743"/>
      <c r="J188" s="2034"/>
      <c r="K188" s="1619"/>
      <c r="L188" s="2057"/>
      <c r="M188" s="2033"/>
      <c r="N188" s="2036"/>
      <c r="P188" s="78"/>
      <c r="Q188" s="66"/>
      <c r="R188" s="66"/>
      <c r="S188" s="66"/>
      <c r="T188" s="66"/>
      <c r="U188" s="66"/>
      <c r="V188" s="399"/>
      <c r="W188" s="399"/>
      <c r="X188" s="399"/>
      <c r="Y188" s="72"/>
      <c r="Z188" s="72"/>
      <c r="AA188" s="72"/>
      <c r="AB188" s="72"/>
      <c r="AC188" s="72"/>
      <c r="AD188" s="72"/>
      <c r="AE188" s="72"/>
      <c r="AF188" s="72"/>
      <c r="AG188" s="72"/>
      <c r="AH188" s="72"/>
      <c r="AI188" s="72"/>
      <c r="AJ188" s="72"/>
      <c r="AK188" s="72"/>
      <c r="AL188" s="72"/>
      <c r="AM188" s="72"/>
    </row>
    <row r="189" spans="1:43" ht="14.25" customHeight="1" outlineLevel="1" x14ac:dyDescent="0.25">
      <c r="B189" s="2024" t="s">
        <v>757</v>
      </c>
      <c r="C189" s="2025"/>
      <c r="D189" s="2025"/>
      <c r="E189" s="2025"/>
      <c r="F189" s="2025"/>
      <c r="G189" s="2025"/>
      <c r="H189" s="2025"/>
      <c r="I189" s="1727" t="s">
        <v>99</v>
      </c>
      <c r="J189" s="2029"/>
      <c r="K189" s="974"/>
      <c r="L189" s="2018">
        <f t="shared" ref="L189" si="69">J189*K189</f>
        <v>0</v>
      </c>
      <c r="M189" s="2020" t="str">
        <f>IFERROR(IF((VLOOKUP(N189,Überblick!$M$125:$N$133,2))="ja","ja","nein"),"")</f>
        <v/>
      </c>
      <c r="N189" s="2022"/>
      <c r="O189" s="72">
        <f t="shared" ref="O189:O195" si="70">IF(AND(I189="ja",J189=""),1,0)</f>
        <v>1</v>
      </c>
      <c r="P189" s="78">
        <f t="shared" si="60"/>
        <v>1</v>
      </c>
      <c r="Q189" s="66"/>
      <c r="R189" s="66"/>
      <c r="S189" s="66"/>
      <c r="T189" s="66"/>
      <c r="U189" s="66"/>
      <c r="V189" s="399"/>
      <c r="W189" s="399"/>
      <c r="X189" s="399"/>
      <c r="Y189" s="72"/>
      <c r="Z189" s="72"/>
      <c r="AA189" s="72"/>
      <c r="AB189" s="72"/>
      <c r="AC189" s="72"/>
      <c r="AD189" s="72"/>
      <c r="AE189" s="72"/>
      <c r="AF189" s="72"/>
      <c r="AG189" s="72"/>
      <c r="AH189" s="72"/>
      <c r="AI189" s="72"/>
      <c r="AJ189" s="72"/>
      <c r="AK189" s="72"/>
      <c r="AL189" s="72"/>
      <c r="AM189" s="72"/>
    </row>
    <row r="190" spans="1:43" ht="14.25" customHeight="1" outlineLevel="1" x14ac:dyDescent="0.25">
      <c r="B190" s="2024"/>
      <c r="C190" s="2025"/>
      <c r="D190" s="2025"/>
      <c r="E190" s="2025"/>
      <c r="F190" s="2025"/>
      <c r="G190" s="2025"/>
      <c r="H190" s="2025"/>
      <c r="I190" s="1743"/>
      <c r="J190" s="2034"/>
      <c r="K190" s="1619"/>
      <c r="L190" s="2018"/>
      <c r="M190" s="2020"/>
      <c r="N190" s="2022"/>
      <c r="P190" s="78"/>
      <c r="Q190" s="66"/>
      <c r="R190" s="66"/>
      <c r="S190" s="66"/>
      <c r="T190" s="66"/>
      <c r="U190" s="66"/>
      <c r="V190" s="399"/>
      <c r="W190" s="399"/>
      <c r="X190" s="399"/>
      <c r="Y190" s="72"/>
      <c r="Z190" s="72"/>
      <c r="AA190" s="72"/>
      <c r="AB190" s="72"/>
      <c r="AC190" s="72"/>
      <c r="AD190" s="72"/>
      <c r="AE190" s="72"/>
      <c r="AF190" s="72"/>
      <c r="AG190" s="72"/>
      <c r="AH190" s="72"/>
      <c r="AI190" s="72"/>
      <c r="AJ190" s="72"/>
      <c r="AK190" s="72"/>
      <c r="AL190" s="72"/>
      <c r="AM190" s="72"/>
    </row>
    <row r="191" spans="1:43" ht="14.25" customHeight="1" outlineLevel="1" x14ac:dyDescent="0.25">
      <c r="B191" s="2024" t="s">
        <v>758</v>
      </c>
      <c r="C191" s="2025"/>
      <c r="D191" s="2025"/>
      <c r="E191" s="2025"/>
      <c r="F191" s="2025"/>
      <c r="G191" s="2025"/>
      <c r="H191" s="2025"/>
      <c r="I191" s="1727" t="s">
        <v>100</v>
      </c>
      <c r="J191" s="2029"/>
      <c r="K191" s="974"/>
      <c r="L191" s="2018">
        <f t="shared" ref="L191" si="71">J191*K191</f>
        <v>0</v>
      </c>
      <c r="M191" s="2020" t="str">
        <f>IFERROR(IF((VLOOKUP(N191,Überblick!$M$125:$N$133,2))="ja","ja","nein"),"")</f>
        <v/>
      </c>
      <c r="N191" s="2022"/>
      <c r="O191" s="72">
        <f t="shared" si="70"/>
        <v>0</v>
      </c>
      <c r="P191" s="78">
        <f t="shared" si="60"/>
        <v>0</v>
      </c>
      <c r="Q191" s="66"/>
      <c r="R191" s="66"/>
      <c r="S191" s="66"/>
      <c r="T191" s="66"/>
      <c r="U191" s="66"/>
      <c r="V191" s="399"/>
      <c r="W191" s="399"/>
      <c r="X191" s="399"/>
      <c r="Y191" s="72"/>
      <c r="Z191" s="72"/>
      <c r="AA191" s="72"/>
      <c r="AB191" s="72"/>
      <c r="AC191" s="72"/>
      <c r="AD191" s="72"/>
      <c r="AE191" s="72"/>
      <c r="AF191" s="72"/>
      <c r="AG191" s="72"/>
      <c r="AH191" s="72"/>
      <c r="AI191" s="72"/>
      <c r="AJ191" s="72"/>
      <c r="AK191" s="72"/>
      <c r="AL191" s="72"/>
      <c r="AM191" s="72"/>
    </row>
    <row r="192" spans="1:43" ht="14.25" customHeight="1" outlineLevel="1" x14ac:dyDescent="0.25">
      <c r="B192" s="2024"/>
      <c r="C192" s="2025"/>
      <c r="D192" s="2025"/>
      <c r="E192" s="2025"/>
      <c r="F192" s="2025"/>
      <c r="G192" s="2025"/>
      <c r="H192" s="2025"/>
      <c r="I192" s="1743"/>
      <c r="J192" s="2034"/>
      <c r="K192" s="1619"/>
      <c r="L192" s="2018"/>
      <c r="M192" s="2020"/>
      <c r="N192" s="2022"/>
      <c r="P192" s="78"/>
      <c r="Q192" s="66"/>
      <c r="R192" s="66"/>
      <c r="S192" s="66"/>
      <c r="T192" s="66"/>
      <c r="U192" s="66"/>
      <c r="V192" s="399"/>
      <c r="W192" s="399"/>
      <c r="X192" s="399"/>
      <c r="Y192" s="72"/>
      <c r="Z192" s="72"/>
      <c r="AA192" s="72"/>
      <c r="AB192" s="72"/>
      <c r="AC192" s="72"/>
      <c r="AD192" s="72"/>
      <c r="AE192" s="72"/>
      <c r="AF192" s="72"/>
      <c r="AG192" s="72"/>
      <c r="AH192" s="72"/>
      <c r="AI192" s="72"/>
      <c r="AJ192" s="72"/>
      <c r="AK192" s="72"/>
      <c r="AL192" s="72"/>
      <c r="AM192" s="72"/>
    </row>
    <row r="193" spans="2:39" ht="14.25" customHeight="1" outlineLevel="1" x14ac:dyDescent="0.25">
      <c r="B193" s="2024" t="s">
        <v>759</v>
      </c>
      <c r="C193" s="2025"/>
      <c r="D193" s="2025"/>
      <c r="E193" s="2025"/>
      <c r="F193" s="2025"/>
      <c r="G193" s="2025"/>
      <c r="H193" s="2025"/>
      <c r="I193" s="1727" t="s">
        <v>100</v>
      </c>
      <c r="J193" s="2029"/>
      <c r="K193" s="974"/>
      <c r="L193" s="2018">
        <f t="shared" ref="L193" si="72">J193*K193</f>
        <v>0</v>
      </c>
      <c r="M193" s="2020" t="str">
        <f>IFERROR(IF((VLOOKUP(N193,Überblick!$M$125:$N$133,2))="ja","ja","nein"),"")</f>
        <v/>
      </c>
      <c r="N193" s="2022"/>
      <c r="O193" s="72">
        <f t="shared" si="70"/>
        <v>0</v>
      </c>
      <c r="P193" s="78">
        <f t="shared" si="60"/>
        <v>0</v>
      </c>
      <c r="Q193" s="66"/>
      <c r="R193" s="66"/>
      <c r="S193" s="66"/>
      <c r="T193" s="66"/>
      <c r="U193" s="66"/>
      <c r="V193" s="399"/>
      <c r="W193" s="399"/>
      <c r="X193" s="399"/>
      <c r="Y193" s="72"/>
      <c r="Z193" s="72"/>
      <c r="AA193" s="72"/>
      <c r="AB193" s="72"/>
      <c r="AC193" s="72"/>
      <c r="AD193" s="72"/>
      <c r="AE193" s="72"/>
      <c r="AF193" s="72"/>
      <c r="AG193" s="72"/>
      <c r="AH193" s="72"/>
      <c r="AI193" s="72"/>
      <c r="AJ193" s="72"/>
      <c r="AK193" s="72"/>
      <c r="AL193" s="72"/>
      <c r="AM193" s="72"/>
    </row>
    <row r="194" spans="2:39" ht="14.25" customHeight="1" outlineLevel="1" x14ac:dyDescent="0.25">
      <c r="B194" s="2024"/>
      <c r="C194" s="2025"/>
      <c r="D194" s="2025"/>
      <c r="E194" s="2025"/>
      <c r="F194" s="2025"/>
      <c r="G194" s="2025"/>
      <c r="H194" s="2025"/>
      <c r="I194" s="1743"/>
      <c r="J194" s="2034"/>
      <c r="K194" s="1619"/>
      <c r="L194" s="2018"/>
      <c r="M194" s="2020"/>
      <c r="N194" s="2022"/>
      <c r="P194" s="78"/>
      <c r="Q194" s="66"/>
      <c r="R194" s="66"/>
      <c r="S194" s="66"/>
      <c r="T194" s="66"/>
      <c r="U194" s="66"/>
      <c r="V194" s="399"/>
      <c r="W194" s="399"/>
      <c r="X194" s="399"/>
      <c r="Y194" s="72"/>
      <c r="Z194" s="72"/>
      <c r="AA194" s="72"/>
      <c r="AB194" s="72"/>
      <c r="AC194" s="72"/>
      <c r="AD194" s="72"/>
      <c r="AE194" s="72"/>
      <c r="AF194" s="72"/>
      <c r="AG194" s="72"/>
      <c r="AH194" s="72"/>
      <c r="AI194" s="72"/>
      <c r="AJ194" s="72"/>
      <c r="AK194" s="72"/>
      <c r="AL194" s="72"/>
      <c r="AM194" s="72"/>
    </row>
    <row r="195" spans="2:39" ht="14.25" customHeight="1" outlineLevel="1" x14ac:dyDescent="0.25">
      <c r="B195" s="2024" t="s">
        <v>760</v>
      </c>
      <c r="C195" s="2025"/>
      <c r="D195" s="2025"/>
      <c r="E195" s="2025"/>
      <c r="F195" s="2025"/>
      <c r="G195" s="2025"/>
      <c r="H195" s="2025"/>
      <c r="I195" s="1775" t="s">
        <v>99</v>
      </c>
      <c r="J195" s="2029"/>
      <c r="K195" s="974"/>
      <c r="L195" s="2018">
        <f t="shared" ref="L195" si="73">J195*K195</f>
        <v>0</v>
      </c>
      <c r="M195" s="2020" t="str">
        <f>IFERROR(IF((VLOOKUP(N195,Überblick!$M$125:$N$133,2))="ja","ja","nein"),"")</f>
        <v/>
      </c>
      <c r="N195" s="2022"/>
      <c r="O195" s="72">
        <f t="shared" si="70"/>
        <v>1</v>
      </c>
      <c r="P195" s="78">
        <f t="shared" si="60"/>
        <v>1</v>
      </c>
      <c r="Q195" s="66"/>
      <c r="R195" s="66"/>
      <c r="S195" s="66"/>
      <c r="T195" s="66"/>
      <c r="U195" s="66"/>
      <c r="V195" s="399"/>
      <c r="W195" s="399"/>
      <c r="X195" s="399"/>
      <c r="Y195" s="72"/>
      <c r="Z195" s="72"/>
      <c r="AA195" s="72"/>
      <c r="AB195" s="72"/>
      <c r="AC195" s="72"/>
      <c r="AD195" s="72"/>
      <c r="AE195" s="72"/>
      <c r="AF195" s="72"/>
      <c r="AG195" s="72"/>
      <c r="AH195" s="72"/>
      <c r="AI195" s="72"/>
      <c r="AJ195" s="72"/>
      <c r="AK195" s="72"/>
      <c r="AL195" s="72"/>
      <c r="AM195" s="72"/>
    </row>
    <row r="196" spans="2:39" ht="14.25" customHeight="1" outlineLevel="1" x14ac:dyDescent="0.25">
      <c r="B196" s="2024"/>
      <c r="C196" s="2025"/>
      <c r="D196" s="2025"/>
      <c r="E196" s="2025"/>
      <c r="F196" s="2025"/>
      <c r="G196" s="2025"/>
      <c r="H196" s="2025"/>
      <c r="I196" s="1775"/>
      <c r="J196" s="2037"/>
      <c r="K196" s="2038"/>
      <c r="L196" s="2018"/>
      <c r="M196" s="2020"/>
      <c r="N196" s="2022"/>
      <c r="P196" s="78"/>
      <c r="Q196" s="66"/>
      <c r="R196" s="66"/>
      <c r="S196" s="66"/>
      <c r="T196" s="66"/>
      <c r="U196" s="66"/>
      <c r="V196" s="399"/>
      <c r="W196" s="399"/>
      <c r="X196" s="399"/>
      <c r="Y196" s="72"/>
      <c r="Z196" s="72"/>
      <c r="AA196" s="72"/>
      <c r="AB196" s="72"/>
      <c r="AC196" s="72"/>
      <c r="AD196" s="72"/>
      <c r="AE196" s="72"/>
      <c r="AF196" s="72"/>
      <c r="AG196" s="72"/>
      <c r="AH196" s="72"/>
      <c r="AI196" s="72"/>
      <c r="AJ196" s="72"/>
      <c r="AK196" s="72"/>
      <c r="AL196" s="72"/>
      <c r="AM196" s="72"/>
    </row>
    <row r="197" spans="2:39" ht="14.25" customHeight="1" outlineLevel="1" x14ac:dyDescent="0.25">
      <c r="B197" s="2024"/>
      <c r="C197" s="2025"/>
      <c r="D197" s="2025"/>
      <c r="E197" s="2025"/>
      <c r="F197" s="2025"/>
      <c r="G197" s="2025"/>
      <c r="H197" s="2025"/>
      <c r="I197" s="1775"/>
      <c r="J197" s="2037"/>
      <c r="K197" s="2038"/>
      <c r="L197" s="2018"/>
      <c r="M197" s="2020"/>
      <c r="N197" s="2022"/>
      <c r="P197" s="78"/>
      <c r="Q197" s="66"/>
      <c r="R197" s="66"/>
      <c r="S197" s="66"/>
      <c r="T197" s="66"/>
      <c r="U197" s="66"/>
      <c r="V197" s="399"/>
      <c r="W197" s="399"/>
      <c r="X197" s="399"/>
      <c r="Y197" s="72"/>
      <c r="Z197" s="72"/>
      <c r="AA197" s="72"/>
      <c r="AB197" s="72"/>
      <c r="AC197" s="72"/>
      <c r="AD197" s="72"/>
      <c r="AE197" s="72"/>
      <c r="AF197" s="72"/>
      <c r="AG197" s="72"/>
      <c r="AH197" s="72"/>
      <c r="AI197" s="72"/>
      <c r="AJ197" s="72"/>
      <c r="AK197" s="72"/>
      <c r="AL197" s="72"/>
      <c r="AM197" s="72"/>
    </row>
    <row r="198" spans="2:39" ht="14.25" customHeight="1" outlineLevel="1" x14ac:dyDescent="0.25">
      <c r="B198" s="2024"/>
      <c r="C198" s="2025"/>
      <c r="D198" s="2025"/>
      <c r="E198" s="2025"/>
      <c r="F198" s="2025"/>
      <c r="G198" s="2025"/>
      <c r="H198" s="2025"/>
      <c r="I198" s="1775"/>
      <c r="J198" s="2037"/>
      <c r="K198" s="2038"/>
      <c r="L198" s="2018"/>
      <c r="M198" s="2020"/>
      <c r="N198" s="2022"/>
      <c r="P198" s="78"/>
      <c r="Q198" s="66"/>
      <c r="R198" s="66"/>
      <c r="S198" s="66"/>
      <c r="T198" s="66"/>
      <c r="U198" s="66"/>
      <c r="V198" s="399"/>
      <c r="W198" s="399"/>
      <c r="X198" s="399"/>
      <c r="Y198" s="72"/>
      <c r="Z198" s="72"/>
      <c r="AA198" s="72"/>
      <c r="AB198" s="72"/>
      <c r="AC198" s="72"/>
      <c r="AD198" s="72"/>
      <c r="AE198" s="72"/>
      <c r="AF198" s="72"/>
      <c r="AG198" s="72"/>
      <c r="AH198" s="72"/>
      <c r="AI198" s="72"/>
      <c r="AJ198" s="72"/>
      <c r="AK198" s="72"/>
      <c r="AL198" s="72"/>
      <c r="AM198" s="72"/>
    </row>
    <row r="199" spans="2:39" ht="14.25" customHeight="1" outlineLevel="1" x14ac:dyDescent="0.25">
      <c r="B199" s="2024"/>
      <c r="C199" s="2025"/>
      <c r="D199" s="2025"/>
      <c r="E199" s="2025"/>
      <c r="F199" s="2025"/>
      <c r="G199" s="2025"/>
      <c r="H199" s="2025"/>
      <c r="I199" s="1775"/>
      <c r="J199" s="2034"/>
      <c r="K199" s="1619"/>
      <c r="L199" s="2018"/>
      <c r="M199" s="2020"/>
      <c r="N199" s="2022"/>
      <c r="P199" s="78"/>
      <c r="Q199" s="66"/>
      <c r="R199" s="66"/>
      <c r="S199" s="66"/>
      <c r="T199" s="66"/>
      <c r="U199" s="66"/>
      <c r="V199" s="399"/>
      <c r="W199" s="399"/>
      <c r="X199" s="399"/>
      <c r="Y199" s="72"/>
      <c r="Z199" s="72"/>
      <c r="AA199" s="72"/>
      <c r="AB199" s="72"/>
      <c r="AC199" s="72"/>
      <c r="AD199" s="72"/>
      <c r="AE199" s="72"/>
      <c r="AF199" s="72"/>
      <c r="AG199" s="72"/>
      <c r="AH199" s="72"/>
      <c r="AI199" s="72"/>
      <c r="AJ199" s="72"/>
      <c r="AK199" s="72"/>
      <c r="AL199" s="72"/>
      <c r="AM199" s="72"/>
    </row>
    <row r="200" spans="2:39" ht="14.25" customHeight="1" outlineLevel="1" x14ac:dyDescent="0.25">
      <c r="B200" s="2024" t="s">
        <v>761</v>
      </c>
      <c r="C200" s="2025"/>
      <c r="D200" s="2025"/>
      <c r="E200" s="2025"/>
      <c r="F200" s="2025"/>
      <c r="G200" s="2025"/>
      <c r="H200" s="2025"/>
      <c r="I200" s="1775" t="s">
        <v>99</v>
      </c>
      <c r="J200" s="2029"/>
      <c r="K200" s="974"/>
      <c r="L200" s="2018">
        <f t="shared" ref="L200" si="74">J200*K200</f>
        <v>0</v>
      </c>
      <c r="M200" s="2032" t="str">
        <f>IFERROR(IF((VLOOKUP(N200,Überblick!$M$125:$N$133,2))="ja","ja","nein"),"")</f>
        <v/>
      </c>
      <c r="N200" s="2022"/>
      <c r="O200" s="72">
        <f t="shared" ref="O200" si="75">IF(AND(I200="ja",J200=""),1,0)</f>
        <v>1</v>
      </c>
      <c r="P200" s="78">
        <f t="shared" si="60"/>
        <v>1</v>
      </c>
      <c r="Q200" s="66"/>
      <c r="R200" s="66"/>
      <c r="S200" s="66"/>
      <c r="T200" s="66"/>
      <c r="U200" s="66"/>
      <c r="V200" s="399"/>
      <c r="W200" s="399"/>
      <c r="X200" s="399"/>
      <c r="Y200" s="72"/>
      <c r="Z200" s="72"/>
      <c r="AA200" s="72"/>
      <c r="AB200" s="72"/>
      <c r="AC200" s="72"/>
      <c r="AD200" s="72"/>
      <c r="AE200" s="72"/>
      <c r="AF200" s="72"/>
      <c r="AG200" s="72"/>
      <c r="AH200" s="72"/>
      <c r="AI200" s="72"/>
      <c r="AJ200" s="72"/>
      <c r="AK200" s="72"/>
      <c r="AL200" s="72"/>
      <c r="AM200" s="72"/>
    </row>
    <row r="201" spans="2:39" ht="14.25" customHeight="1" outlineLevel="1" x14ac:dyDescent="0.25">
      <c r="B201" s="2024"/>
      <c r="C201" s="2025"/>
      <c r="D201" s="2025"/>
      <c r="E201" s="2025"/>
      <c r="F201" s="2025"/>
      <c r="G201" s="2025"/>
      <c r="H201" s="2025"/>
      <c r="I201" s="1775"/>
      <c r="J201" s="2037"/>
      <c r="K201" s="2038"/>
      <c r="L201" s="2018"/>
      <c r="M201" s="2032"/>
      <c r="N201" s="2022"/>
      <c r="P201" s="78"/>
      <c r="Q201" s="66"/>
      <c r="R201" s="66"/>
      <c r="S201" s="66"/>
      <c r="T201" s="66"/>
      <c r="U201" s="66"/>
      <c r="V201" s="399"/>
      <c r="W201" s="399"/>
      <c r="X201" s="399"/>
      <c r="Y201" s="72"/>
      <c r="Z201" s="72"/>
      <c r="AA201" s="72"/>
      <c r="AB201" s="72"/>
      <c r="AC201" s="72"/>
      <c r="AD201" s="72"/>
      <c r="AE201" s="72"/>
      <c r="AF201" s="72"/>
      <c r="AG201" s="72"/>
      <c r="AH201" s="72"/>
      <c r="AI201" s="72"/>
      <c r="AJ201" s="72"/>
      <c r="AK201" s="72"/>
      <c r="AL201" s="72"/>
      <c r="AM201" s="72"/>
    </row>
    <row r="202" spans="2:39" ht="14.25" customHeight="1" outlineLevel="1" x14ac:dyDescent="0.25">
      <c r="B202" s="2024"/>
      <c r="C202" s="2025"/>
      <c r="D202" s="2025"/>
      <c r="E202" s="2025"/>
      <c r="F202" s="2025"/>
      <c r="G202" s="2025"/>
      <c r="H202" s="2025"/>
      <c r="I202" s="1775"/>
      <c r="J202" s="2034"/>
      <c r="K202" s="1619"/>
      <c r="L202" s="2018"/>
      <c r="M202" s="2033"/>
      <c r="N202" s="2022"/>
      <c r="P202" s="78"/>
      <c r="Q202" s="66"/>
      <c r="R202" s="66"/>
      <c r="S202" s="66"/>
      <c r="T202" s="66"/>
      <c r="U202" s="66"/>
      <c r="V202" s="399"/>
      <c r="W202" s="399"/>
      <c r="X202" s="399"/>
      <c r="Y202" s="72"/>
      <c r="Z202" s="72"/>
      <c r="AA202" s="72"/>
      <c r="AB202" s="72"/>
      <c r="AC202" s="72"/>
      <c r="AD202" s="72"/>
      <c r="AE202" s="72"/>
      <c r="AF202" s="72"/>
      <c r="AG202" s="72"/>
      <c r="AH202" s="72"/>
      <c r="AI202" s="72"/>
      <c r="AJ202" s="72"/>
      <c r="AK202" s="72"/>
      <c r="AL202" s="72"/>
      <c r="AM202" s="72"/>
    </row>
    <row r="203" spans="2:39" ht="14.25" customHeight="1" outlineLevel="1" x14ac:dyDescent="0.25">
      <c r="B203" s="2024" t="s">
        <v>762</v>
      </c>
      <c r="C203" s="2025"/>
      <c r="D203" s="2025"/>
      <c r="E203" s="2025"/>
      <c r="F203" s="2025"/>
      <c r="G203" s="2025"/>
      <c r="H203" s="2025"/>
      <c r="I203" s="1727" t="s">
        <v>99</v>
      </c>
      <c r="J203" s="2029"/>
      <c r="K203" s="974"/>
      <c r="L203" s="2018">
        <f t="shared" ref="L203" si="76">J203*K203</f>
        <v>0</v>
      </c>
      <c r="M203" s="2020" t="str">
        <f>IFERROR(IF((VLOOKUP(N203,Überblick!$M$125:$N$133,2))="ja","ja","nein"),"")</f>
        <v/>
      </c>
      <c r="N203" s="2022"/>
      <c r="O203" s="72">
        <f t="shared" ref="O203:O207" si="77">IF(AND(I203="ja",J203=""),1,0)</f>
        <v>1</v>
      </c>
      <c r="P203" s="78">
        <f t="shared" ref="P203:P264" si="78">IF(I203="ja",1,0)</f>
        <v>1</v>
      </c>
      <c r="Q203" s="66"/>
      <c r="R203" s="66"/>
      <c r="S203" s="66"/>
      <c r="T203" s="66"/>
      <c r="U203" s="66"/>
      <c r="V203" s="399"/>
      <c r="W203" s="399"/>
      <c r="X203" s="399"/>
      <c r="Y203" s="72"/>
      <c r="Z203" s="72"/>
      <c r="AA203" s="72"/>
      <c r="AB203" s="72"/>
      <c r="AC203" s="72"/>
      <c r="AD203" s="72"/>
      <c r="AE203" s="72"/>
      <c r="AF203" s="72"/>
      <c r="AG203" s="72"/>
      <c r="AH203" s="72"/>
      <c r="AI203" s="72"/>
      <c r="AJ203" s="72"/>
      <c r="AK203" s="72"/>
      <c r="AL203" s="72"/>
      <c r="AM203" s="72"/>
    </row>
    <row r="204" spans="2:39" ht="14.25" customHeight="1" outlineLevel="1" x14ac:dyDescent="0.25">
      <c r="B204" s="2024"/>
      <c r="C204" s="2025"/>
      <c r="D204" s="2025"/>
      <c r="E204" s="2025"/>
      <c r="F204" s="2025"/>
      <c r="G204" s="2025"/>
      <c r="H204" s="2025"/>
      <c r="I204" s="1743"/>
      <c r="J204" s="2034"/>
      <c r="K204" s="1619"/>
      <c r="L204" s="2018"/>
      <c r="M204" s="2020"/>
      <c r="N204" s="2022"/>
      <c r="P204" s="78"/>
      <c r="Q204" s="66"/>
      <c r="R204" s="66"/>
      <c r="S204" s="66"/>
      <c r="T204" s="66"/>
      <c r="U204" s="66"/>
      <c r="V204" s="399"/>
      <c r="W204" s="399"/>
      <c r="X204" s="399"/>
      <c r="Y204" s="72"/>
      <c r="Z204" s="72"/>
      <c r="AA204" s="72"/>
      <c r="AB204" s="72"/>
      <c r="AC204" s="72"/>
      <c r="AD204" s="72"/>
      <c r="AE204" s="72"/>
      <c r="AF204" s="72"/>
      <c r="AG204" s="72"/>
      <c r="AH204" s="72"/>
      <c r="AI204" s="72"/>
      <c r="AJ204" s="72"/>
      <c r="AK204" s="72"/>
      <c r="AL204" s="72"/>
      <c r="AM204" s="72"/>
    </row>
    <row r="205" spans="2:39" ht="14.25" customHeight="1" outlineLevel="1" x14ac:dyDescent="0.25">
      <c r="B205" s="2024" t="s">
        <v>763</v>
      </c>
      <c r="C205" s="2025"/>
      <c r="D205" s="2025"/>
      <c r="E205" s="2025"/>
      <c r="F205" s="2025"/>
      <c r="G205" s="2025"/>
      <c r="H205" s="2025"/>
      <c r="I205" s="1727" t="s">
        <v>99</v>
      </c>
      <c r="J205" s="2029"/>
      <c r="K205" s="974"/>
      <c r="L205" s="2018">
        <f t="shared" ref="L205" si="79">J205*K205</f>
        <v>0</v>
      </c>
      <c r="M205" s="2020" t="str">
        <f>IFERROR(IF((VLOOKUP(N205,Überblick!$M$125:$N$133,2))="ja","ja","nein"),"")</f>
        <v/>
      </c>
      <c r="N205" s="2022"/>
      <c r="O205" s="72">
        <f t="shared" si="77"/>
        <v>1</v>
      </c>
      <c r="P205" s="78">
        <f t="shared" si="78"/>
        <v>1</v>
      </c>
      <c r="Q205" s="66"/>
      <c r="R205" s="66"/>
      <c r="S205" s="66"/>
      <c r="T205" s="66"/>
      <c r="U205" s="66"/>
      <c r="V205" s="399"/>
      <c r="W205" s="399"/>
      <c r="X205" s="399"/>
      <c r="Y205" s="72"/>
      <c r="Z205" s="72"/>
      <c r="AA205" s="72"/>
      <c r="AB205" s="72"/>
      <c r="AC205" s="72"/>
      <c r="AD205" s="72"/>
      <c r="AE205" s="72"/>
      <c r="AF205" s="72"/>
      <c r="AG205" s="72"/>
      <c r="AH205" s="72"/>
      <c r="AI205" s="72"/>
      <c r="AJ205" s="72"/>
      <c r="AK205" s="72"/>
      <c r="AL205" s="72"/>
      <c r="AM205" s="72"/>
    </row>
    <row r="206" spans="2:39" ht="14.25" customHeight="1" outlineLevel="1" x14ac:dyDescent="0.25">
      <c r="B206" s="2024"/>
      <c r="C206" s="2025"/>
      <c r="D206" s="2025"/>
      <c r="E206" s="2025"/>
      <c r="F206" s="2025"/>
      <c r="G206" s="2025"/>
      <c r="H206" s="2025"/>
      <c r="I206" s="1743"/>
      <c r="J206" s="2034"/>
      <c r="K206" s="1619"/>
      <c r="L206" s="2018"/>
      <c r="M206" s="2020"/>
      <c r="N206" s="2022"/>
      <c r="P206" s="78"/>
      <c r="Q206" s="66"/>
      <c r="R206" s="66"/>
      <c r="S206" s="66"/>
      <c r="T206" s="66"/>
      <c r="U206" s="66"/>
      <c r="V206" s="399"/>
      <c r="W206" s="399"/>
      <c r="X206" s="399"/>
      <c r="Y206" s="72"/>
      <c r="Z206" s="72"/>
      <c r="AA206" s="72"/>
      <c r="AB206" s="72"/>
      <c r="AC206" s="72"/>
      <c r="AD206" s="72"/>
      <c r="AE206" s="72"/>
      <c r="AF206" s="72"/>
      <c r="AG206" s="72"/>
      <c r="AH206" s="72"/>
      <c r="AI206" s="72"/>
      <c r="AJ206" s="72"/>
      <c r="AK206" s="72"/>
      <c r="AL206" s="72"/>
      <c r="AM206" s="72"/>
    </row>
    <row r="207" spans="2:39" ht="14.25" customHeight="1" outlineLevel="1" x14ac:dyDescent="0.25">
      <c r="B207" s="2024" t="s">
        <v>764</v>
      </c>
      <c r="C207" s="2025"/>
      <c r="D207" s="2025"/>
      <c r="E207" s="2025"/>
      <c r="F207" s="2025"/>
      <c r="G207" s="2025"/>
      <c r="H207" s="2025"/>
      <c r="I207" s="1775" t="s">
        <v>99</v>
      </c>
      <c r="J207" s="2026"/>
      <c r="K207" s="972"/>
      <c r="L207" s="2018">
        <f t="shared" ref="L207" si="80">J207*K207</f>
        <v>0</v>
      </c>
      <c r="M207" s="2032" t="str">
        <f>IFERROR(IF((VLOOKUP(N207,Überblick!$M$125:$N$133,2))="ja","ja","nein"),"")</f>
        <v/>
      </c>
      <c r="N207" s="2022"/>
      <c r="O207" s="72">
        <f t="shared" si="77"/>
        <v>1</v>
      </c>
      <c r="P207" s="78">
        <f t="shared" si="78"/>
        <v>1</v>
      </c>
      <c r="Q207" s="66"/>
      <c r="R207" s="66"/>
      <c r="S207" s="66"/>
      <c r="T207" s="66"/>
      <c r="U207" s="66"/>
      <c r="V207" s="399"/>
      <c r="W207" s="399"/>
      <c r="X207" s="399"/>
      <c r="Y207" s="72"/>
      <c r="Z207" s="72"/>
      <c r="AA207" s="72"/>
      <c r="AB207" s="72"/>
      <c r="AC207" s="72"/>
      <c r="AD207" s="72"/>
      <c r="AE207" s="72"/>
      <c r="AF207" s="72"/>
      <c r="AG207" s="72"/>
      <c r="AH207" s="72"/>
      <c r="AI207" s="72"/>
      <c r="AJ207" s="72"/>
      <c r="AK207" s="72"/>
      <c r="AL207" s="72"/>
      <c r="AM207" s="72"/>
    </row>
    <row r="208" spans="2:39" ht="14.25" customHeight="1" outlineLevel="1" x14ac:dyDescent="0.25">
      <c r="B208" s="2024"/>
      <c r="C208" s="2025"/>
      <c r="D208" s="2025"/>
      <c r="E208" s="2025"/>
      <c r="F208" s="2025"/>
      <c r="G208" s="2025"/>
      <c r="H208" s="2025"/>
      <c r="I208" s="1775"/>
      <c r="J208" s="2026"/>
      <c r="K208" s="972"/>
      <c r="L208" s="2018"/>
      <c r="M208" s="2032"/>
      <c r="N208" s="2022"/>
      <c r="P208" s="78"/>
      <c r="Q208" s="66"/>
      <c r="R208" s="66"/>
      <c r="S208" s="66"/>
      <c r="T208" s="66"/>
      <c r="U208" s="66"/>
      <c r="V208" s="399"/>
      <c r="W208" s="399"/>
      <c r="X208" s="399"/>
      <c r="Y208" s="72"/>
      <c r="Z208" s="72"/>
      <c r="AA208" s="72"/>
      <c r="AB208" s="72"/>
      <c r="AC208" s="72"/>
      <c r="AD208" s="72"/>
      <c r="AE208" s="72"/>
      <c r="AF208" s="72"/>
      <c r="AG208" s="72"/>
      <c r="AH208" s="72"/>
      <c r="AI208" s="72"/>
      <c r="AJ208" s="72"/>
      <c r="AK208" s="72"/>
      <c r="AL208" s="72"/>
      <c r="AM208" s="72"/>
    </row>
    <row r="209" spans="2:39" ht="14.25" customHeight="1" outlineLevel="1" x14ac:dyDescent="0.25">
      <c r="B209" s="2024"/>
      <c r="C209" s="2025"/>
      <c r="D209" s="2025"/>
      <c r="E209" s="2025"/>
      <c r="F209" s="2025"/>
      <c r="G209" s="2025"/>
      <c r="H209" s="2025"/>
      <c r="I209" s="1775"/>
      <c r="J209" s="2026"/>
      <c r="K209" s="972"/>
      <c r="L209" s="2018"/>
      <c r="M209" s="2033"/>
      <c r="N209" s="2022"/>
      <c r="P209" s="78"/>
      <c r="Q209" s="66"/>
      <c r="R209" s="66"/>
      <c r="S209" s="66"/>
      <c r="T209" s="66"/>
      <c r="U209" s="66"/>
      <c r="V209" s="399"/>
      <c r="W209" s="399"/>
      <c r="X209" s="399"/>
      <c r="Y209" s="72"/>
      <c r="Z209" s="72"/>
      <c r="AA209" s="72"/>
      <c r="AB209" s="72"/>
      <c r="AC209" s="72"/>
      <c r="AD209" s="72"/>
      <c r="AE209" s="72"/>
      <c r="AF209" s="72"/>
      <c r="AG209" s="72"/>
      <c r="AH209" s="72"/>
      <c r="AI209" s="72"/>
      <c r="AJ209" s="72"/>
      <c r="AK209" s="72"/>
      <c r="AL209" s="72"/>
      <c r="AM209" s="72"/>
    </row>
    <row r="210" spans="2:39" ht="14.25" customHeight="1" outlineLevel="1" x14ac:dyDescent="0.25">
      <c r="B210" s="2024" t="s">
        <v>765</v>
      </c>
      <c r="C210" s="2025"/>
      <c r="D210" s="2025"/>
      <c r="E210" s="2025"/>
      <c r="F210" s="2025"/>
      <c r="G210" s="2025"/>
      <c r="H210" s="2025"/>
      <c r="I210" s="1727" t="s">
        <v>99</v>
      </c>
      <c r="J210" s="2026"/>
      <c r="K210" s="972"/>
      <c r="L210" s="2018">
        <f t="shared" ref="L210" si="81">J210*K210</f>
        <v>0</v>
      </c>
      <c r="M210" s="2020" t="str">
        <f>IFERROR(IF((VLOOKUP(N210,Überblick!$M$125:$N$133,2))="ja","ja","nein"),"")</f>
        <v/>
      </c>
      <c r="N210" s="2022"/>
      <c r="O210" s="72">
        <f t="shared" ref="O210:O220" si="82">IF(AND(I210="ja",J210=""),1,0)</f>
        <v>1</v>
      </c>
      <c r="P210" s="78">
        <f t="shared" si="78"/>
        <v>1</v>
      </c>
      <c r="Q210" s="66"/>
      <c r="R210" s="66"/>
      <c r="S210" s="66"/>
      <c r="T210" s="66"/>
      <c r="U210" s="66"/>
      <c r="V210" s="399"/>
      <c r="W210" s="399"/>
      <c r="X210" s="399"/>
      <c r="Y210" s="72"/>
      <c r="Z210" s="72"/>
      <c r="AA210" s="72"/>
      <c r="AB210" s="72"/>
      <c r="AC210" s="72"/>
      <c r="AD210" s="72"/>
      <c r="AE210" s="72"/>
      <c r="AF210" s="72"/>
      <c r="AG210" s="72"/>
      <c r="AH210" s="72"/>
      <c r="AI210" s="72"/>
      <c r="AJ210" s="72"/>
      <c r="AK210" s="72"/>
      <c r="AL210" s="72"/>
      <c r="AM210" s="72"/>
    </row>
    <row r="211" spans="2:39" ht="14.25" customHeight="1" outlineLevel="1" x14ac:dyDescent="0.25">
      <c r="B211" s="2024"/>
      <c r="C211" s="2025"/>
      <c r="D211" s="2025"/>
      <c r="E211" s="2025"/>
      <c r="F211" s="2025"/>
      <c r="G211" s="2025"/>
      <c r="H211" s="2025"/>
      <c r="I211" s="1743"/>
      <c r="J211" s="2026"/>
      <c r="K211" s="972"/>
      <c r="L211" s="2018"/>
      <c r="M211" s="2020"/>
      <c r="N211" s="2022"/>
      <c r="P211" s="78"/>
      <c r="Q211" s="66"/>
      <c r="R211" s="66"/>
      <c r="S211" s="66"/>
      <c r="T211" s="66"/>
      <c r="U211" s="66"/>
      <c r="V211" s="399"/>
      <c r="W211" s="399"/>
      <c r="X211" s="399"/>
      <c r="Y211" s="72"/>
      <c r="Z211" s="72"/>
      <c r="AA211" s="72"/>
      <c r="AB211" s="72"/>
      <c r="AC211" s="72"/>
      <c r="AD211" s="72"/>
      <c r="AE211" s="72"/>
      <c r="AF211" s="72"/>
      <c r="AG211" s="72"/>
      <c r="AH211" s="72"/>
      <c r="AI211" s="72"/>
      <c r="AJ211" s="72"/>
      <c r="AK211" s="72"/>
      <c r="AL211" s="72"/>
      <c r="AM211" s="72"/>
    </row>
    <row r="212" spans="2:39" ht="14.25" customHeight="1" outlineLevel="1" x14ac:dyDescent="0.25">
      <c r="B212" s="2024" t="s">
        <v>766</v>
      </c>
      <c r="C212" s="2025"/>
      <c r="D212" s="2025"/>
      <c r="E212" s="2025"/>
      <c r="F212" s="2025"/>
      <c r="G212" s="2025"/>
      <c r="H212" s="2025"/>
      <c r="I212" s="1727" t="s">
        <v>100</v>
      </c>
      <c r="J212" s="2026"/>
      <c r="K212" s="972"/>
      <c r="L212" s="2018">
        <f t="shared" ref="L212" si="83">J212*K212</f>
        <v>0</v>
      </c>
      <c r="M212" s="2020" t="str">
        <f>IFERROR(IF((VLOOKUP(N212,Überblick!$M$125:$N$133,2))="ja","ja","nein"),"")</f>
        <v/>
      </c>
      <c r="N212" s="2022"/>
      <c r="O212" s="72">
        <f t="shared" si="82"/>
        <v>0</v>
      </c>
      <c r="P212" s="78">
        <f t="shared" si="78"/>
        <v>0</v>
      </c>
      <c r="Q212" s="66"/>
      <c r="R212" s="66"/>
      <c r="S212" s="66"/>
      <c r="T212" s="66"/>
      <c r="U212" s="66"/>
      <c r="V212" s="399"/>
      <c r="W212" s="399"/>
      <c r="X212" s="399"/>
      <c r="Y212" s="72"/>
      <c r="Z212" s="72"/>
      <c r="AA212" s="72"/>
      <c r="AB212" s="72"/>
      <c r="AC212" s="72"/>
      <c r="AD212" s="72"/>
      <c r="AE212" s="72"/>
      <c r="AF212" s="72"/>
      <c r="AG212" s="72"/>
      <c r="AH212" s="72"/>
      <c r="AI212" s="72"/>
      <c r="AJ212" s="72"/>
      <c r="AK212" s="72"/>
      <c r="AL212" s="72"/>
      <c r="AM212" s="72"/>
    </row>
    <row r="213" spans="2:39" ht="14.25" customHeight="1" outlineLevel="1" x14ac:dyDescent="0.25">
      <c r="B213" s="2024"/>
      <c r="C213" s="2025"/>
      <c r="D213" s="2025"/>
      <c r="E213" s="2025"/>
      <c r="F213" s="2025"/>
      <c r="G213" s="2025"/>
      <c r="H213" s="2025"/>
      <c r="I213" s="1743"/>
      <c r="J213" s="2026"/>
      <c r="K213" s="972"/>
      <c r="L213" s="2018"/>
      <c r="M213" s="2020"/>
      <c r="N213" s="2022"/>
      <c r="P213" s="78"/>
      <c r="Q213" s="66"/>
      <c r="R213" s="66"/>
      <c r="S213" s="66"/>
      <c r="T213" s="66"/>
      <c r="U213" s="66"/>
      <c r="V213" s="399"/>
      <c r="W213" s="399"/>
      <c r="X213" s="399"/>
      <c r="Y213" s="72"/>
      <c r="Z213" s="72"/>
      <c r="AA213" s="72"/>
      <c r="AB213" s="72"/>
      <c r="AC213" s="72"/>
      <c r="AD213" s="72"/>
      <c r="AE213" s="72"/>
      <c r="AF213" s="72"/>
      <c r="AG213" s="72"/>
      <c r="AH213" s="72"/>
      <c r="AI213" s="72"/>
      <c r="AJ213" s="72"/>
      <c r="AK213" s="72"/>
      <c r="AL213" s="72"/>
      <c r="AM213" s="72"/>
    </row>
    <row r="214" spans="2:39" ht="14.25" customHeight="1" outlineLevel="1" x14ac:dyDescent="0.25">
      <c r="B214" s="2024" t="s">
        <v>767</v>
      </c>
      <c r="C214" s="2025"/>
      <c r="D214" s="2025"/>
      <c r="E214" s="2025"/>
      <c r="F214" s="2025"/>
      <c r="G214" s="2025"/>
      <c r="H214" s="2025"/>
      <c r="I214" s="1727" t="s">
        <v>100</v>
      </c>
      <c r="J214" s="2026"/>
      <c r="K214" s="972"/>
      <c r="L214" s="2018">
        <f t="shared" ref="L214" si="84">J214*K214</f>
        <v>0</v>
      </c>
      <c r="M214" s="2020" t="str">
        <f>IFERROR(IF((VLOOKUP(N214,Überblick!$M$125:$N$133,2))="ja","ja","nein"),"")</f>
        <v/>
      </c>
      <c r="N214" s="2022"/>
      <c r="O214" s="72">
        <f t="shared" si="82"/>
        <v>0</v>
      </c>
      <c r="P214" s="78">
        <f t="shared" si="78"/>
        <v>0</v>
      </c>
      <c r="Q214" s="66"/>
      <c r="R214" s="66"/>
      <c r="S214" s="66"/>
      <c r="T214" s="66"/>
      <c r="U214" s="66"/>
      <c r="V214" s="399"/>
      <c r="W214" s="399"/>
      <c r="X214" s="399"/>
      <c r="Y214" s="72"/>
      <c r="Z214" s="72"/>
      <c r="AA214" s="72"/>
      <c r="AB214" s="72"/>
      <c r="AC214" s="72"/>
      <c r="AD214" s="72"/>
      <c r="AE214" s="72"/>
      <c r="AF214" s="72"/>
      <c r="AG214" s="72"/>
      <c r="AH214" s="72"/>
      <c r="AI214" s="72"/>
      <c r="AJ214" s="72"/>
      <c r="AK214" s="72"/>
      <c r="AL214" s="72"/>
      <c r="AM214" s="72"/>
    </row>
    <row r="215" spans="2:39" ht="14.25" customHeight="1" outlineLevel="1" x14ac:dyDescent="0.25">
      <c r="B215" s="2024"/>
      <c r="C215" s="2025"/>
      <c r="D215" s="2025"/>
      <c r="E215" s="2025"/>
      <c r="F215" s="2025"/>
      <c r="G215" s="2025"/>
      <c r="H215" s="2025"/>
      <c r="I215" s="1743"/>
      <c r="J215" s="2026"/>
      <c r="K215" s="972"/>
      <c r="L215" s="2018"/>
      <c r="M215" s="2020"/>
      <c r="N215" s="2022"/>
      <c r="P215" s="78"/>
      <c r="Q215" s="66"/>
      <c r="R215" s="66"/>
      <c r="S215" s="66"/>
      <c r="T215" s="66"/>
      <c r="U215" s="66"/>
      <c r="V215" s="399"/>
      <c r="W215" s="399"/>
      <c r="X215" s="399"/>
      <c r="Y215" s="72"/>
      <c r="Z215" s="72"/>
      <c r="AA215" s="72"/>
      <c r="AB215" s="72"/>
      <c r="AC215" s="72"/>
      <c r="AD215" s="72"/>
      <c r="AE215" s="72"/>
      <c r="AF215" s="72"/>
      <c r="AG215" s="72"/>
      <c r="AH215" s="72"/>
      <c r="AI215" s="72"/>
      <c r="AJ215" s="72"/>
      <c r="AK215" s="72"/>
      <c r="AL215" s="72"/>
      <c r="AM215" s="72"/>
    </row>
    <row r="216" spans="2:39" ht="14.25" customHeight="1" outlineLevel="1" x14ac:dyDescent="0.25">
      <c r="B216" s="2024" t="s">
        <v>768</v>
      </c>
      <c r="C216" s="2025"/>
      <c r="D216" s="2025"/>
      <c r="E216" s="2025"/>
      <c r="F216" s="2025"/>
      <c r="G216" s="2025"/>
      <c r="H216" s="2025"/>
      <c r="I216" s="1727" t="s">
        <v>99</v>
      </c>
      <c r="J216" s="2026"/>
      <c r="K216" s="972"/>
      <c r="L216" s="2018">
        <f t="shared" ref="L216" si="85">J216*K216</f>
        <v>0</v>
      </c>
      <c r="M216" s="2020" t="str">
        <f>IFERROR(IF((VLOOKUP(N216,Überblick!$M$125:$N$133,2))="ja","ja","nein"),"")</f>
        <v/>
      </c>
      <c r="N216" s="2022"/>
      <c r="O216" s="72">
        <f t="shared" si="82"/>
        <v>1</v>
      </c>
      <c r="P216" s="78">
        <f t="shared" si="78"/>
        <v>1</v>
      </c>
      <c r="Q216" s="66"/>
      <c r="R216" s="66"/>
      <c r="S216" s="66"/>
      <c r="T216" s="66"/>
      <c r="U216" s="66"/>
      <c r="V216" s="399"/>
      <c r="W216" s="399"/>
      <c r="X216" s="399"/>
      <c r="Y216" s="72"/>
      <c r="Z216" s="72"/>
      <c r="AA216" s="72"/>
      <c r="AB216" s="72"/>
      <c r="AC216" s="72"/>
      <c r="AD216" s="72"/>
      <c r="AE216" s="72"/>
      <c r="AF216" s="72"/>
      <c r="AG216" s="72"/>
      <c r="AH216" s="72"/>
      <c r="AI216" s="72"/>
      <c r="AJ216" s="72"/>
      <c r="AK216" s="72"/>
      <c r="AL216" s="72"/>
      <c r="AM216" s="72"/>
    </row>
    <row r="217" spans="2:39" ht="14.25" customHeight="1" outlineLevel="1" x14ac:dyDescent="0.25">
      <c r="B217" s="2024"/>
      <c r="C217" s="2025"/>
      <c r="D217" s="2025"/>
      <c r="E217" s="2025"/>
      <c r="F217" s="2025"/>
      <c r="G217" s="2025"/>
      <c r="H217" s="2025"/>
      <c r="I217" s="1743"/>
      <c r="J217" s="2026"/>
      <c r="K217" s="972"/>
      <c r="L217" s="2018"/>
      <c r="M217" s="2020"/>
      <c r="N217" s="2022"/>
      <c r="P217" s="78"/>
      <c r="Q217" s="66"/>
      <c r="R217" s="66"/>
      <c r="S217" s="66"/>
      <c r="T217" s="66"/>
      <c r="U217" s="66"/>
      <c r="V217" s="399"/>
      <c r="W217" s="399"/>
      <c r="X217" s="399"/>
      <c r="Y217" s="72"/>
      <c r="Z217" s="72"/>
      <c r="AA217" s="72"/>
      <c r="AB217" s="72"/>
      <c r="AC217" s="72"/>
      <c r="AD217" s="72"/>
      <c r="AE217" s="72"/>
      <c r="AF217" s="72"/>
      <c r="AG217" s="72"/>
      <c r="AH217" s="72"/>
      <c r="AI217" s="72"/>
      <c r="AJ217" s="72"/>
      <c r="AK217" s="72"/>
      <c r="AL217" s="72"/>
      <c r="AM217" s="72"/>
    </row>
    <row r="218" spans="2:39" ht="14.25" customHeight="1" outlineLevel="1" x14ac:dyDescent="0.25">
      <c r="B218" s="2024"/>
      <c r="C218" s="2025"/>
      <c r="D218" s="2025"/>
      <c r="E218" s="2025"/>
      <c r="F218" s="2025"/>
      <c r="G218" s="2025"/>
      <c r="H218" s="2025"/>
      <c r="I218" s="1727" t="s">
        <v>100</v>
      </c>
      <c r="J218" s="2026"/>
      <c r="K218" s="972"/>
      <c r="L218" s="2018">
        <f t="shared" ref="L218" si="86">J218*K218</f>
        <v>0</v>
      </c>
      <c r="M218" s="2020" t="str">
        <f>IFERROR(IF((VLOOKUP(N218,Überblick!$M$125:$N$133,2))="ja","ja","nein"),"")</f>
        <v/>
      </c>
      <c r="N218" s="2022"/>
      <c r="O218" s="72">
        <f t="shared" si="82"/>
        <v>0</v>
      </c>
      <c r="P218" s="78">
        <f t="shared" si="78"/>
        <v>0</v>
      </c>
      <c r="Q218" s="66"/>
      <c r="R218" s="66"/>
      <c r="S218" s="66"/>
      <c r="T218" s="66"/>
      <c r="U218" s="66"/>
      <c r="V218" s="399"/>
      <c r="W218" s="399"/>
      <c r="X218" s="399"/>
      <c r="Y218" s="72"/>
      <c r="Z218" s="72"/>
      <c r="AA218" s="72"/>
      <c r="AB218" s="72"/>
      <c r="AC218" s="72"/>
      <c r="AD218" s="72"/>
      <c r="AE218" s="72"/>
      <c r="AF218" s="72"/>
      <c r="AG218" s="72"/>
      <c r="AH218" s="72"/>
      <c r="AI218" s="72"/>
      <c r="AJ218" s="72"/>
      <c r="AK218" s="72"/>
      <c r="AL218" s="72"/>
      <c r="AM218" s="72"/>
    </row>
    <row r="219" spans="2:39" ht="14.25" customHeight="1" outlineLevel="1" x14ac:dyDescent="0.25">
      <c r="B219" s="2024"/>
      <c r="C219" s="2025"/>
      <c r="D219" s="2025"/>
      <c r="E219" s="2025"/>
      <c r="F219" s="2025"/>
      <c r="G219" s="2025"/>
      <c r="H219" s="2025"/>
      <c r="I219" s="1743"/>
      <c r="J219" s="2026"/>
      <c r="K219" s="972"/>
      <c r="L219" s="2018"/>
      <c r="M219" s="2020"/>
      <c r="N219" s="2022"/>
      <c r="P219" s="78"/>
      <c r="Q219" s="66"/>
      <c r="R219" s="66"/>
      <c r="S219" s="66"/>
      <c r="T219" s="66"/>
      <c r="U219" s="66"/>
      <c r="V219" s="399"/>
      <c r="W219" s="399"/>
      <c r="X219" s="399"/>
      <c r="Y219" s="72"/>
      <c r="Z219" s="72"/>
      <c r="AA219" s="72"/>
      <c r="AB219" s="72"/>
      <c r="AC219" s="72"/>
      <c r="AD219" s="72"/>
      <c r="AE219" s="72"/>
      <c r="AF219" s="72"/>
      <c r="AG219" s="72"/>
      <c r="AH219" s="72"/>
      <c r="AI219" s="72"/>
      <c r="AJ219" s="72"/>
      <c r="AK219" s="72"/>
      <c r="AL219" s="72"/>
      <c r="AM219" s="72"/>
    </row>
    <row r="220" spans="2:39" ht="14.25" customHeight="1" outlineLevel="1" x14ac:dyDescent="0.25">
      <c r="B220" s="2024" t="s">
        <v>769</v>
      </c>
      <c r="C220" s="2025"/>
      <c r="D220" s="2025"/>
      <c r="E220" s="2025"/>
      <c r="F220" s="2025"/>
      <c r="G220" s="2025"/>
      <c r="H220" s="2025"/>
      <c r="I220" s="1775" t="s">
        <v>99</v>
      </c>
      <c r="J220" s="2026"/>
      <c r="K220" s="972"/>
      <c r="L220" s="2018">
        <f t="shared" ref="L220" si="87">J220*K220</f>
        <v>0</v>
      </c>
      <c r="M220" s="2032" t="str">
        <f>IFERROR(IF((VLOOKUP(N220,Überblick!$M$125:$N$133,2))="ja","ja","nein"),"")</f>
        <v/>
      </c>
      <c r="N220" s="2022"/>
      <c r="O220" s="72">
        <f t="shared" si="82"/>
        <v>1</v>
      </c>
      <c r="P220" s="78">
        <f t="shared" si="78"/>
        <v>1</v>
      </c>
      <c r="Q220" s="66"/>
      <c r="R220" s="66"/>
      <c r="S220" s="66"/>
      <c r="T220" s="66"/>
      <c r="U220" s="66"/>
      <c r="V220" s="399"/>
      <c r="W220" s="399"/>
      <c r="X220" s="399"/>
      <c r="Y220" s="72"/>
      <c r="Z220" s="72"/>
      <c r="AA220" s="72"/>
      <c r="AB220" s="72"/>
      <c r="AC220" s="72"/>
      <c r="AD220" s="72"/>
      <c r="AE220" s="72"/>
      <c r="AF220" s="72"/>
      <c r="AG220" s="72"/>
      <c r="AH220" s="72"/>
      <c r="AI220" s="72"/>
      <c r="AJ220" s="72"/>
      <c r="AK220" s="72"/>
      <c r="AL220" s="72"/>
      <c r="AM220" s="72"/>
    </row>
    <row r="221" spans="2:39" ht="14.25" customHeight="1" outlineLevel="1" x14ac:dyDescent="0.25">
      <c r="B221" s="2024"/>
      <c r="C221" s="2025"/>
      <c r="D221" s="2025"/>
      <c r="E221" s="2025"/>
      <c r="F221" s="2025"/>
      <c r="G221" s="2025"/>
      <c r="H221" s="2025"/>
      <c r="I221" s="1775"/>
      <c r="J221" s="2026"/>
      <c r="K221" s="972"/>
      <c r="L221" s="2018"/>
      <c r="M221" s="2032"/>
      <c r="N221" s="2022"/>
      <c r="P221" s="78"/>
      <c r="Q221" s="66"/>
      <c r="R221" s="66"/>
      <c r="S221" s="66"/>
      <c r="T221" s="66"/>
      <c r="U221" s="66"/>
      <c r="V221" s="399"/>
      <c r="W221" s="399"/>
      <c r="X221" s="399"/>
      <c r="Y221" s="72"/>
      <c r="Z221" s="72"/>
      <c r="AA221" s="72"/>
      <c r="AB221" s="72"/>
      <c r="AC221" s="72"/>
      <c r="AD221" s="72"/>
      <c r="AE221" s="72"/>
      <c r="AF221" s="72"/>
      <c r="AG221" s="72"/>
      <c r="AH221" s="72"/>
      <c r="AI221" s="72"/>
      <c r="AJ221" s="72"/>
      <c r="AK221" s="72"/>
      <c r="AL221" s="72"/>
      <c r="AM221" s="72"/>
    </row>
    <row r="222" spans="2:39" ht="14.25" customHeight="1" outlineLevel="1" x14ac:dyDescent="0.25">
      <c r="B222" s="2024"/>
      <c r="C222" s="2025"/>
      <c r="D222" s="2025"/>
      <c r="E222" s="2025"/>
      <c r="F222" s="2025"/>
      <c r="G222" s="2025"/>
      <c r="H222" s="2025"/>
      <c r="I222" s="1775"/>
      <c r="J222" s="2026"/>
      <c r="K222" s="972"/>
      <c r="L222" s="2018"/>
      <c r="M222" s="2033"/>
      <c r="N222" s="2022"/>
      <c r="P222" s="78"/>
      <c r="Q222" s="66"/>
      <c r="R222" s="66"/>
      <c r="S222" s="66"/>
      <c r="T222" s="66"/>
      <c r="U222" s="66"/>
      <c r="V222" s="399"/>
      <c r="W222" s="399"/>
      <c r="X222" s="399"/>
      <c r="Y222" s="72"/>
      <c r="Z222" s="72"/>
      <c r="AA222" s="72"/>
      <c r="AB222" s="72"/>
      <c r="AC222" s="72"/>
      <c r="AD222" s="72"/>
      <c r="AE222" s="72"/>
      <c r="AF222" s="72"/>
      <c r="AG222" s="72"/>
      <c r="AH222" s="72"/>
      <c r="AI222" s="72"/>
      <c r="AJ222" s="72"/>
      <c r="AK222" s="72"/>
      <c r="AL222" s="72"/>
      <c r="AM222" s="72"/>
    </row>
    <row r="223" spans="2:39" ht="14.25" customHeight="1" outlineLevel="1" x14ac:dyDescent="0.25">
      <c r="B223" s="2024" t="s">
        <v>770</v>
      </c>
      <c r="C223" s="2025"/>
      <c r="D223" s="2025"/>
      <c r="E223" s="2025"/>
      <c r="F223" s="2025"/>
      <c r="G223" s="2025"/>
      <c r="H223" s="2025"/>
      <c r="I223" s="1727" t="s">
        <v>99</v>
      </c>
      <c r="J223" s="2026"/>
      <c r="K223" s="972"/>
      <c r="L223" s="2018">
        <f t="shared" ref="L223" si="88">J223*K223</f>
        <v>0</v>
      </c>
      <c r="M223" s="2020" t="str">
        <f>IFERROR(IF((VLOOKUP(N223,Überblick!$M$125:$N$133,2))="ja","ja","nein"),"")</f>
        <v/>
      </c>
      <c r="N223" s="2022"/>
      <c r="O223" s="72">
        <f t="shared" ref="O223:O233" si="89">IF(AND(I223="ja",J223=""),1,0)</f>
        <v>1</v>
      </c>
      <c r="P223" s="78">
        <f t="shared" si="78"/>
        <v>1</v>
      </c>
      <c r="Q223" s="66"/>
      <c r="R223" s="66"/>
      <c r="S223" s="66"/>
      <c r="T223" s="66"/>
      <c r="U223" s="66"/>
      <c r="V223" s="399"/>
      <c r="W223" s="399"/>
      <c r="X223" s="399"/>
      <c r="Y223" s="72"/>
      <c r="Z223" s="72"/>
      <c r="AA223" s="72"/>
      <c r="AB223" s="72"/>
      <c r="AC223" s="72"/>
      <c r="AD223" s="72"/>
      <c r="AE223" s="72"/>
      <c r="AF223" s="72"/>
      <c r="AG223" s="72"/>
      <c r="AH223" s="72"/>
      <c r="AI223" s="72"/>
      <c r="AJ223" s="72"/>
      <c r="AK223" s="72"/>
      <c r="AL223" s="72"/>
      <c r="AM223" s="72"/>
    </row>
    <row r="224" spans="2:39" ht="14.25" customHeight="1" outlineLevel="1" x14ac:dyDescent="0.25">
      <c r="B224" s="2024"/>
      <c r="C224" s="2025"/>
      <c r="D224" s="2025"/>
      <c r="E224" s="2025"/>
      <c r="F224" s="2025"/>
      <c r="G224" s="2025"/>
      <c r="H224" s="2025"/>
      <c r="I224" s="1743"/>
      <c r="J224" s="2026"/>
      <c r="K224" s="972"/>
      <c r="L224" s="2018"/>
      <c r="M224" s="2020"/>
      <c r="N224" s="2022"/>
      <c r="P224" s="78"/>
      <c r="Q224" s="66"/>
      <c r="R224" s="66"/>
      <c r="S224" s="66"/>
      <c r="T224" s="66"/>
      <c r="U224" s="66"/>
      <c r="V224" s="399"/>
      <c r="W224" s="399"/>
      <c r="X224" s="399"/>
      <c r="Y224" s="72"/>
      <c r="Z224" s="72"/>
      <c r="AA224" s="72"/>
      <c r="AB224" s="72"/>
      <c r="AC224" s="72"/>
      <c r="AD224" s="72"/>
      <c r="AE224" s="72"/>
      <c r="AF224" s="72"/>
      <c r="AG224" s="72"/>
      <c r="AH224" s="72"/>
      <c r="AI224" s="72"/>
      <c r="AJ224" s="72"/>
      <c r="AK224" s="72"/>
      <c r="AL224" s="72"/>
      <c r="AM224" s="72"/>
    </row>
    <row r="225" spans="2:39" ht="14.25" customHeight="1" outlineLevel="1" x14ac:dyDescent="0.25">
      <c r="B225" s="2024" t="s">
        <v>771</v>
      </c>
      <c r="C225" s="2025"/>
      <c r="D225" s="2025"/>
      <c r="E225" s="2025"/>
      <c r="F225" s="2025"/>
      <c r="G225" s="2025"/>
      <c r="H225" s="2025"/>
      <c r="I225" s="1727" t="s">
        <v>99</v>
      </c>
      <c r="J225" s="2026"/>
      <c r="K225" s="972"/>
      <c r="L225" s="2018">
        <f t="shared" ref="L225" si="90">J225*K225</f>
        <v>0</v>
      </c>
      <c r="M225" s="2020" t="str">
        <f>IFERROR(IF((VLOOKUP(N225,Überblick!$M$125:$N$133,2))="ja","ja","nein"),"")</f>
        <v/>
      </c>
      <c r="N225" s="2022"/>
      <c r="O225" s="72">
        <f t="shared" si="89"/>
        <v>1</v>
      </c>
      <c r="P225" s="78">
        <f t="shared" si="78"/>
        <v>1</v>
      </c>
      <c r="Q225" s="66"/>
      <c r="R225" s="66"/>
      <c r="S225" s="66"/>
      <c r="T225" s="66"/>
      <c r="U225" s="66"/>
      <c r="V225" s="399"/>
      <c r="W225" s="399"/>
      <c r="X225" s="399"/>
      <c r="Y225" s="72"/>
      <c r="Z225" s="72"/>
      <c r="AA225" s="72"/>
      <c r="AB225" s="72"/>
      <c r="AC225" s="72"/>
      <c r="AD225" s="72"/>
      <c r="AE225" s="72"/>
      <c r="AF225" s="72"/>
      <c r="AG225" s="72"/>
      <c r="AH225" s="72"/>
      <c r="AI225" s="72"/>
      <c r="AJ225" s="72"/>
      <c r="AK225" s="72"/>
      <c r="AL225" s="72"/>
      <c r="AM225" s="72"/>
    </row>
    <row r="226" spans="2:39" ht="14.25" customHeight="1" outlineLevel="1" x14ac:dyDescent="0.25">
      <c r="B226" s="2024"/>
      <c r="C226" s="2025"/>
      <c r="D226" s="2025"/>
      <c r="E226" s="2025"/>
      <c r="F226" s="2025"/>
      <c r="G226" s="2025"/>
      <c r="H226" s="2025"/>
      <c r="I226" s="1743"/>
      <c r="J226" s="2026"/>
      <c r="K226" s="972"/>
      <c r="L226" s="2018"/>
      <c r="M226" s="2020"/>
      <c r="N226" s="2022"/>
      <c r="P226" s="78"/>
      <c r="Q226" s="66"/>
      <c r="R226" s="66"/>
      <c r="S226" s="66"/>
      <c r="T226" s="66"/>
      <c r="U226" s="66"/>
      <c r="V226" s="399"/>
      <c r="W226" s="399"/>
      <c r="X226" s="399"/>
      <c r="Y226" s="72"/>
      <c r="Z226" s="72"/>
      <c r="AA226" s="72"/>
      <c r="AB226" s="72"/>
      <c r="AC226" s="72"/>
      <c r="AD226" s="72"/>
      <c r="AE226" s="72"/>
      <c r="AF226" s="72"/>
      <c r="AG226" s="72"/>
      <c r="AH226" s="72"/>
      <c r="AI226" s="72"/>
      <c r="AJ226" s="72"/>
      <c r="AK226" s="72"/>
      <c r="AL226" s="72"/>
      <c r="AM226" s="72"/>
    </row>
    <row r="227" spans="2:39" ht="14.25" customHeight="1" outlineLevel="1" x14ac:dyDescent="0.25">
      <c r="B227" s="2024" t="s">
        <v>772</v>
      </c>
      <c r="C227" s="2025"/>
      <c r="D227" s="2025"/>
      <c r="E227" s="2025"/>
      <c r="F227" s="2025"/>
      <c r="G227" s="2025"/>
      <c r="H227" s="2025"/>
      <c r="I227" s="1727" t="s">
        <v>99</v>
      </c>
      <c r="J227" s="2026"/>
      <c r="K227" s="972"/>
      <c r="L227" s="2018">
        <f t="shared" ref="L227" si="91">J227*K227</f>
        <v>0</v>
      </c>
      <c r="M227" s="2020" t="str">
        <f>IFERROR(IF((VLOOKUP(N227,Überblick!$M$125:$N$133,2))="ja","ja","nein"),"")</f>
        <v/>
      </c>
      <c r="N227" s="2022"/>
      <c r="O227" s="72">
        <f t="shared" si="89"/>
        <v>1</v>
      </c>
      <c r="P227" s="78">
        <f t="shared" si="78"/>
        <v>1</v>
      </c>
      <c r="Q227" s="66"/>
      <c r="R227" s="66"/>
      <c r="S227" s="66"/>
      <c r="T227" s="66"/>
      <c r="U227" s="66"/>
      <c r="V227" s="399"/>
      <c r="W227" s="399"/>
      <c r="X227" s="399"/>
      <c r="Y227" s="72"/>
      <c r="Z227" s="72"/>
      <c r="AA227" s="72"/>
      <c r="AB227" s="72"/>
      <c r="AC227" s="72"/>
      <c r="AD227" s="72"/>
      <c r="AE227" s="72"/>
      <c r="AF227" s="72"/>
      <c r="AG227" s="72"/>
      <c r="AH227" s="72"/>
      <c r="AI227" s="72"/>
      <c r="AJ227" s="72"/>
      <c r="AK227" s="72"/>
      <c r="AL227" s="72"/>
      <c r="AM227" s="72"/>
    </row>
    <row r="228" spans="2:39" ht="14.25" customHeight="1" outlineLevel="1" x14ac:dyDescent="0.25">
      <c r="B228" s="2024"/>
      <c r="C228" s="2025"/>
      <c r="D228" s="2025"/>
      <c r="E228" s="2025"/>
      <c r="F228" s="2025"/>
      <c r="G228" s="2025"/>
      <c r="H228" s="2025"/>
      <c r="I228" s="1743"/>
      <c r="J228" s="2026"/>
      <c r="K228" s="972"/>
      <c r="L228" s="2018"/>
      <c r="M228" s="2020"/>
      <c r="N228" s="2022"/>
      <c r="P228" s="78"/>
      <c r="Q228" s="66"/>
      <c r="R228" s="66"/>
      <c r="S228" s="66"/>
      <c r="T228" s="66"/>
      <c r="U228" s="66"/>
      <c r="V228" s="399"/>
      <c r="W228" s="399"/>
      <c r="X228" s="399"/>
      <c r="Y228" s="72"/>
      <c r="Z228" s="72"/>
      <c r="AA228" s="72"/>
      <c r="AB228" s="72"/>
      <c r="AC228" s="72"/>
      <c r="AD228" s="72"/>
      <c r="AE228" s="72"/>
      <c r="AF228" s="72"/>
      <c r="AG228" s="72"/>
      <c r="AH228" s="72"/>
      <c r="AI228" s="72"/>
      <c r="AJ228" s="72"/>
      <c r="AK228" s="72"/>
      <c r="AL228" s="72"/>
      <c r="AM228" s="72"/>
    </row>
    <row r="229" spans="2:39" ht="14.25" customHeight="1" outlineLevel="1" x14ac:dyDescent="0.25">
      <c r="B229" s="2024" t="s">
        <v>773</v>
      </c>
      <c r="C229" s="2025"/>
      <c r="D229" s="2025"/>
      <c r="E229" s="2025"/>
      <c r="F229" s="2025"/>
      <c r="G229" s="2025"/>
      <c r="H229" s="2025"/>
      <c r="I229" s="1727" t="s">
        <v>100</v>
      </c>
      <c r="J229" s="2026"/>
      <c r="K229" s="972"/>
      <c r="L229" s="2018">
        <f t="shared" ref="L229" si="92">J229*K229</f>
        <v>0</v>
      </c>
      <c r="M229" s="2020" t="str">
        <f>IFERROR(IF((VLOOKUP(N229,Überblick!$M$125:$N$133,2))="ja","ja","nein"),"")</f>
        <v/>
      </c>
      <c r="N229" s="2022"/>
      <c r="O229" s="72">
        <f t="shared" si="89"/>
        <v>0</v>
      </c>
      <c r="P229" s="78">
        <f t="shared" si="78"/>
        <v>0</v>
      </c>
      <c r="Q229" s="66"/>
      <c r="R229" s="66"/>
      <c r="S229" s="66"/>
      <c r="T229" s="66"/>
      <c r="U229" s="66"/>
      <c r="V229" s="399"/>
      <c r="W229" s="399"/>
      <c r="X229" s="399"/>
      <c r="Y229" s="72"/>
      <c r="Z229" s="72"/>
      <c r="AA229" s="72"/>
      <c r="AB229" s="72"/>
      <c r="AC229" s="72"/>
      <c r="AD229" s="72"/>
      <c r="AE229" s="72"/>
      <c r="AF229" s="72"/>
      <c r="AG229" s="72"/>
      <c r="AH229" s="72"/>
      <c r="AI229" s="72"/>
      <c r="AJ229" s="72"/>
      <c r="AK229" s="72"/>
      <c r="AL229" s="72"/>
      <c r="AM229" s="72"/>
    </row>
    <row r="230" spans="2:39" ht="14.25" customHeight="1" outlineLevel="1" x14ac:dyDescent="0.25">
      <c r="B230" s="2027"/>
      <c r="C230" s="2028"/>
      <c r="D230" s="2028"/>
      <c r="E230" s="2028"/>
      <c r="F230" s="2028"/>
      <c r="G230" s="2028"/>
      <c r="H230" s="2028"/>
      <c r="I230" s="1743"/>
      <c r="J230" s="2029"/>
      <c r="K230" s="974"/>
      <c r="L230" s="2019"/>
      <c r="M230" s="2020"/>
      <c r="N230" s="2023"/>
      <c r="P230" s="78"/>
      <c r="Q230" s="66"/>
      <c r="R230" s="66"/>
      <c r="S230" s="66"/>
      <c r="T230" s="66"/>
      <c r="U230" s="66"/>
      <c r="V230" s="399"/>
      <c r="W230" s="399"/>
      <c r="X230" s="399"/>
      <c r="Y230" s="72"/>
      <c r="Z230" s="72"/>
      <c r="AA230" s="72"/>
      <c r="AB230" s="72"/>
      <c r="AC230" s="72"/>
      <c r="AD230" s="72"/>
      <c r="AE230" s="72"/>
      <c r="AF230" s="72"/>
      <c r="AG230" s="72"/>
      <c r="AH230" s="72"/>
      <c r="AI230" s="72"/>
      <c r="AJ230" s="72"/>
      <c r="AK230" s="72"/>
      <c r="AL230" s="72"/>
      <c r="AM230" s="72"/>
    </row>
    <row r="231" spans="2:39" ht="14.25" customHeight="1" outlineLevel="1" x14ac:dyDescent="0.25">
      <c r="B231" s="2024" t="s">
        <v>774</v>
      </c>
      <c r="C231" s="2025"/>
      <c r="D231" s="2025"/>
      <c r="E231" s="2025"/>
      <c r="F231" s="2025"/>
      <c r="G231" s="2025"/>
      <c r="H231" s="2025"/>
      <c r="I231" s="1727" t="s">
        <v>100</v>
      </c>
      <c r="J231" s="2026"/>
      <c r="K231" s="972"/>
      <c r="L231" s="2018">
        <f t="shared" ref="L231" si="93">J231*K231</f>
        <v>0</v>
      </c>
      <c r="M231" s="2020" t="str">
        <f>IFERROR(IF((VLOOKUP(N231,Überblick!$M$125:$N$133,2))="ja","ja","nein"),"")</f>
        <v/>
      </c>
      <c r="N231" s="2022"/>
      <c r="O231" s="72">
        <f t="shared" si="89"/>
        <v>0</v>
      </c>
      <c r="P231" s="78">
        <f t="shared" si="78"/>
        <v>0</v>
      </c>
      <c r="Q231" s="66"/>
      <c r="R231" s="66"/>
      <c r="S231" s="66"/>
      <c r="T231" s="66"/>
      <c r="U231" s="66"/>
      <c r="V231" s="399"/>
      <c r="W231" s="399"/>
      <c r="X231" s="399"/>
      <c r="Y231" s="72"/>
      <c r="Z231" s="72"/>
      <c r="AA231" s="72"/>
      <c r="AB231" s="72"/>
      <c r="AC231" s="72"/>
      <c r="AD231" s="72"/>
      <c r="AE231" s="72"/>
      <c r="AF231" s="72"/>
      <c r="AG231" s="72"/>
      <c r="AH231" s="72"/>
      <c r="AI231" s="72"/>
      <c r="AJ231" s="72"/>
      <c r="AK231" s="72"/>
      <c r="AL231" s="72"/>
      <c r="AM231" s="72"/>
    </row>
    <row r="232" spans="2:39" ht="14.25" customHeight="1" outlineLevel="1" x14ac:dyDescent="0.25">
      <c r="B232" s="2024"/>
      <c r="C232" s="2025"/>
      <c r="D232" s="2025"/>
      <c r="E232" s="2025"/>
      <c r="F232" s="2025"/>
      <c r="G232" s="2025"/>
      <c r="H232" s="2025"/>
      <c r="I232" s="1743"/>
      <c r="J232" s="2026"/>
      <c r="K232" s="972"/>
      <c r="L232" s="2018"/>
      <c r="M232" s="2020"/>
      <c r="N232" s="2022"/>
      <c r="P232" s="78"/>
      <c r="Q232" s="66"/>
      <c r="R232" s="66"/>
      <c r="S232" s="66"/>
      <c r="T232" s="66"/>
      <c r="U232" s="66"/>
      <c r="V232" s="399"/>
      <c r="W232" s="399"/>
      <c r="X232" s="399"/>
      <c r="Y232" s="72"/>
      <c r="Z232" s="72"/>
      <c r="AA232" s="72"/>
      <c r="AB232" s="72"/>
      <c r="AC232" s="72"/>
      <c r="AD232" s="72"/>
      <c r="AE232" s="72"/>
      <c r="AF232" s="72"/>
      <c r="AG232" s="72"/>
      <c r="AH232" s="72"/>
      <c r="AI232" s="72"/>
      <c r="AJ232" s="72"/>
      <c r="AK232" s="72"/>
      <c r="AL232" s="72"/>
      <c r="AM232" s="72"/>
    </row>
    <row r="233" spans="2:39" ht="14.25" customHeight="1" outlineLevel="1" x14ac:dyDescent="0.25">
      <c r="B233" s="2024" t="s">
        <v>775</v>
      </c>
      <c r="C233" s="2025"/>
      <c r="D233" s="2025"/>
      <c r="E233" s="2025"/>
      <c r="F233" s="2025"/>
      <c r="G233" s="2025"/>
      <c r="H233" s="2025"/>
      <c r="I233" s="1775" t="s">
        <v>99</v>
      </c>
      <c r="J233" s="2026"/>
      <c r="K233" s="972"/>
      <c r="L233" s="2018">
        <f t="shared" ref="L233" si="94">J233*K233</f>
        <v>0</v>
      </c>
      <c r="M233" s="2020" t="str">
        <f>IFERROR(IF((VLOOKUP(N233,Überblick!$M$125:$N$133,2))="ja","ja","nein"),"")</f>
        <v/>
      </c>
      <c r="N233" s="2022"/>
      <c r="O233" s="72">
        <f t="shared" si="89"/>
        <v>1</v>
      </c>
      <c r="P233" s="78">
        <f t="shared" si="78"/>
        <v>1</v>
      </c>
      <c r="Q233" s="66"/>
      <c r="R233" s="66"/>
      <c r="S233" s="66"/>
      <c r="T233" s="66"/>
      <c r="U233" s="66"/>
      <c r="V233" s="399"/>
      <c r="W233" s="399"/>
      <c r="X233" s="399"/>
      <c r="Y233" s="72"/>
      <c r="Z233" s="72"/>
      <c r="AA233" s="72"/>
      <c r="AB233" s="72"/>
      <c r="AC233" s="72"/>
      <c r="AD233" s="72"/>
      <c r="AE233" s="72"/>
      <c r="AF233" s="72"/>
      <c r="AG233" s="72"/>
      <c r="AH233" s="72"/>
      <c r="AI233" s="72"/>
      <c r="AJ233" s="72"/>
      <c r="AK233" s="72"/>
      <c r="AL233" s="72"/>
      <c r="AM233" s="72"/>
    </row>
    <row r="234" spans="2:39" ht="14.25" customHeight="1" outlineLevel="1" x14ac:dyDescent="0.25">
      <c r="B234" s="2024"/>
      <c r="C234" s="2025"/>
      <c r="D234" s="2025"/>
      <c r="E234" s="2025"/>
      <c r="F234" s="2025"/>
      <c r="G234" s="2025"/>
      <c r="H234" s="2025"/>
      <c r="I234" s="1775"/>
      <c r="J234" s="2026"/>
      <c r="K234" s="972"/>
      <c r="L234" s="2018"/>
      <c r="M234" s="2020"/>
      <c r="N234" s="2022"/>
      <c r="P234" s="78"/>
      <c r="Q234" s="66"/>
      <c r="R234" s="66"/>
      <c r="S234" s="66"/>
      <c r="T234" s="66"/>
      <c r="U234" s="66"/>
      <c r="V234" s="399"/>
      <c r="W234" s="399"/>
      <c r="X234" s="399"/>
      <c r="Y234" s="72"/>
      <c r="Z234" s="72"/>
      <c r="AA234" s="72"/>
      <c r="AB234" s="72"/>
      <c r="AC234" s="72"/>
      <c r="AD234" s="72"/>
      <c r="AE234" s="72"/>
      <c r="AF234" s="72"/>
      <c r="AG234" s="72"/>
      <c r="AH234" s="72"/>
      <c r="AI234" s="72"/>
      <c r="AJ234" s="72"/>
      <c r="AK234" s="72"/>
      <c r="AL234" s="72"/>
      <c r="AM234" s="72"/>
    </row>
    <row r="235" spans="2:39" ht="14.25" customHeight="1" outlineLevel="1" x14ac:dyDescent="0.25">
      <c r="B235" s="2024"/>
      <c r="C235" s="2025"/>
      <c r="D235" s="2025"/>
      <c r="E235" s="2025"/>
      <c r="F235" s="2025"/>
      <c r="G235" s="2025"/>
      <c r="H235" s="2025"/>
      <c r="I235" s="1775"/>
      <c r="J235" s="2026"/>
      <c r="K235" s="972"/>
      <c r="L235" s="2018"/>
      <c r="M235" s="2020"/>
      <c r="N235" s="2022"/>
      <c r="P235" s="78"/>
      <c r="Q235" s="66"/>
      <c r="R235" s="66"/>
      <c r="S235" s="66"/>
      <c r="T235" s="66"/>
      <c r="U235" s="66"/>
      <c r="V235" s="399"/>
      <c r="W235" s="399"/>
      <c r="X235" s="399"/>
      <c r="Y235" s="72"/>
      <c r="Z235" s="72"/>
      <c r="AA235" s="72"/>
      <c r="AB235" s="72"/>
      <c r="AC235" s="72"/>
      <c r="AD235" s="72"/>
      <c r="AE235" s="72"/>
      <c r="AF235" s="72"/>
      <c r="AG235" s="72"/>
      <c r="AH235" s="72"/>
      <c r="AI235" s="72"/>
      <c r="AJ235" s="72"/>
      <c r="AK235" s="72"/>
      <c r="AL235" s="72"/>
      <c r="AM235" s="72"/>
    </row>
    <row r="236" spans="2:39" ht="14.25" customHeight="1" outlineLevel="1" x14ac:dyDescent="0.25">
      <c r="B236" s="2024"/>
      <c r="C236" s="2025"/>
      <c r="D236" s="2025"/>
      <c r="E236" s="2025"/>
      <c r="F236" s="2025"/>
      <c r="G236" s="2025"/>
      <c r="H236" s="2025"/>
      <c r="I236" s="1775"/>
      <c r="J236" s="2026"/>
      <c r="K236" s="972"/>
      <c r="L236" s="2018"/>
      <c r="M236" s="2020"/>
      <c r="N236" s="2022"/>
      <c r="P236" s="78"/>
      <c r="Q236" s="66"/>
      <c r="R236" s="66"/>
      <c r="S236" s="66"/>
      <c r="T236" s="66"/>
      <c r="U236" s="66"/>
      <c r="V236" s="399"/>
      <c r="W236" s="399"/>
      <c r="X236" s="399"/>
      <c r="Y236" s="72"/>
      <c r="Z236" s="72"/>
      <c r="AA236" s="72"/>
      <c r="AB236" s="72"/>
      <c r="AC236" s="72"/>
      <c r="AD236" s="72"/>
      <c r="AE236" s="72"/>
      <c r="AF236" s="72"/>
      <c r="AG236" s="72"/>
      <c r="AH236" s="72"/>
      <c r="AI236" s="72"/>
      <c r="AJ236" s="72"/>
      <c r="AK236" s="72"/>
      <c r="AL236" s="72"/>
      <c r="AM236" s="72"/>
    </row>
    <row r="237" spans="2:39" ht="14.25" customHeight="1" outlineLevel="1" x14ac:dyDescent="0.25">
      <c r="B237" s="2024"/>
      <c r="C237" s="2025"/>
      <c r="D237" s="2025"/>
      <c r="E237" s="2025"/>
      <c r="F237" s="2025"/>
      <c r="G237" s="2025"/>
      <c r="H237" s="2025"/>
      <c r="I237" s="1775"/>
      <c r="J237" s="2026"/>
      <c r="K237" s="972"/>
      <c r="L237" s="2018"/>
      <c r="M237" s="2020"/>
      <c r="N237" s="2022"/>
      <c r="P237" s="78"/>
      <c r="Q237" s="66"/>
      <c r="R237" s="66"/>
      <c r="S237" s="66"/>
      <c r="T237" s="66"/>
      <c r="U237" s="66"/>
      <c r="V237" s="399"/>
      <c r="W237" s="399"/>
      <c r="X237" s="399"/>
      <c r="Y237" s="72"/>
      <c r="Z237" s="72"/>
      <c r="AA237" s="72"/>
      <c r="AB237" s="72"/>
      <c r="AC237" s="72"/>
      <c r="AD237" s="72"/>
      <c r="AE237" s="72"/>
      <c r="AF237" s="72"/>
      <c r="AG237" s="72"/>
      <c r="AH237" s="72"/>
      <c r="AI237" s="72"/>
      <c r="AJ237" s="72"/>
      <c r="AK237" s="72"/>
      <c r="AL237" s="72"/>
      <c r="AM237" s="72"/>
    </row>
    <row r="238" spans="2:39" ht="14.25" customHeight="1" outlineLevel="1" x14ac:dyDescent="0.25">
      <c r="B238" s="2024"/>
      <c r="C238" s="2025"/>
      <c r="D238" s="2025"/>
      <c r="E238" s="2025"/>
      <c r="F238" s="2025"/>
      <c r="G238" s="2025"/>
      <c r="H238" s="2025"/>
      <c r="I238" s="1775"/>
      <c r="J238" s="2026"/>
      <c r="K238" s="972"/>
      <c r="L238" s="2018"/>
      <c r="M238" s="2020"/>
      <c r="N238" s="2022"/>
      <c r="P238" s="78"/>
      <c r="Q238" s="66"/>
      <c r="R238" s="66"/>
      <c r="S238" s="66"/>
      <c r="T238" s="66"/>
      <c r="U238" s="66"/>
      <c r="V238" s="399"/>
      <c r="W238" s="399"/>
      <c r="X238" s="399"/>
      <c r="Y238" s="72"/>
      <c r="Z238" s="72"/>
      <c r="AA238" s="72"/>
      <c r="AB238" s="72"/>
      <c r="AC238" s="72"/>
      <c r="AD238" s="72"/>
      <c r="AE238" s="72"/>
      <c r="AF238" s="72"/>
      <c r="AG238" s="72"/>
      <c r="AH238" s="72"/>
      <c r="AI238" s="72"/>
      <c r="AJ238" s="72"/>
      <c r="AK238" s="72"/>
      <c r="AL238" s="72"/>
      <c r="AM238" s="72"/>
    </row>
    <row r="239" spans="2:39" ht="14.25" customHeight="1" outlineLevel="1" x14ac:dyDescent="0.25">
      <c r="B239" s="2024"/>
      <c r="C239" s="2025"/>
      <c r="D239" s="2025"/>
      <c r="E239" s="2025"/>
      <c r="F239" s="2025"/>
      <c r="G239" s="2025"/>
      <c r="H239" s="2025"/>
      <c r="I239" s="1775"/>
      <c r="J239" s="2026"/>
      <c r="K239" s="972"/>
      <c r="L239" s="2018"/>
      <c r="M239" s="2020"/>
      <c r="N239" s="2022"/>
      <c r="P239" s="78"/>
      <c r="Q239" s="66"/>
      <c r="R239" s="66"/>
      <c r="S239" s="66"/>
      <c r="T239" s="66"/>
      <c r="U239" s="66"/>
      <c r="V239" s="399"/>
      <c r="W239" s="399"/>
      <c r="X239" s="399"/>
      <c r="Y239" s="72"/>
      <c r="Z239" s="72"/>
      <c r="AA239" s="72"/>
      <c r="AB239" s="72"/>
      <c r="AC239" s="72"/>
      <c r="AD239" s="72"/>
      <c r="AE239" s="72"/>
      <c r="AF239" s="72"/>
      <c r="AG239" s="72"/>
      <c r="AH239" s="72"/>
      <c r="AI239" s="72"/>
      <c r="AJ239" s="72"/>
      <c r="AK239" s="72"/>
      <c r="AL239" s="72"/>
      <c r="AM239" s="72"/>
    </row>
    <row r="240" spans="2:39" ht="14.25" customHeight="1" outlineLevel="1" x14ac:dyDescent="0.25">
      <c r="B240" s="2024" t="s">
        <v>776</v>
      </c>
      <c r="C240" s="2025"/>
      <c r="D240" s="2025"/>
      <c r="E240" s="2025"/>
      <c r="F240" s="2025"/>
      <c r="G240" s="2025"/>
      <c r="H240" s="2025"/>
      <c r="I240" s="1727" t="s">
        <v>99</v>
      </c>
      <c r="J240" s="2026"/>
      <c r="K240" s="972"/>
      <c r="L240" s="2018">
        <f t="shared" ref="L240" si="95">J240*K240</f>
        <v>0</v>
      </c>
      <c r="M240" s="2020" t="str">
        <f>IFERROR(IF((VLOOKUP(N240,Überblick!$M$125:$N$133,2))="ja","ja","nein"),"")</f>
        <v/>
      </c>
      <c r="N240" s="2022"/>
      <c r="O240" s="72">
        <f t="shared" ref="O240:O246" si="96">IF(AND(I240="ja",J240=""),1,0)</f>
        <v>1</v>
      </c>
      <c r="P240" s="78">
        <f t="shared" si="78"/>
        <v>1</v>
      </c>
      <c r="Q240" s="66"/>
      <c r="R240" s="66"/>
      <c r="S240" s="66"/>
      <c r="T240" s="66"/>
      <c r="U240" s="66"/>
      <c r="V240" s="399"/>
      <c r="W240" s="399"/>
      <c r="X240" s="399"/>
      <c r="Y240" s="72"/>
      <c r="Z240" s="72"/>
      <c r="AA240" s="72"/>
      <c r="AB240" s="72"/>
      <c r="AC240" s="72"/>
      <c r="AD240" s="72"/>
      <c r="AE240" s="72"/>
      <c r="AF240" s="72"/>
      <c r="AG240" s="72"/>
      <c r="AH240" s="72"/>
      <c r="AI240" s="72"/>
      <c r="AJ240" s="72"/>
      <c r="AK240" s="72"/>
      <c r="AL240" s="72"/>
      <c r="AM240" s="72"/>
    </row>
    <row r="241" spans="1:39" ht="14.25" customHeight="1" outlineLevel="1" x14ac:dyDescent="0.25">
      <c r="B241" s="2024"/>
      <c r="C241" s="2025"/>
      <c r="D241" s="2025"/>
      <c r="E241" s="2025"/>
      <c r="F241" s="2025"/>
      <c r="G241" s="2025"/>
      <c r="H241" s="2025"/>
      <c r="I241" s="1743"/>
      <c r="J241" s="2026"/>
      <c r="K241" s="972"/>
      <c r="L241" s="2018"/>
      <c r="M241" s="2020"/>
      <c r="N241" s="2022"/>
      <c r="P241" s="78"/>
      <c r="Q241" s="66"/>
      <c r="R241" s="66"/>
      <c r="S241" s="66"/>
      <c r="T241" s="66"/>
      <c r="U241" s="66"/>
      <c r="V241" s="399"/>
      <c r="W241" s="399"/>
      <c r="X241" s="399"/>
      <c r="Y241" s="72"/>
      <c r="Z241" s="72"/>
      <c r="AA241" s="72"/>
      <c r="AB241" s="72"/>
      <c r="AC241" s="72"/>
      <c r="AD241" s="72"/>
      <c r="AE241" s="72"/>
      <c r="AF241" s="72"/>
      <c r="AG241" s="72"/>
      <c r="AH241" s="72"/>
      <c r="AI241" s="72"/>
      <c r="AJ241" s="72"/>
      <c r="AK241" s="72"/>
      <c r="AL241" s="72"/>
      <c r="AM241" s="72"/>
    </row>
    <row r="242" spans="1:39" ht="14.25" customHeight="1" outlineLevel="1" x14ac:dyDescent="0.25">
      <c r="B242" s="2024" t="s">
        <v>777</v>
      </c>
      <c r="C242" s="2025"/>
      <c r="D242" s="2025"/>
      <c r="E242" s="2025"/>
      <c r="F242" s="2025"/>
      <c r="G242" s="2025"/>
      <c r="H242" s="2025"/>
      <c r="I242" s="1727" t="s">
        <v>99</v>
      </c>
      <c r="J242" s="2026"/>
      <c r="K242" s="972"/>
      <c r="L242" s="2018">
        <f t="shared" ref="L242" si="97">J242*K242</f>
        <v>0</v>
      </c>
      <c r="M242" s="2020" t="str">
        <f>IFERROR(IF((VLOOKUP(N242,Überblick!$M$125:$N$133,2))="ja","ja","nein"),"")</f>
        <v/>
      </c>
      <c r="N242" s="2022"/>
      <c r="O242" s="72">
        <f t="shared" si="96"/>
        <v>1</v>
      </c>
      <c r="P242" s="78">
        <f t="shared" si="78"/>
        <v>1</v>
      </c>
      <c r="Q242" s="66"/>
      <c r="R242" s="66"/>
      <c r="S242" s="66"/>
      <c r="T242" s="66"/>
      <c r="U242" s="66"/>
      <c r="V242" s="399"/>
      <c r="W242" s="399"/>
      <c r="X242" s="399"/>
      <c r="Y242" s="72"/>
      <c r="Z242" s="72"/>
      <c r="AA242" s="72"/>
      <c r="AB242" s="72"/>
      <c r="AC242" s="72"/>
      <c r="AD242" s="72"/>
      <c r="AE242" s="72"/>
      <c r="AF242" s="72"/>
      <c r="AG242" s="72"/>
      <c r="AH242" s="72"/>
      <c r="AI242" s="72"/>
      <c r="AJ242" s="72"/>
      <c r="AK242" s="72"/>
      <c r="AL242" s="72"/>
      <c r="AM242" s="72"/>
    </row>
    <row r="243" spans="1:39" ht="14.25" customHeight="1" outlineLevel="1" x14ac:dyDescent="0.25">
      <c r="B243" s="2027"/>
      <c r="C243" s="2028"/>
      <c r="D243" s="2028"/>
      <c r="E243" s="2028"/>
      <c r="F243" s="2028"/>
      <c r="G243" s="2028"/>
      <c r="H243" s="2028"/>
      <c r="I243" s="1743"/>
      <c r="J243" s="2029"/>
      <c r="K243" s="974"/>
      <c r="L243" s="2019"/>
      <c r="M243" s="2020"/>
      <c r="N243" s="2023"/>
      <c r="P243" s="78"/>
      <c r="Q243" s="66"/>
      <c r="R243" s="66"/>
      <c r="S243" s="66"/>
      <c r="T243" s="66"/>
      <c r="U243" s="66"/>
      <c r="V243" s="399"/>
      <c r="W243" s="399"/>
      <c r="X243" s="399"/>
      <c r="Y243" s="72"/>
      <c r="Z243" s="72"/>
      <c r="AA243" s="72"/>
      <c r="AB243" s="72"/>
      <c r="AC243" s="72"/>
      <c r="AD243" s="72"/>
      <c r="AE243" s="72"/>
      <c r="AF243" s="72"/>
      <c r="AG243" s="72"/>
      <c r="AH243" s="72"/>
      <c r="AI243" s="72"/>
      <c r="AJ243" s="72"/>
      <c r="AK243" s="72"/>
      <c r="AL243" s="72"/>
      <c r="AM243" s="72"/>
    </row>
    <row r="244" spans="1:39" ht="14.25" customHeight="1" outlineLevel="1" x14ac:dyDescent="0.25">
      <c r="B244" s="2024" t="s">
        <v>778</v>
      </c>
      <c r="C244" s="2025"/>
      <c r="D244" s="2025"/>
      <c r="E244" s="2025"/>
      <c r="F244" s="2025"/>
      <c r="G244" s="2025"/>
      <c r="H244" s="2025"/>
      <c r="I244" s="1727" t="s">
        <v>99</v>
      </c>
      <c r="J244" s="2026"/>
      <c r="K244" s="972"/>
      <c r="L244" s="2018">
        <f t="shared" ref="L244" si="98">J244*K244</f>
        <v>0</v>
      </c>
      <c r="M244" s="2020" t="str">
        <f>IFERROR(IF((VLOOKUP(N244,Überblick!$M$125:$N$133,2))="ja","ja","nein"),"")</f>
        <v/>
      </c>
      <c r="N244" s="2022"/>
      <c r="O244" s="72">
        <f t="shared" si="96"/>
        <v>1</v>
      </c>
      <c r="P244" s="78">
        <f t="shared" si="78"/>
        <v>1</v>
      </c>
      <c r="Q244" s="66"/>
      <c r="R244" s="66"/>
      <c r="S244" s="66"/>
      <c r="T244" s="66"/>
      <c r="U244" s="66"/>
      <c r="V244" s="399"/>
      <c r="W244" s="399"/>
      <c r="X244" s="399"/>
      <c r="Y244" s="72"/>
      <c r="Z244" s="72"/>
      <c r="AA244" s="72"/>
      <c r="AB244" s="72"/>
      <c r="AC244" s="72"/>
      <c r="AD244" s="72"/>
      <c r="AE244" s="72"/>
      <c r="AF244" s="72"/>
      <c r="AG244" s="72"/>
      <c r="AH244" s="72"/>
      <c r="AI244" s="72"/>
      <c r="AJ244" s="72"/>
      <c r="AK244" s="72"/>
      <c r="AL244" s="72"/>
      <c r="AM244" s="72"/>
    </row>
    <row r="245" spans="1:39" ht="14.25" customHeight="1" outlineLevel="1" x14ac:dyDescent="0.25">
      <c r="B245" s="2024"/>
      <c r="C245" s="2025"/>
      <c r="D245" s="2025"/>
      <c r="E245" s="2025"/>
      <c r="F245" s="2025"/>
      <c r="G245" s="2025"/>
      <c r="H245" s="2025"/>
      <c r="I245" s="1743"/>
      <c r="J245" s="2026"/>
      <c r="K245" s="972"/>
      <c r="L245" s="2018"/>
      <c r="M245" s="2020"/>
      <c r="N245" s="2022"/>
      <c r="P245" s="78"/>
      <c r="Q245" s="66"/>
      <c r="R245" s="66"/>
      <c r="S245" s="66"/>
      <c r="T245" s="66"/>
      <c r="U245" s="66"/>
      <c r="V245" s="399"/>
      <c r="W245" s="399"/>
      <c r="X245" s="399"/>
      <c r="Y245" s="72"/>
      <c r="Z245" s="72"/>
      <c r="AA245" s="72"/>
      <c r="AB245" s="72"/>
      <c r="AC245" s="72"/>
      <c r="AD245" s="72"/>
      <c r="AE245" s="72"/>
      <c r="AF245" s="72"/>
      <c r="AG245" s="72"/>
      <c r="AH245" s="72"/>
      <c r="AI245" s="72"/>
      <c r="AJ245" s="72"/>
      <c r="AK245" s="72"/>
      <c r="AL245" s="72"/>
      <c r="AM245" s="72"/>
    </row>
    <row r="246" spans="1:39" ht="14.25" customHeight="1" outlineLevel="1" x14ac:dyDescent="0.25">
      <c r="B246" s="2024" t="s">
        <v>779</v>
      </c>
      <c r="C246" s="2025"/>
      <c r="D246" s="2025"/>
      <c r="E246" s="2025"/>
      <c r="F246" s="2025"/>
      <c r="G246" s="2025"/>
      <c r="H246" s="2025"/>
      <c r="I246" s="1775" t="s">
        <v>99</v>
      </c>
      <c r="J246" s="2026"/>
      <c r="K246" s="972"/>
      <c r="L246" s="2018">
        <f t="shared" ref="L246" si="99">J246*K246</f>
        <v>0</v>
      </c>
      <c r="M246" s="2032" t="str">
        <f>IFERROR(IF((VLOOKUP(N246,Überblick!$M$125:$N$133,2))="ja","ja","nein"),"")</f>
        <v/>
      </c>
      <c r="N246" s="2022"/>
      <c r="O246" s="72">
        <f t="shared" si="96"/>
        <v>1</v>
      </c>
      <c r="P246" s="78">
        <f t="shared" si="78"/>
        <v>1</v>
      </c>
      <c r="Q246" s="66"/>
      <c r="R246" s="66"/>
      <c r="S246" s="66"/>
      <c r="T246" s="66"/>
      <c r="U246" s="66"/>
      <c r="V246" s="399"/>
      <c r="W246" s="399"/>
      <c r="X246" s="399"/>
      <c r="Y246" s="72"/>
      <c r="Z246" s="72"/>
      <c r="AA246" s="72"/>
      <c r="AB246" s="72"/>
      <c r="AC246" s="72"/>
      <c r="AD246" s="72"/>
      <c r="AE246" s="72"/>
      <c r="AF246" s="72"/>
      <c r="AG246" s="72"/>
      <c r="AH246" s="72"/>
      <c r="AI246" s="72"/>
      <c r="AJ246" s="72"/>
      <c r="AK246" s="72"/>
      <c r="AL246" s="72"/>
      <c r="AM246" s="72"/>
    </row>
    <row r="247" spans="1:39" ht="14.25" customHeight="1" outlineLevel="1" x14ac:dyDescent="0.25">
      <c r="B247" s="2027"/>
      <c r="C247" s="2028"/>
      <c r="D247" s="2028"/>
      <c r="E247" s="2028"/>
      <c r="F247" s="2028"/>
      <c r="G247" s="2028"/>
      <c r="H247" s="2028"/>
      <c r="I247" s="1726"/>
      <c r="J247" s="2029"/>
      <c r="K247" s="974"/>
      <c r="L247" s="2019"/>
      <c r="M247" s="2032"/>
      <c r="N247" s="2023"/>
      <c r="P247" s="78"/>
      <c r="Q247" s="66"/>
      <c r="R247" s="66"/>
      <c r="S247" s="66"/>
      <c r="T247" s="66"/>
      <c r="U247" s="66"/>
      <c r="V247" s="399"/>
      <c r="W247" s="399"/>
      <c r="X247" s="399"/>
      <c r="Y247" s="72"/>
      <c r="Z247" s="72"/>
      <c r="AA247" s="72"/>
      <c r="AB247" s="72"/>
      <c r="AC247" s="72"/>
      <c r="AD247" s="72"/>
      <c r="AE247" s="72"/>
      <c r="AF247" s="72"/>
      <c r="AG247" s="72"/>
      <c r="AH247" s="72"/>
      <c r="AI247" s="72"/>
      <c r="AJ247" s="72"/>
      <c r="AK247" s="72"/>
      <c r="AL247" s="72"/>
      <c r="AM247" s="72"/>
    </row>
    <row r="248" spans="1:39" ht="14.25" customHeight="1" outlineLevel="1" x14ac:dyDescent="0.25">
      <c r="B248" s="2027"/>
      <c r="C248" s="2028"/>
      <c r="D248" s="2028"/>
      <c r="E248" s="2028"/>
      <c r="F248" s="2028"/>
      <c r="G248" s="2028"/>
      <c r="H248" s="2028"/>
      <c r="I248" s="1726"/>
      <c r="J248" s="2029"/>
      <c r="K248" s="974"/>
      <c r="L248" s="2019"/>
      <c r="M248" s="2033"/>
      <c r="N248" s="2023"/>
      <c r="P248" s="78"/>
      <c r="Q248" s="66"/>
      <c r="R248" s="66"/>
      <c r="S248" s="66"/>
      <c r="T248" s="66"/>
      <c r="U248" s="66"/>
      <c r="V248" s="399"/>
      <c r="W248" s="399"/>
      <c r="X248" s="399"/>
      <c r="Y248" s="72"/>
      <c r="Z248" s="72"/>
      <c r="AA248" s="72"/>
      <c r="AB248" s="72"/>
      <c r="AC248" s="72"/>
      <c r="AD248" s="72"/>
      <c r="AE248" s="72"/>
      <c r="AF248" s="72"/>
      <c r="AG248" s="72"/>
      <c r="AH248" s="72"/>
      <c r="AI248" s="72"/>
      <c r="AJ248" s="72"/>
      <c r="AK248" s="72"/>
      <c r="AL248" s="72"/>
      <c r="AM248" s="72"/>
    </row>
    <row r="249" spans="1:39" ht="14.25" customHeight="1" outlineLevel="1" x14ac:dyDescent="0.25">
      <c r="B249" s="2024" t="s">
        <v>780</v>
      </c>
      <c r="C249" s="2025"/>
      <c r="D249" s="2025"/>
      <c r="E249" s="2025"/>
      <c r="F249" s="2025"/>
      <c r="G249" s="2025"/>
      <c r="H249" s="2025"/>
      <c r="I249" s="1775" t="s">
        <v>99</v>
      </c>
      <c r="J249" s="2026"/>
      <c r="K249" s="972"/>
      <c r="L249" s="2018">
        <f t="shared" ref="L249" si="100">J249*K249</f>
        <v>0</v>
      </c>
      <c r="M249" s="2020" t="str">
        <f>IFERROR(IF((VLOOKUP(N249,Überblick!$M$125:$N$133,2))="ja","ja","nein"),"")</f>
        <v/>
      </c>
      <c r="N249" s="2022"/>
      <c r="O249" s="72">
        <f t="shared" ref="O249" si="101">IF(AND(I249="ja",J249=""),1,0)</f>
        <v>1</v>
      </c>
      <c r="P249" s="78">
        <f t="shared" si="78"/>
        <v>1</v>
      </c>
      <c r="Q249" s="66"/>
      <c r="R249" s="66"/>
      <c r="S249" s="66"/>
      <c r="T249" s="66"/>
      <c r="U249" s="66"/>
      <c r="V249" s="399"/>
      <c r="W249" s="399"/>
      <c r="X249" s="399"/>
      <c r="Y249" s="72"/>
      <c r="Z249" s="72"/>
      <c r="AA249" s="72"/>
      <c r="AB249" s="72"/>
      <c r="AC249" s="72"/>
      <c r="AD249" s="72"/>
      <c r="AE249" s="72"/>
      <c r="AF249" s="72"/>
      <c r="AG249" s="72"/>
      <c r="AH249" s="72"/>
      <c r="AI249" s="72"/>
      <c r="AJ249" s="72"/>
      <c r="AK249" s="72"/>
      <c r="AL249" s="72"/>
      <c r="AM249" s="72"/>
    </row>
    <row r="250" spans="1:39" ht="14.25" customHeight="1" outlineLevel="1" x14ac:dyDescent="0.25">
      <c r="B250" s="2024"/>
      <c r="C250" s="2025"/>
      <c r="D250" s="2025"/>
      <c r="E250" s="2025"/>
      <c r="F250" s="2025"/>
      <c r="G250" s="2025"/>
      <c r="H250" s="2025"/>
      <c r="I250" s="1775"/>
      <c r="J250" s="2026"/>
      <c r="K250" s="972"/>
      <c r="L250" s="2018"/>
      <c r="M250" s="2020"/>
      <c r="N250" s="2022"/>
      <c r="P250" s="78"/>
      <c r="Q250" s="66"/>
      <c r="R250" s="66"/>
      <c r="S250" s="66"/>
      <c r="T250" s="66"/>
      <c r="U250" s="66"/>
      <c r="V250" s="399"/>
      <c r="W250" s="399"/>
      <c r="X250" s="399"/>
      <c r="Y250" s="72"/>
      <c r="Z250" s="72"/>
      <c r="AA250" s="72"/>
      <c r="AB250" s="72"/>
      <c r="AC250" s="72"/>
      <c r="AD250" s="72"/>
      <c r="AE250" s="72"/>
      <c r="AF250" s="72"/>
      <c r="AG250" s="72"/>
      <c r="AH250" s="72"/>
      <c r="AI250" s="72"/>
      <c r="AJ250" s="72"/>
      <c r="AK250" s="72"/>
      <c r="AL250" s="72"/>
      <c r="AM250" s="72"/>
    </row>
    <row r="251" spans="1:39" ht="14.25" customHeight="1" outlineLevel="1" x14ac:dyDescent="0.25">
      <c r="B251" s="2024"/>
      <c r="C251" s="2025"/>
      <c r="D251" s="2025"/>
      <c r="E251" s="2025"/>
      <c r="F251" s="2025"/>
      <c r="G251" s="2025"/>
      <c r="H251" s="2025"/>
      <c r="I251" s="1775"/>
      <c r="J251" s="2026"/>
      <c r="K251" s="972"/>
      <c r="L251" s="2018"/>
      <c r="M251" s="2020"/>
      <c r="N251" s="2022"/>
      <c r="P251" s="78"/>
      <c r="Q251" s="66"/>
      <c r="R251" s="66"/>
      <c r="S251" s="66"/>
      <c r="T251" s="66"/>
      <c r="U251" s="66"/>
      <c r="V251" s="399"/>
      <c r="W251" s="399"/>
      <c r="X251" s="399"/>
      <c r="Y251" s="72"/>
      <c r="Z251" s="72"/>
      <c r="AA251" s="72"/>
      <c r="AB251" s="72"/>
      <c r="AC251" s="72"/>
      <c r="AD251" s="72"/>
      <c r="AE251" s="72"/>
      <c r="AF251" s="72"/>
      <c r="AG251" s="72"/>
      <c r="AH251" s="72"/>
      <c r="AI251" s="72"/>
      <c r="AJ251" s="72"/>
      <c r="AK251" s="72"/>
      <c r="AL251" s="72"/>
      <c r="AM251" s="72"/>
    </row>
    <row r="252" spans="1:39" ht="14.25" customHeight="1" outlineLevel="1" x14ac:dyDescent="0.25">
      <c r="B252" s="2024"/>
      <c r="C252" s="2025"/>
      <c r="D252" s="2025"/>
      <c r="E252" s="2025"/>
      <c r="F252" s="2025"/>
      <c r="G252" s="2025"/>
      <c r="H252" s="2025"/>
      <c r="I252" s="1775"/>
      <c r="J252" s="2026"/>
      <c r="K252" s="972"/>
      <c r="L252" s="2018"/>
      <c r="M252" s="2020"/>
      <c r="N252" s="2022"/>
      <c r="P252" s="78"/>
      <c r="Q252" s="66"/>
      <c r="R252" s="66"/>
      <c r="S252" s="66"/>
      <c r="T252" s="66"/>
      <c r="U252" s="66"/>
      <c r="V252" s="399"/>
      <c r="W252" s="399"/>
      <c r="X252" s="399"/>
      <c r="Y252" s="72"/>
      <c r="Z252" s="72"/>
      <c r="AA252" s="72"/>
      <c r="AB252" s="72"/>
      <c r="AC252" s="72"/>
      <c r="AD252" s="72"/>
      <c r="AE252" s="72"/>
      <c r="AF252" s="72"/>
      <c r="AG252" s="72"/>
      <c r="AH252" s="72"/>
      <c r="AI252" s="72"/>
      <c r="AJ252" s="72"/>
      <c r="AK252" s="72"/>
      <c r="AL252" s="72"/>
      <c r="AM252" s="72"/>
    </row>
    <row r="253" spans="1:39" ht="14.25" customHeight="1" outlineLevel="1" x14ac:dyDescent="0.25">
      <c r="B253" s="2030" t="s">
        <v>781</v>
      </c>
      <c r="C253" s="2031"/>
      <c r="D253" s="2031"/>
      <c r="E253" s="2031"/>
      <c r="F253" s="2031"/>
      <c r="G253" s="2031"/>
      <c r="H253" s="2031"/>
      <c r="I253" s="1727" t="s">
        <v>100</v>
      </c>
      <c r="J253" s="2026"/>
      <c r="K253" s="972"/>
      <c r="L253" s="2018">
        <f t="shared" ref="L253" si="102">J253*K253</f>
        <v>0</v>
      </c>
      <c r="M253" s="2020" t="str">
        <f>IFERROR(IF((VLOOKUP(N253,Überblick!$M$125:$N$133,2))="ja","ja","nein"),"")</f>
        <v/>
      </c>
      <c r="N253" s="2022"/>
      <c r="O253" s="72">
        <f t="shared" ref="O253:O257" si="103">IF(AND(I253="ja",J253=""),1,0)</f>
        <v>0</v>
      </c>
      <c r="P253" s="78">
        <f t="shared" si="78"/>
        <v>0</v>
      </c>
      <c r="Q253" s="66"/>
      <c r="R253" s="66"/>
      <c r="S253" s="66"/>
      <c r="T253" s="66"/>
      <c r="U253" s="66"/>
      <c r="V253" s="399"/>
      <c r="W253" s="399"/>
      <c r="X253" s="399"/>
      <c r="Y253" s="72"/>
      <c r="Z253" s="72"/>
      <c r="AA253" s="72"/>
      <c r="AB253" s="72"/>
      <c r="AC253" s="72"/>
      <c r="AD253" s="72"/>
      <c r="AE253" s="72"/>
      <c r="AF253" s="72"/>
      <c r="AG253" s="72"/>
      <c r="AH253" s="72"/>
      <c r="AI253" s="72"/>
      <c r="AJ253" s="72"/>
      <c r="AK253" s="72"/>
      <c r="AL253" s="72"/>
      <c r="AM253" s="72"/>
    </row>
    <row r="254" spans="1:39" ht="14.25" customHeight="1" outlineLevel="1" x14ac:dyDescent="0.25">
      <c r="B254" s="2030"/>
      <c r="C254" s="2031"/>
      <c r="D254" s="2031"/>
      <c r="E254" s="2031"/>
      <c r="F254" s="2031"/>
      <c r="G254" s="2031"/>
      <c r="H254" s="2031"/>
      <c r="I254" s="1743"/>
      <c r="J254" s="2026"/>
      <c r="K254" s="972"/>
      <c r="L254" s="2018"/>
      <c r="M254" s="2020"/>
      <c r="N254" s="2022"/>
      <c r="P254" s="78"/>
      <c r="Q254" s="66"/>
      <c r="R254" s="66"/>
      <c r="S254" s="66"/>
      <c r="T254" s="66"/>
      <c r="U254" s="66"/>
      <c r="V254" s="399"/>
      <c r="W254" s="399"/>
      <c r="X254" s="399"/>
      <c r="Y254" s="72"/>
      <c r="Z254" s="72"/>
      <c r="AA254" s="72"/>
      <c r="AB254" s="72"/>
      <c r="AC254" s="72"/>
      <c r="AD254" s="72"/>
      <c r="AE254" s="72"/>
      <c r="AF254" s="72"/>
      <c r="AG254" s="72"/>
      <c r="AH254" s="72"/>
      <c r="AI254" s="72"/>
      <c r="AJ254" s="72"/>
      <c r="AK254" s="72"/>
      <c r="AL254" s="72"/>
      <c r="AM254" s="72"/>
    </row>
    <row r="255" spans="1:39" ht="14.25" customHeight="1" outlineLevel="1" x14ac:dyDescent="0.25">
      <c r="A255" s="897" t="s">
        <v>993</v>
      </c>
      <c r="B255" s="2024" t="s">
        <v>782</v>
      </c>
      <c r="C255" s="2025"/>
      <c r="D255" s="2025"/>
      <c r="E255" s="2025"/>
      <c r="F255" s="2025"/>
      <c r="G255" s="2025"/>
      <c r="H255" s="2025"/>
      <c r="I255" s="1727" t="s">
        <v>99</v>
      </c>
      <c r="J255" s="2026"/>
      <c r="K255" s="972"/>
      <c r="L255" s="2018">
        <f t="shared" ref="L255" si="104">J255*K255</f>
        <v>0</v>
      </c>
      <c r="M255" s="2020" t="str">
        <f>IFERROR(IF((VLOOKUP(N255,Überblick!$M$125:$N$133,2))="ja","ja","nein"),"")</f>
        <v/>
      </c>
      <c r="N255" s="2022"/>
      <c r="O255" s="72">
        <f t="shared" si="103"/>
        <v>1</v>
      </c>
      <c r="P255" s="78">
        <f t="shared" si="78"/>
        <v>1</v>
      </c>
      <c r="Q255" s="66"/>
      <c r="R255" s="66"/>
      <c r="S255" s="66"/>
      <c r="T255" s="66"/>
      <c r="U255" s="66"/>
      <c r="V255" s="399"/>
      <c r="W255" s="399"/>
      <c r="X255" s="399"/>
      <c r="Y255" s="72"/>
      <c r="Z255" s="72"/>
      <c r="AA255" s="72"/>
      <c r="AB255" s="72"/>
      <c r="AC255" s="72"/>
      <c r="AD255" s="72"/>
      <c r="AE255" s="72"/>
      <c r="AF255" s="72"/>
      <c r="AG255" s="72"/>
      <c r="AH255" s="72"/>
      <c r="AI255" s="72"/>
      <c r="AJ255" s="72"/>
      <c r="AK255" s="72"/>
      <c r="AL255" s="72"/>
      <c r="AM255" s="72"/>
    </row>
    <row r="256" spans="1:39" ht="14.25" customHeight="1" outlineLevel="1" x14ac:dyDescent="0.25">
      <c r="B256" s="2024"/>
      <c r="C256" s="2025"/>
      <c r="D256" s="2025"/>
      <c r="E256" s="2025"/>
      <c r="F256" s="2025"/>
      <c r="G256" s="2025"/>
      <c r="H256" s="2025"/>
      <c r="I256" s="1743"/>
      <c r="J256" s="2026"/>
      <c r="K256" s="972"/>
      <c r="L256" s="2018"/>
      <c r="M256" s="2020"/>
      <c r="N256" s="2022"/>
      <c r="P256" s="78"/>
      <c r="Q256" s="66"/>
      <c r="R256" s="66"/>
      <c r="S256" s="66"/>
      <c r="T256" s="66"/>
      <c r="U256" s="66"/>
      <c r="V256" s="399"/>
      <c r="W256" s="399"/>
      <c r="X256" s="399"/>
      <c r="Y256" s="72"/>
      <c r="Z256" s="72"/>
      <c r="AA256" s="72"/>
      <c r="AB256" s="72"/>
      <c r="AC256" s="72"/>
      <c r="AD256" s="72"/>
      <c r="AE256" s="72"/>
      <c r="AF256" s="72"/>
      <c r="AG256" s="72"/>
      <c r="AH256" s="72"/>
      <c r="AI256" s="72"/>
      <c r="AJ256" s="72"/>
      <c r="AK256" s="72"/>
      <c r="AL256" s="72"/>
      <c r="AM256" s="72"/>
    </row>
    <row r="257" spans="2:39" ht="14.25" customHeight="1" outlineLevel="1" x14ac:dyDescent="0.25">
      <c r="B257" s="2024" t="s">
        <v>783</v>
      </c>
      <c r="C257" s="2025"/>
      <c r="D257" s="2025"/>
      <c r="E257" s="2025"/>
      <c r="F257" s="2025"/>
      <c r="G257" s="2025"/>
      <c r="H257" s="2025"/>
      <c r="I257" s="1775" t="s">
        <v>100</v>
      </c>
      <c r="J257" s="2026"/>
      <c r="K257" s="972"/>
      <c r="L257" s="2018">
        <f t="shared" ref="L257" si="105">J257*K257</f>
        <v>0</v>
      </c>
      <c r="M257" s="2020" t="str">
        <f>IFERROR(IF((VLOOKUP(N257,Überblick!$M$125:$N$133,2))="ja","ja","nein"),"")</f>
        <v/>
      </c>
      <c r="N257" s="2022"/>
      <c r="O257" s="72">
        <f t="shared" si="103"/>
        <v>0</v>
      </c>
      <c r="P257" s="78">
        <f t="shared" si="78"/>
        <v>0</v>
      </c>
      <c r="Q257" s="66"/>
      <c r="R257" s="66"/>
      <c r="S257" s="66"/>
      <c r="T257" s="66"/>
      <c r="U257" s="66"/>
      <c r="V257" s="399"/>
      <c r="W257" s="399"/>
      <c r="X257" s="399"/>
      <c r="Y257" s="72"/>
      <c r="Z257" s="72"/>
      <c r="AA257" s="72"/>
      <c r="AB257" s="72"/>
      <c r="AC257" s="72"/>
      <c r="AD257" s="72"/>
      <c r="AE257" s="72"/>
      <c r="AF257" s="72"/>
      <c r="AG257" s="72"/>
      <c r="AH257" s="72"/>
      <c r="AI257" s="72"/>
      <c r="AJ257" s="72"/>
      <c r="AK257" s="72"/>
      <c r="AL257" s="72"/>
      <c r="AM257" s="72"/>
    </row>
    <row r="258" spans="2:39" ht="14.25" customHeight="1" outlineLevel="1" x14ac:dyDescent="0.25">
      <c r="B258" s="2027"/>
      <c r="C258" s="2028"/>
      <c r="D258" s="2028"/>
      <c r="E258" s="2028"/>
      <c r="F258" s="2028"/>
      <c r="G258" s="2028"/>
      <c r="H258" s="2028"/>
      <c r="I258" s="1726"/>
      <c r="J258" s="2029"/>
      <c r="K258" s="974"/>
      <c r="L258" s="2019"/>
      <c r="M258" s="2021"/>
      <c r="N258" s="2023"/>
      <c r="P258" s="78"/>
      <c r="Q258" s="66"/>
      <c r="R258" s="66"/>
      <c r="S258" s="66"/>
      <c r="T258" s="66"/>
      <c r="U258" s="66"/>
      <c r="V258" s="399"/>
      <c r="W258" s="399"/>
      <c r="X258" s="399"/>
      <c r="Y258" s="72"/>
      <c r="Z258" s="72"/>
      <c r="AA258" s="72"/>
      <c r="AB258" s="72"/>
      <c r="AC258" s="72"/>
      <c r="AD258" s="72"/>
      <c r="AE258" s="72"/>
      <c r="AF258" s="72"/>
      <c r="AG258" s="72"/>
      <c r="AH258" s="72"/>
      <c r="AI258" s="72"/>
      <c r="AJ258" s="72"/>
      <c r="AK258" s="72"/>
      <c r="AL258" s="72"/>
      <c r="AM258" s="72"/>
    </row>
    <row r="259" spans="2:39" ht="14.25" customHeight="1" outlineLevel="1" x14ac:dyDescent="0.25">
      <c r="B259" s="2027"/>
      <c r="C259" s="2028"/>
      <c r="D259" s="2028"/>
      <c r="E259" s="2028"/>
      <c r="F259" s="2028"/>
      <c r="G259" s="2028"/>
      <c r="H259" s="2028"/>
      <c r="I259" s="1726"/>
      <c r="J259" s="2029"/>
      <c r="K259" s="974"/>
      <c r="L259" s="2019"/>
      <c r="M259" s="2021"/>
      <c r="N259" s="2023"/>
      <c r="P259" s="78"/>
      <c r="Q259" s="66"/>
      <c r="R259" s="66"/>
      <c r="S259" s="66"/>
      <c r="T259" s="66"/>
      <c r="U259" s="66"/>
      <c r="V259" s="399"/>
      <c r="W259" s="399"/>
      <c r="X259" s="399"/>
      <c r="Y259" s="72"/>
      <c r="Z259" s="72"/>
      <c r="AA259" s="72"/>
      <c r="AB259" s="72"/>
      <c r="AC259" s="72"/>
      <c r="AD259" s="72"/>
      <c r="AE259" s="72"/>
      <c r="AF259" s="72"/>
      <c r="AG259" s="72"/>
      <c r="AH259" s="72"/>
      <c r="AI259" s="72"/>
      <c r="AJ259" s="72"/>
      <c r="AK259" s="72"/>
      <c r="AL259" s="72"/>
      <c r="AM259" s="72"/>
    </row>
    <row r="260" spans="2:39" ht="14.25" customHeight="1" outlineLevel="1" x14ac:dyDescent="0.25">
      <c r="B260" s="2027"/>
      <c r="C260" s="2028"/>
      <c r="D260" s="2028"/>
      <c r="E260" s="2028"/>
      <c r="F260" s="2028"/>
      <c r="G260" s="2028"/>
      <c r="H260" s="2028"/>
      <c r="I260" s="1726"/>
      <c r="J260" s="2029"/>
      <c r="K260" s="974"/>
      <c r="L260" s="2019"/>
      <c r="M260" s="2021"/>
      <c r="N260" s="2023"/>
      <c r="P260" s="78"/>
      <c r="Q260" s="66"/>
      <c r="R260" s="66"/>
      <c r="S260" s="66"/>
      <c r="T260" s="66"/>
      <c r="U260" s="66"/>
      <c r="V260" s="399"/>
      <c r="W260" s="399"/>
      <c r="X260" s="399"/>
      <c r="Y260" s="72"/>
      <c r="Z260" s="72"/>
      <c r="AA260" s="72"/>
      <c r="AB260" s="72"/>
      <c r="AC260" s="72"/>
      <c r="AD260" s="72"/>
      <c r="AE260" s="72"/>
      <c r="AF260" s="72"/>
      <c r="AG260" s="72"/>
      <c r="AH260" s="72"/>
      <c r="AI260" s="72"/>
      <c r="AJ260" s="72"/>
      <c r="AK260" s="72"/>
      <c r="AL260" s="72"/>
      <c r="AM260" s="72"/>
    </row>
    <row r="261" spans="2:39" ht="14.25" customHeight="1" outlineLevel="1" x14ac:dyDescent="0.25">
      <c r="B261" s="2027"/>
      <c r="C261" s="2028"/>
      <c r="D261" s="2028"/>
      <c r="E261" s="2028"/>
      <c r="F261" s="2028"/>
      <c r="G261" s="2028"/>
      <c r="H261" s="2028"/>
      <c r="I261" s="1726"/>
      <c r="J261" s="2029"/>
      <c r="K261" s="974"/>
      <c r="L261" s="2019"/>
      <c r="M261" s="2021"/>
      <c r="N261" s="2023"/>
      <c r="P261" s="78"/>
      <c r="Q261" s="66"/>
      <c r="R261" s="66"/>
      <c r="S261" s="66"/>
      <c r="T261" s="66"/>
      <c r="U261" s="66"/>
      <c r="V261" s="399"/>
      <c r="W261" s="399"/>
      <c r="X261" s="399"/>
      <c r="Y261" s="72"/>
      <c r="Z261" s="72"/>
      <c r="AA261" s="72"/>
      <c r="AB261" s="72"/>
      <c r="AC261" s="72"/>
      <c r="AD261" s="72"/>
      <c r="AE261" s="72"/>
      <c r="AF261" s="72"/>
      <c r="AG261" s="72"/>
      <c r="AH261" s="72"/>
      <c r="AI261" s="72"/>
      <c r="AJ261" s="72"/>
      <c r="AK261" s="72"/>
      <c r="AL261" s="72"/>
      <c r="AM261" s="72"/>
    </row>
    <row r="262" spans="2:39" ht="14.25" customHeight="1" outlineLevel="1" x14ac:dyDescent="0.25">
      <c r="B262" s="2024" t="s">
        <v>784</v>
      </c>
      <c r="C262" s="2025"/>
      <c r="D262" s="2025"/>
      <c r="E262" s="2025"/>
      <c r="F262" s="2025"/>
      <c r="G262" s="2025"/>
      <c r="H262" s="2025"/>
      <c r="I262" s="1727" t="s">
        <v>100</v>
      </c>
      <c r="J262" s="2026"/>
      <c r="K262" s="972"/>
      <c r="L262" s="2018">
        <f t="shared" ref="L262" si="106">J262*K262</f>
        <v>0</v>
      </c>
      <c r="M262" s="2020" t="str">
        <f>IFERROR(IF((VLOOKUP(N262,Überblick!$M$125:$N$133,2))="ja","ja","nein"),"")</f>
        <v/>
      </c>
      <c r="N262" s="2022"/>
      <c r="O262" s="72">
        <f t="shared" ref="O262:O292" si="107">IF(AND(I262="ja",J262=""),1,0)</f>
        <v>0</v>
      </c>
      <c r="P262" s="78">
        <f t="shared" si="78"/>
        <v>0</v>
      </c>
      <c r="Q262" s="66"/>
      <c r="R262" s="66"/>
      <c r="S262" s="66"/>
      <c r="T262" s="66"/>
      <c r="U262" s="66"/>
      <c r="V262" s="399"/>
      <c r="W262" s="399"/>
      <c r="X262" s="399"/>
      <c r="Y262" s="72"/>
      <c r="Z262" s="72"/>
      <c r="AA262" s="72"/>
      <c r="AB262" s="72"/>
      <c r="AC262" s="72"/>
      <c r="AD262" s="72"/>
      <c r="AE262" s="72"/>
      <c r="AF262" s="72"/>
      <c r="AG262" s="72"/>
      <c r="AH262" s="72"/>
      <c r="AI262" s="72"/>
      <c r="AJ262" s="72"/>
      <c r="AK262" s="72"/>
      <c r="AL262" s="72"/>
      <c r="AM262" s="72"/>
    </row>
    <row r="263" spans="2:39" ht="14.25" customHeight="1" outlineLevel="1" x14ac:dyDescent="0.25">
      <c r="B263" s="2024"/>
      <c r="C263" s="2025"/>
      <c r="D263" s="2025"/>
      <c r="E263" s="2025"/>
      <c r="F263" s="2025"/>
      <c r="G263" s="2025"/>
      <c r="H263" s="2025"/>
      <c r="I263" s="1743"/>
      <c r="J263" s="2026"/>
      <c r="K263" s="972"/>
      <c r="L263" s="2018"/>
      <c r="M263" s="2020"/>
      <c r="N263" s="2022"/>
      <c r="P263" s="78"/>
      <c r="Q263" s="66"/>
      <c r="R263" s="66"/>
      <c r="S263" s="66"/>
      <c r="T263" s="66"/>
      <c r="U263" s="66"/>
      <c r="V263" s="399"/>
      <c r="W263" s="399"/>
      <c r="X263" s="399"/>
      <c r="Y263" s="72"/>
      <c r="Z263" s="72"/>
      <c r="AA263" s="72"/>
      <c r="AB263" s="72"/>
      <c r="AC263" s="72"/>
      <c r="AD263" s="72"/>
      <c r="AE263" s="72"/>
      <c r="AF263" s="72"/>
      <c r="AG263" s="72"/>
      <c r="AH263" s="72"/>
      <c r="AI263" s="72"/>
      <c r="AJ263" s="72"/>
      <c r="AK263" s="72"/>
      <c r="AL263" s="72"/>
      <c r="AM263" s="72"/>
    </row>
    <row r="264" spans="2:39" ht="14.25" customHeight="1" outlineLevel="1" x14ac:dyDescent="0.25">
      <c r="B264" s="2024" t="s">
        <v>785</v>
      </c>
      <c r="C264" s="2025"/>
      <c r="D264" s="2025"/>
      <c r="E264" s="2025"/>
      <c r="F264" s="2025"/>
      <c r="G264" s="2025"/>
      <c r="H264" s="2025"/>
      <c r="I264" s="1727" t="s">
        <v>100</v>
      </c>
      <c r="J264" s="2026"/>
      <c r="K264" s="972"/>
      <c r="L264" s="2018">
        <f t="shared" ref="L264" si="108">J264*K264</f>
        <v>0</v>
      </c>
      <c r="M264" s="2020" t="str">
        <f>IFERROR(IF((VLOOKUP(N264,Überblick!$M$125:$N$133,2))="ja","ja","nein"),"")</f>
        <v/>
      </c>
      <c r="N264" s="2022"/>
      <c r="O264" s="72">
        <f t="shared" si="107"/>
        <v>0</v>
      </c>
      <c r="P264" s="78">
        <f t="shared" si="78"/>
        <v>0</v>
      </c>
      <c r="Q264" s="66"/>
      <c r="R264" s="66"/>
      <c r="S264" s="66"/>
      <c r="T264" s="66"/>
      <c r="U264" s="66"/>
      <c r="V264" s="399"/>
      <c r="W264" s="399"/>
      <c r="X264" s="399"/>
      <c r="Y264" s="72"/>
      <c r="Z264" s="72"/>
      <c r="AA264" s="72"/>
      <c r="AB264" s="72"/>
      <c r="AC264" s="72"/>
      <c r="AD264" s="72"/>
      <c r="AE264" s="72"/>
      <c r="AF264" s="72"/>
      <c r="AG264" s="72"/>
      <c r="AH264" s="72"/>
      <c r="AI264" s="72"/>
      <c r="AJ264" s="72"/>
      <c r="AK264" s="72"/>
      <c r="AL264" s="72"/>
      <c r="AM264" s="72"/>
    </row>
    <row r="265" spans="2:39" ht="14.25" customHeight="1" outlineLevel="1" x14ac:dyDescent="0.25">
      <c r="B265" s="2024"/>
      <c r="C265" s="2025"/>
      <c r="D265" s="2025"/>
      <c r="E265" s="2025"/>
      <c r="F265" s="2025"/>
      <c r="G265" s="2025"/>
      <c r="H265" s="2025"/>
      <c r="I265" s="1743"/>
      <c r="J265" s="2026"/>
      <c r="K265" s="972"/>
      <c r="L265" s="2018"/>
      <c r="M265" s="2020"/>
      <c r="N265" s="2022"/>
      <c r="P265" s="78"/>
      <c r="Q265" s="66"/>
      <c r="R265" s="66"/>
      <c r="S265" s="66"/>
      <c r="T265" s="66"/>
      <c r="U265" s="66"/>
      <c r="V265" s="399"/>
      <c r="W265" s="399"/>
      <c r="X265" s="399"/>
      <c r="Y265" s="72"/>
      <c r="Z265" s="72"/>
      <c r="AA265" s="72"/>
      <c r="AB265" s="72"/>
      <c r="AC265" s="72"/>
      <c r="AD265" s="72"/>
      <c r="AE265" s="72"/>
      <c r="AF265" s="72"/>
      <c r="AG265" s="72"/>
      <c r="AH265" s="72"/>
      <c r="AI265" s="72"/>
      <c r="AJ265" s="72"/>
      <c r="AK265" s="72"/>
      <c r="AL265" s="72"/>
      <c r="AM265" s="72"/>
    </row>
    <row r="266" spans="2:39" ht="14.25" customHeight="1" outlineLevel="1" x14ac:dyDescent="0.25">
      <c r="B266" s="2024" t="s">
        <v>786</v>
      </c>
      <c r="C266" s="2025"/>
      <c r="D266" s="2025"/>
      <c r="E266" s="2025"/>
      <c r="F266" s="2025"/>
      <c r="G266" s="2025"/>
      <c r="H266" s="2025"/>
      <c r="I266" s="1727" t="s">
        <v>100</v>
      </c>
      <c r="J266" s="2026"/>
      <c r="K266" s="972"/>
      <c r="L266" s="2018">
        <f t="shared" ref="L266" si="109">J266*K266</f>
        <v>0</v>
      </c>
      <c r="M266" s="2020" t="str">
        <f>IFERROR(IF((VLOOKUP(N266,Überblick!$M$125:$N$133,2))="ja","ja","nein"),"")</f>
        <v/>
      </c>
      <c r="N266" s="2022"/>
      <c r="O266" s="72">
        <f t="shared" si="107"/>
        <v>0</v>
      </c>
      <c r="P266" s="78">
        <f t="shared" ref="P266:P328" si="110">IF(I266="ja",1,0)</f>
        <v>0</v>
      </c>
      <c r="Q266" s="66"/>
      <c r="R266" s="66"/>
      <c r="S266" s="66"/>
      <c r="T266" s="66"/>
      <c r="U266" s="66"/>
      <c r="V266" s="399"/>
      <c r="W266" s="399"/>
      <c r="X266" s="399"/>
      <c r="Y266" s="72"/>
      <c r="Z266" s="72"/>
      <c r="AA266" s="72"/>
      <c r="AB266" s="72"/>
      <c r="AC266" s="72"/>
      <c r="AD266" s="72"/>
      <c r="AE266" s="72"/>
      <c r="AF266" s="72"/>
      <c r="AG266" s="72"/>
      <c r="AH266" s="72"/>
      <c r="AI266" s="72"/>
      <c r="AJ266" s="72"/>
      <c r="AK266" s="72"/>
      <c r="AL266" s="72"/>
      <c r="AM266" s="72"/>
    </row>
    <row r="267" spans="2:39" ht="14.25" customHeight="1" outlineLevel="1" x14ac:dyDescent="0.25">
      <c r="B267" s="2024"/>
      <c r="C267" s="2025"/>
      <c r="D267" s="2025"/>
      <c r="E267" s="2025"/>
      <c r="F267" s="2025"/>
      <c r="G267" s="2025"/>
      <c r="H267" s="2025"/>
      <c r="I267" s="1743"/>
      <c r="J267" s="2026"/>
      <c r="K267" s="972"/>
      <c r="L267" s="2018"/>
      <c r="M267" s="2020"/>
      <c r="N267" s="2022"/>
      <c r="P267" s="78"/>
      <c r="Q267" s="66"/>
      <c r="R267" s="66"/>
      <c r="S267" s="66"/>
      <c r="T267" s="66"/>
      <c r="U267" s="66"/>
      <c r="V267" s="399"/>
      <c r="W267" s="399"/>
      <c r="X267" s="399"/>
      <c r="Y267" s="72"/>
      <c r="Z267" s="72"/>
      <c r="AA267" s="72"/>
      <c r="AB267" s="72"/>
      <c r="AC267" s="72"/>
      <c r="AD267" s="72"/>
      <c r="AE267" s="72"/>
      <c r="AF267" s="72"/>
      <c r="AG267" s="72"/>
      <c r="AH267" s="72"/>
      <c r="AI267" s="72"/>
      <c r="AJ267" s="72"/>
      <c r="AK267" s="72"/>
      <c r="AL267" s="72"/>
      <c r="AM267" s="72"/>
    </row>
    <row r="268" spans="2:39" ht="14.25" customHeight="1" outlineLevel="1" x14ac:dyDescent="0.25">
      <c r="B268" s="2024" t="s">
        <v>757</v>
      </c>
      <c r="C268" s="2025"/>
      <c r="D268" s="2025"/>
      <c r="E268" s="2025"/>
      <c r="F268" s="2025"/>
      <c r="G268" s="2025"/>
      <c r="H268" s="2025"/>
      <c r="I268" s="1727" t="s">
        <v>100</v>
      </c>
      <c r="J268" s="2026"/>
      <c r="K268" s="972"/>
      <c r="L268" s="2018">
        <f>J268*K268</f>
        <v>0</v>
      </c>
      <c r="M268" s="2020" t="str">
        <f>IFERROR(IF((VLOOKUP(N268,Überblick!$M$125:$N$133,2))="ja","ja","nein"),"")</f>
        <v/>
      </c>
      <c r="N268" s="2022"/>
      <c r="O268" s="72">
        <f t="shared" si="107"/>
        <v>0</v>
      </c>
      <c r="P268" s="78">
        <f t="shared" si="110"/>
        <v>0</v>
      </c>
      <c r="Q268" s="66"/>
      <c r="R268" s="66"/>
      <c r="S268" s="66"/>
      <c r="T268" s="66"/>
      <c r="U268" s="66"/>
      <c r="V268" s="399"/>
      <c r="W268" s="399"/>
      <c r="X268" s="399"/>
      <c r="Y268" s="72"/>
      <c r="Z268" s="72"/>
      <c r="AA268" s="72"/>
      <c r="AB268" s="72"/>
      <c r="AC268" s="72"/>
      <c r="AD268" s="72"/>
      <c r="AE268" s="72"/>
      <c r="AF268" s="72"/>
      <c r="AG268" s="72"/>
      <c r="AH268" s="72"/>
      <c r="AI268" s="72"/>
      <c r="AJ268" s="72"/>
      <c r="AK268" s="72"/>
      <c r="AL268" s="72"/>
      <c r="AM268" s="72"/>
    </row>
    <row r="269" spans="2:39" ht="14.25" customHeight="1" outlineLevel="1" x14ac:dyDescent="0.25">
      <c r="B269" s="2024"/>
      <c r="C269" s="2025"/>
      <c r="D269" s="2025"/>
      <c r="E269" s="2025"/>
      <c r="F269" s="2025"/>
      <c r="G269" s="2025"/>
      <c r="H269" s="2025"/>
      <c r="I269" s="1743"/>
      <c r="J269" s="2026"/>
      <c r="K269" s="972"/>
      <c r="L269" s="2018"/>
      <c r="M269" s="2020"/>
      <c r="N269" s="2022"/>
      <c r="P269" s="78"/>
      <c r="Q269" s="66"/>
      <c r="R269" s="66"/>
      <c r="S269" s="66"/>
      <c r="T269" s="66"/>
      <c r="U269" s="66"/>
      <c r="V269" s="399"/>
      <c r="W269" s="399"/>
      <c r="X269" s="399"/>
      <c r="Y269" s="72"/>
      <c r="Z269" s="72"/>
      <c r="AA269" s="72"/>
      <c r="AB269" s="72"/>
      <c r="AC269" s="72"/>
      <c r="AD269" s="72"/>
      <c r="AE269" s="72"/>
      <c r="AF269" s="72"/>
      <c r="AG269" s="72"/>
      <c r="AH269" s="72"/>
      <c r="AI269" s="72"/>
      <c r="AJ269" s="72"/>
      <c r="AK269" s="72"/>
      <c r="AL269" s="72"/>
      <c r="AM269" s="72"/>
    </row>
    <row r="270" spans="2:39" ht="14.25" customHeight="1" outlineLevel="1" x14ac:dyDescent="0.25">
      <c r="B270" s="2024" t="s">
        <v>787</v>
      </c>
      <c r="C270" s="2025"/>
      <c r="D270" s="2025"/>
      <c r="E270" s="2025"/>
      <c r="F270" s="2025"/>
      <c r="G270" s="2025"/>
      <c r="H270" s="2025"/>
      <c r="I270" s="1727" t="s">
        <v>100</v>
      </c>
      <c r="J270" s="2026"/>
      <c r="K270" s="972"/>
      <c r="L270" s="2018">
        <f t="shared" ref="L270" si="111">J270*K270</f>
        <v>0</v>
      </c>
      <c r="M270" s="2020" t="str">
        <f>IFERROR(IF((VLOOKUP(N270,Überblick!$M$125:$N$133,2))="ja","ja","nein"),"")</f>
        <v/>
      </c>
      <c r="N270" s="2022"/>
      <c r="O270" s="72">
        <f t="shared" si="107"/>
        <v>0</v>
      </c>
      <c r="P270" s="78">
        <f t="shared" si="110"/>
        <v>0</v>
      </c>
      <c r="Q270" s="66"/>
      <c r="R270" s="66"/>
      <c r="S270" s="66"/>
      <c r="T270" s="66"/>
      <c r="U270" s="66"/>
      <c r="V270" s="399"/>
      <c r="W270" s="399"/>
      <c r="X270" s="399"/>
      <c r="Y270" s="72"/>
      <c r="Z270" s="72"/>
      <c r="AA270" s="72"/>
      <c r="AB270" s="72"/>
      <c r="AC270" s="72"/>
      <c r="AD270" s="72"/>
      <c r="AE270" s="72"/>
      <c r="AF270" s="72"/>
      <c r="AG270" s="72"/>
      <c r="AH270" s="72"/>
      <c r="AI270" s="72"/>
      <c r="AJ270" s="72"/>
      <c r="AK270" s="72"/>
      <c r="AL270" s="72"/>
      <c r="AM270" s="72"/>
    </row>
    <row r="271" spans="2:39" ht="14.25" customHeight="1" outlineLevel="1" x14ac:dyDescent="0.25">
      <c r="B271" s="2024"/>
      <c r="C271" s="2025"/>
      <c r="D271" s="2025"/>
      <c r="E271" s="2025"/>
      <c r="F271" s="2025"/>
      <c r="G271" s="2025"/>
      <c r="H271" s="2025"/>
      <c r="I271" s="1743"/>
      <c r="J271" s="2026"/>
      <c r="K271" s="972"/>
      <c r="L271" s="2018"/>
      <c r="M271" s="2020"/>
      <c r="N271" s="2022"/>
      <c r="P271" s="78"/>
      <c r="Q271" s="66"/>
      <c r="R271" s="66"/>
      <c r="S271" s="66"/>
      <c r="T271" s="66"/>
      <c r="U271" s="66"/>
      <c r="V271" s="399"/>
      <c r="W271" s="399"/>
      <c r="X271" s="399"/>
      <c r="Y271" s="72"/>
      <c r="Z271" s="72"/>
      <c r="AA271" s="72"/>
      <c r="AB271" s="72"/>
      <c r="AC271" s="72"/>
      <c r="AD271" s="72"/>
      <c r="AE271" s="72"/>
      <c r="AF271" s="72"/>
      <c r="AG271" s="72"/>
      <c r="AH271" s="72"/>
      <c r="AI271" s="72"/>
      <c r="AJ271" s="72"/>
      <c r="AK271" s="72"/>
      <c r="AL271" s="72"/>
      <c r="AM271" s="72"/>
    </row>
    <row r="272" spans="2:39" ht="14.25" customHeight="1" outlineLevel="1" x14ac:dyDescent="0.25">
      <c r="B272" s="2024" t="s">
        <v>788</v>
      </c>
      <c r="C272" s="2025"/>
      <c r="D272" s="2025"/>
      <c r="E272" s="2025"/>
      <c r="F272" s="2025"/>
      <c r="G272" s="2025"/>
      <c r="H272" s="2025"/>
      <c r="I272" s="1727" t="s">
        <v>100</v>
      </c>
      <c r="J272" s="2026"/>
      <c r="K272" s="972"/>
      <c r="L272" s="2018">
        <f t="shared" ref="L272" si="112">J272*K272</f>
        <v>0</v>
      </c>
      <c r="M272" s="2020" t="str">
        <f>IFERROR(IF((VLOOKUP(N272,Überblick!$M$125:$N$133,2))="ja","ja","nein"),"")</f>
        <v/>
      </c>
      <c r="N272" s="2022"/>
      <c r="O272" s="72">
        <f t="shared" si="107"/>
        <v>0</v>
      </c>
      <c r="P272" s="78">
        <f t="shared" si="110"/>
        <v>0</v>
      </c>
      <c r="Q272" s="66"/>
      <c r="R272" s="66"/>
      <c r="S272" s="66"/>
      <c r="T272" s="66"/>
      <c r="U272" s="66"/>
      <c r="V272" s="399"/>
      <c r="W272" s="399"/>
      <c r="X272" s="399"/>
      <c r="Y272" s="72"/>
      <c r="Z272" s="72"/>
      <c r="AA272" s="72"/>
      <c r="AB272" s="72"/>
      <c r="AC272" s="72"/>
      <c r="AD272" s="72"/>
      <c r="AE272" s="72"/>
      <c r="AF272" s="72"/>
      <c r="AG272" s="72"/>
      <c r="AH272" s="72"/>
      <c r="AI272" s="72"/>
      <c r="AJ272" s="72"/>
      <c r="AK272" s="72"/>
      <c r="AL272" s="72"/>
      <c r="AM272" s="72"/>
    </row>
    <row r="273" spans="2:39" ht="14.25" customHeight="1" outlineLevel="1" x14ac:dyDescent="0.25">
      <c r="B273" s="2024"/>
      <c r="C273" s="2025"/>
      <c r="D273" s="2025"/>
      <c r="E273" s="2025"/>
      <c r="F273" s="2025"/>
      <c r="G273" s="2025"/>
      <c r="H273" s="2025"/>
      <c r="I273" s="1743"/>
      <c r="J273" s="2026"/>
      <c r="K273" s="972"/>
      <c r="L273" s="2018"/>
      <c r="M273" s="2020"/>
      <c r="N273" s="2022"/>
      <c r="P273" s="78"/>
      <c r="Q273" s="66"/>
      <c r="R273" s="66"/>
      <c r="S273" s="66"/>
      <c r="T273" s="66"/>
      <c r="U273" s="66"/>
      <c r="V273" s="399"/>
      <c r="W273" s="399"/>
      <c r="X273" s="399"/>
      <c r="Y273" s="72"/>
      <c r="Z273" s="72"/>
      <c r="AA273" s="72"/>
      <c r="AB273" s="72"/>
      <c r="AC273" s="72"/>
      <c r="AD273" s="72"/>
      <c r="AE273" s="72"/>
      <c r="AF273" s="72"/>
      <c r="AG273" s="72"/>
      <c r="AH273" s="72"/>
      <c r="AI273" s="72"/>
      <c r="AJ273" s="72"/>
      <c r="AK273" s="72"/>
      <c r="AL273" s="72"/>
      <c r="AM273" s="72"/>
    </row>
    <row r="274" spans="2:39" ht="14.25" customHeight="1" outlineLevel="1" x14ac:dyDescent="0.25">
      <c r="B274" s="2024" t="s">
        <v>789</v>
      </c>
      <c r="C274" s="2025"/>
      <c r="D274" s="2025"/>
      <c r="E274" s="2025"/>
      <c r="F274" s="2025"/>
      <c r="G274" s="2025"/>
      <c r="H274" s="2025"/>
      <c r="I274" s="1727" t="s">
        <v>100</v>
      </c>
      <c r="J274" s="2029"/>
      <c r="K274" s="974"/>
      <c r="L274" s="2018">
        <f t="shared" ref="L274" si="113">J274*K274</f>
        <v>0</v>
      </c>
      <c r="M274" s="2020" t="str">
        <f>IFERROR(IF((VLOOKUP(N274,Überblick!$M$125:$N$133,2))="ja","ja","nein"),"")</f>
        <v/>
      </c>
      <c r="N274" s="2022"/>
      <c r="O274" s="72">
        <f t="shared" si="107"/>
        <v>0</v>
      </c>
      <c r="P274" s="78">
        <f t="shared" si="110"/>
        <v>0</v>
      </c>
      <c r="Q274" s="66"/>
      <c r="R274" s="66"/>
      <c r="S274" s="66"/>
      <c r="T274" s="66"/>
      <c r="U274" s="66"/>
      <c r="V274" s="399"/>
      <c r="W274" s="399"/>
      <c r="X274" s="399"/>
      <c r="Y274" s="72"/>
      <c r="Z274" s="72"/>
      <c r="AA274" s="72"/>
      <c r="AB274" s="72"/>
      <c r="AC274" s="72"/>
      <c r="AD274" s="72"/>
      <c r="AE274" s="72"/>
      <c r="AF274" s="72"/>
      <c r="AG274" s="72"/>
      <c r="AH274" s="72"/>
      <c r="AI274" s="72"/>
      <c r="AJ274" s="72"/>
      <c r="AK274" s="72"/>
      <c r="AL274" s="72"/>
      <c r="AM274" s="72"/>
    </row>
    <row r="275" spans="2:39" ht="14.25" customHeight="1" outlineLevel="1" x14ac:dyDescent="0.25">
      <c r="B275" s="2024"/>
      <c r="C275" s="2025"/>
      <c r="D275" s="2025"/>
      <c r="E275" s="2025"/>
      <c r="F275" s="2025"/>
      <c r="G275" s="2025"/>
      <c r="H275" s="2025"/>
      <c r="I275" s="1743"/>
      <c r="J275" s="2034"/>
      <c r="K275" s="1619"/>
      <c r="L275" s="2018"/>
      <c r="M275" s="2020"/>
      <c r="N275" s="2022"/>
      <c r="P275" s="78"/>
      <c r="Q275" s="66"/>
      <c r="R275" s="66"/>
      <c r="S275" s="66"/>
      <c r="T275" s="66"/>
      <c r="U275" s="66"/>
      <c r="V275" s="399"/>
      <c r="W275" s="399"/>
      <c r="X275" s="399"/>
      <c r="Y275" s="72"/>
      <c r="Z275" s="72"/>
      <c r="AA275" s="72"/>
      <c r="AB275" s="72"/>
      <c r="AC275" s="72"/>
      <c r="AD275" s="72"/>
      <c r="AE275" s="72"/>
      <c r="AF275" s="72"/>
      <c r="AG275" s="72"/>
      <c r="AH275" s="72"/>
      <c r="AI275" s="72"/>
      <c r="AJ275" s="72"/>
      <c r="AK275" s="72"/>
      <c r="AL275" s="72"/>
      <c r="AM275" s="72"/>
    </row>
    <row r="276" spans="2:39" ht="14.25" customHeight="1" outlineLevel="1" x14ac:dyDescent="0.25">
      <c r="B276" s="2024" t="s">
        <v>790</v>
      </c>
      <c r="C276" s="2025"/>
      <c r="D276" s="2025"/>
      <c r="E276" s="2025"/>
      <c r="F276" s="2025"/>
      <c r="G276" s="2025"/>
      <c r="H276" s="2025"/>
      <c r="I276" s="1727" t="s">
        <v>100</v>
      </c>
      <c r="J276" s="2029"/>
      <c r="K276" s="974"/>
      <c r="L276" s="2018">
        <f t="shared" ref="L276" si="114">J276*K276</f>
        <v>0</v>
      </c>
      <c r="M276" s="2020" t="str">
        <f>IFERROR(IF((VLOOKUP(N276,Überblick!$M$125:$N$133,2))="ja","ja","nein"),"")</f>
        <v/>
      </c>
      <c r="N276" s="2022"/>
      <c r="O276" s="72">
        <f t="shared" si="107"/>
        <v>0</v>
      </c>
      <c r="P276" s="78">
        <f t="shared" si="110"/>
        <v>0</v>
      </c>
      <c r="Q276" s="66"/>
      <c r="R276" s="66"/>
      <c r="S276" s="66"/>
      <c r="T276" s="66"/>
      <c r="U276" s="66"/>
      <c r="V276" s="399"/>
      <c r="W276" s="399"/>
      <c r="X276" s="399"/>
      <c r="Y276" s="72"/>
      <c r="Z276" s="72"/>
      <c r="AA276" s="72"/>
      <c r="AB276" s="72"/>
      <c r="AC276" s="72"/>
      <c r="AD276" s="72"/>
      <c r="AE276" s="72"/>
      <c r="AF276" s="72"/>
      <c r="AG276" s="72"/>
      <c r="AH276" s="72"/>
      <c r="AI276" s="72"/>
      <c r="AJ276" s="72"/>
      <c r="AK276" s="72"/>
      <c r="AL276" s="72"/>
      <c r="AM276" s="72"/>
    </row>
    <row r="277" spans="2:39" ht="14.25" customHeight="1" outlineLevel="1" x14ac:dyDescent="0.25">
      <c r="B277" s="2024"/>
      <c r="C277" s="2025"/>
      <c r="D277" s="2025"/>
      <c r="E277" s="2025"/>
      <c r="F277" s="2025"/>
      <c r="G277" s="2025"/>
      <c r="H277" s="2025"/>
      <c r="I277" s="1743"/>
      <c r="J277" s="2037"/>
      <c r="K277" s="2038"/>
      <c r="L277" s="2018"/>
      <c r="M277" s="2020"/>
      <c r="N277" s="2022"/>
      <c r="P277" s="78"/>
      <c r="Q277" s="66"/>
      <c r="R277" s="66"/>
      <c r="S277" s="66"/>
      <c r="T277" s="66"/>
      <c r="U277" s="66"/>
      <c r="V277" s="399"/>
      <c r="W277" s="399"/>
      <c r="X277" s="399"/>
      <c r="Y277" s="72"/>
      <c r="Z277" s="72"/>
      <c r="AA277" s="72"/>
      <c r="AB277" s="72"/>
      <c r="AC277" s="72"/>
      <c r="AD277" s="72"/>
      <c r="AE277" s="72"/>
      <c r="AF277" s="72"/>
      <c r="AG277" s="72"/>
      <c r="AH277" s="72"/>
      <c r="AI277" s="72"/>
      <c r="AJ277" s="72"/>
      <c r="AK277" s="72"/>
      <c r="AL277" s="72"/>
      <c r="AM277" s="72"/>
    </row>
    <row r="278" spans="2:39" ht="14.25" customHeight="1" outlineLevel="1" x14ac:dyDescent="0.25">
      <c r="B278" s="2024" t="s">
        <v>791</v>
      </c>
      <c r="C278" s="2025"/>
      <c r="D278" s="2025"/>
      <c r="E278" s="2025"/>
      <c r="F278" s="2025"/>
      <c r="G278" s="2025"/>
      <c r="H278" s="2025"/>
      <c r="I278" s="1727" t="s">
        <v>100</v>
      </c>
      <c r="J278" s="2029"/>
      <c r="K278" s="974"/>
      <c r="L278" s="2018">
        <f t="shared" ref="L278" si="115">J278*K278</f>
        <v>0</v>
      </c>
      <c r="M278" s="2020" t="str">
        <f>IFERROR(IF((VLOOKUP(N278,Überblick!$M$125:$N$133,2))="ja","ja","nein"),"")</f>
        <v/>
      </c>
      <c r="N278" s="2022"/>
      <c r="O278" s="72">
        <f t="shared" si="107"/>
        <v>0</v>
      </c>
      <c r="P278" s="78">
        <f t="shared" si="110"/>
        <v>0</v>
      </c>
      <c r="Q278" s="66"/>
      <c r="R278" s="66"/>
      <c r="S278" s="66"/>
      <c r="T278" s="66"/>
      <c r="U278" s="66"/>
      <c r="V278" s="399"/>
      <c r="W278" s="399"/>
      <c r="X278" s="399"/>
      <c r="Y278" s="72"/>
      <c r="Z278" s="72"/>
      <c r="AA278" s="72"/>
      <c r="AB278" s="72"/>
      <c r="AC278" s="72"/>
      <c r="AD278" s="72"/>
      <c r="AE278" s="72"/>
      <c r="AF278" s="72"/>
      <c r="AG278" s="72"/>
      <c r="AH278" s="72"/>
      <c r="AI278" s="72"/>
      <c r="AJ278" s="72"/>
      <c r="AK278" s="72"/>
      <c r="AL278" s="72"/>
      <c r="AM278" s="72"/>
    </row>
    <row r="279" spans="2:39" ht="14.25" customHeight="1" outlineLevel="1" x14ac:dyDescent="0.25">
      <c r="B279" s="2024"/>
      <c r="C279" s="2025"/>
      <c r="D279" s="2025"/>
      <c r="E279" s="2025"/>
      <c r="F279" s="2025"/>
      <c r="G279" s="2025"/>
      <c r="H279" s="2025"/>
      <c r="I279" s="1743"/>
      <c r="J279" s="2037"/>
      <c r="K279" s="2038"/>
      <c r="L279" s="2018"/>
      <c r="M279" s="2020"/>
      <c r="N279" s="2022"/>
      <c r="P279" s="78"/>
      <c r="Q279" s="66"/>
      <c r="R279" s="66"/>
      <c r="S279" s="66"/>
      <c r="T279" s="66"/>
      <c r="U279" s="66"/>
      <c r="V279" s="399"/>
      <c r="W279" s="399"/>
      <c r="X279" s="399"/>
      <c r="Y279" s="72"/>
      <c r="Z279" s="72"/>
      <c r="AA279" s="72"/>
      <c r="AB279" s="72"/>
      <c r="AC279" s="72"/>
      <c r="AD279" s="72"/>
      <c r="AE279" s="72"/>
      <c r="AF279" s="72"/>
      <c r="AG279" s="72"/>
      <c r="AH279" s="72"/>
      <c r="AI279" s="72"/>
      <c r="AJ279" s="72"/>
      <c r="AK279" s="72"/>
      <c r="AL279" s="72"/>
      <c r="AM279" s="72"/>
    </row>
    <row r="280" spans="2:39" ht="14.25" customHeight="1" outlineLevel="1" x14ac:dyDescent="0.25">
      <c r="B280" s="2024" t="s">
        <v>792</v>
      </c>
      <c r="C280" s="2025"/>
      <c r="D280" s="2025"/>
      <c r="E280" s="2025"/>
      <c r="F280" s="2025"/>
      <c r="G280" s="2025"/>
      <c r="H280" s="2025"/>
      <c r="I280" s="1727" t="s">
        <v>100</v>
      </c>
      <c r="J280" s="2029"/>
      <c r="K280" s="974"/>
      <c r="L280" s="2018">
        <f t="shared" ref="L280" si="116">J280*K280</f>
        <v>0</v>
      </c>
      <c r="M280" s="2020" t="str">
        <f>IFERROR(IF((VLOOKUP(N280,Überblick!$M$125:$N$133,2))="ja","ja","nein"),"")</f>
        <v/>
      </c>
      <c r="N280" s="2022"/>
      <c r="O280" s="72">
        <f t="shared" si="107"/>
        <v>0</v>
      </c>
      <c r="P280" s="78">
        <f t="shared" si="110"/>
        <v>0</v>
      </c>
      <c r="Q280" s="66"/>
      <c r="R280" s="66"/>
      <c r="S280" s="66"/>
      <c r="T280" s="66"/>
      <c r="U280" s="66"/>
      <c r="V280" s="399"/>
      <c r="W280" s="399"/>
      <c r="X280" s="399"/>
      <c r="Y280" s="72"/>
      <c r="Z280" s="72"/>
      <c r="AA280" s="72"/>
      <c r="AB280" s="72"/>
      <c r="AC280" s="72"/>
      <c r="AD280" s="72"/>
      <c r="AE280" s="72"/>
      <c r="AF280" s="72"/>
      <c r="AG280" s="72"/>
      <c r="AH280" s="72"/>
      <c r="AI280" s="72"/>
      <c r="AJ280" s="72"/>
      <c r="AK280" s="72"/>
      <c r="AL280" s="72"/>
      <c r="AM280" s="72"/>
    </row>
    <row r="281" spans="2:39" ht="14.25" customHeight="1" outlineLevel="1" x14ac:dyDescent="0.25">
      <c r="B281" s="2024"/>
      <c r="C281" s="2025"/>
      <c r="D281" s="2025"/>
      <c r="E281" s="2025"/>
      <c r="F281" s="2025"/>
      <c r="G281" s="2025"/>
      <c r="H281" s="2025"/>
      <c r="I281" s="1743"/>
      <c r="J281" s="2034"/>
      <c r="K281" s="1619"/>
      <c r="L281" s="2018"/>
      <c r="M281" s="2020"/>
      <c r="N281" s="2022"/>
      <c r="P281" s="78"/>
      <c r="Q281" s="66"/>
      <c r="R281" s="66"/>
      <c r="S281" s="66"/>
      <c r="T281" s="66"/>
      <c r="U281" s="66"/>
      <c r="V281" s="399"/>
      <c r="W281" s="399"/>
      <c r="X281" s="399"/>
      <c r="Y281" s="72"/>
      <c r="Z281" s="72"/>
      <c r="AA281" s="72"/>
      <c r="AB281" s="72"/>
      <c r="AC281" s="72"/>
      <c r="AD281" s="72"/>
      <c r="AE281" s="72"/>
      <c r="AF281" s="72"/>
      <c r="AG281" s="72"/>
      <c r="AH281" s="72"/>
      <c r="AI281" s="72"/>
      <c r="AJ281" s="72"/>
      <c r="AK281" s="72"/>
      <c r="AL281" s="72"/>
      <c r="AM281" s="72"/>
    </row>
    <row r="282" spans="2:39" ht="14.25" customHeight="1" outlineLevel="1" x14ac:dyDescent="0.25">
      <c r="B282" s="2024" t="s">
        <v>793</v>
      </c>
      <c r="C282" s="2025"/>
      <c r="D282" s="2025"/>
      <c r="E282" s="2025"/>
      <c r="F282" s="2025"/>
      <c r="G282" s="2025"/>
      <c r="H282" s="2025"/>
      <c r="I282" s="1727" t="s">
        <v>100</v>
      </c>
      <c r="J282" s="2029"/>
      <c r="K282" s="974"/>
      <c r="L282" s="2018">
        <f t="shared" ref="L282" si="117">J282*K282</f>
        <v>0</v>
      </c>
      <c r="M282" s="2020" t="str">
        <f>IFERROR(IF((VLOOKUP(N282,Überblick!$M$125:$N$133,2))="ja","ja","nein"),"")</f>
        <v/>
      </c>
      <c r="N282" s="2022"/>
      <c r="O282" s="72">
        <f t="shared" si="107"/>
        <v>0</v>
      </c>
      <c r="P282" s="78">
        <f t="shared" si="110"/>
        <v>0</v>
      </c>
      <c r="Q282" s="66"/>
      <c r="R282" s="66"/>
      <c r="S282" s="66"/>
      <c r="T282" s="66"/>
      <c r="U282" s="66"/>
      <c r="V282" s="399"/>
      <c r="W282" s="399"/>
      <c r="X282" s="399"/>
      <c r="Y282" s="72"/>
      <c r="Z282" s="72"/>
      <c r="AA282" s="72"/>
      <c r="AB282" s="72"/>
      <c r="AC282" s="72"/>
      <c r="AD282" s="72"/>
      <c r="AE282" s="72"/>
      <c r="AF282" s="72"/>
      <c r="AG282" s="72"/>
      <c r="AH282" s="72"/>
      <c r="AI282" s="72"/>
      <c r="AJ282" s="72"/>
      <c r="AK282" s="72"/>
      <c r="AL282" s="72"/>
      <c r="AM282" s="72"/>
    </row>
    <row r="283" spans="2:39" ht="14.25" customHeight="1" outlineLevel="1" x14ac:dyDescent="0.25">
      <c r="B283" s="2024"/>
      <c r="C283" s="2025"/>
      <c r="D283" s="2025"/>
      <c r="E283" s="2025"/>
      <c r="F283" s="2025"/>
      <c r="G283" s="2025"/>
      <c r="H283" s="2025"/>
      <c r="I283" s="1743"/>
      <c r="J283" s="2034"/>
      <c r="K283" s="1619"/>
      <c r="L283" s="2018"/>
      <c r="M283" s="2020"/>
      <c r="N283" s="2022"/>
      <c r="P283" s="78"/>
      <c r="Q283" s="66"/>
      <c r="R283" s="66"/>
      <c r="S283" s="66"/>
      <c r="T283" s="66"/>
      <c r="U283" s="66"/>
      <c r="V283" s="399"/>
      <c r="W283" s="399"/>
      <c r="X283" s="399"/>
      <c r="Y283" s="72"/>
      <c r="Z283" s="72"/>
      <c r="AA283" s="72"/>
      <c r="AB283" s="72"/>
      <c r="AC283" s="72"/>
      <c r="AD283" s="72"/>
      <c r="AE283" s="72"/>
      <c r="AF283" s="72"/>
      <c r="AG283" s="72"/>
      <c r="AH283" s="72"/>
      <c r="AI283" s="72"/>
      <c r="AJ283" s="72"/>
      <c r="AK283" s="72"/>
      <c r="AL283" s="72"/>
      <c r="AM283" s="72"/>
    </row>
    <row r="284" spans="2:39" ht="14.25" customHeight="1" outlineLevel="1" x14ac:dyDescent="0.25">
      <c r="B284" s="2024" t="s">
        <v>794</v>
      </c>
      <c r="C284" s="2025"/>
      <c r="D284" s="2025"/>
      <c r="E284" s="2025"/>
      <c r="F284" s="2025"/>
      <c r="G284" s="2025"/>
      <c r="H284" s="2025"/>
      <c r="I284" s="1727" t="s">
        <v>100</v>
      </c>
      <c r="J284" s="2026"/>
      <c r="K284" s="972"/>
      <c r="L284" s="2018">
        <f t="shared" ref="L284" si="118">J284*K284</f>
        <v>0</v>
      </c>
      <c r="M284" s="2020" t="str">
        <f>IFERROR(IF((VLOOKUP(N284,Überblick!$M$125:$N$133,2))="ja","ja","nein"),"")</f>
        <v/>
      </c>
      <c r="N284" s="2022"/>
      <c r="O284" s="72">
        <f t="shared" si="107"/>
        <v>0</v>
      </c>
      <c r="P284" s="78">
        <f t="shared" si="110"/>
        <v>0</v>
      </c>
      <c r="Q284" s="66"/>
      <c r="R284" s="66"/>
      <c r="S284" s="66"/>
      <c r="T284" s="66"/>
      <c r="U284" s="66"/>
      <c r="V284" s="399"/>
      <c r="W284" s="399"/>
      <c r="X284" s="399"/>
      <c r="Y284" s="72"/>
      <c r="Z284" s="72"/>
      <c r="AA284" s="72"/>
      <c r="AB284" s="72"/>
      <c r="AC284" s="72"/>
      <c r="AD284" s="72"/>
      <c r="AE284" s="72"/>
      <c r="AF284" s="72"/>
      <c r="AG284" s="72"/>
      <c r="AH284" s="72"/>
      <c r="AI284" s="72"/>
      <c r="AJ284" s="72"/>
      <c r="AK284" s="72"/>
      <c r="AL284" s="72"/>
      <c r="AM284" s="72"/>
    </row>
    <row r="285" spans="2:39" ht="14.25" customHeight="1" outlineLevel="1" x14ac:dyDescent="0.25">
      <c r="B285" s="2024"/>
      <c r="C285" s="2025"/>
      <c r="D285" s="2025"/>
      <c r="E285" s="2025"/>
      <c r="F285" s="2025"/>
      <c r="G285" s="2025"/>
      <c r="H285" s="2025"/>
      <c r="I285" s="1743"/>
      <c r="J285" s="2026"/>
      <c r="K285" s="972"/>
      <c r="L285" s="2018"/>
      <c r="M285" s="2020"/>
      <c r="N285" s="2022"/>
      <c r="P285" s="78"/>
      <c r="Q285" s="66"/>
      <c r="R285" s="66"/>
      <c r="S285" s="66"/>
      <c r="T285" s="66"/>
      <c r="U285" s="66"/>
      <c r="V285" s="399"/>
      <c r="W285" s="399"/>
      <c r="X285" s="399"/>
      <c r="Y285" s="72"/>
      <c r="Z285" s="72"/>
      <c r="AA285" s="72"/>
      <c r="AB285" s="72"/>
      <c r="AC285" s="72"/>
      <c r="AD285" s="72"/>
      <c r="AE285" s="72"/>
      <c r="AF285" s="72"/>
      <c r="AG285" s="72"/>
      <c r="AH285" s="72"/>
      <c r="AI285" s="72"/>
      <c r="AJ285" s="72"/>
      <c r="AK285" s="72"/>
      <c r="AL285" s="72"/>
      <c r="AM285" s="72"/>
    </row>
    <row r="286" spans="2:39" ht="14.25" customHeight="1" outlineLevel="1" x14ac:dyDescent="0.25">
      <c r="B286" s="2024" t="s">
        <v>795</v>
      </c>
      <c r="C286" s="2025"/>
      <c r="D286" s="2025"/>
      <c r="E286" s="2025"/>
      <c r="F286" s="2025"/>
      <c r="G286" s="2025"/>
      <c r="H286" s="2025"/>
      <c r="I286" s="1727" t="s">
        <v>100</v>
      </c>
      <c r="J286" s="2026"/>
      <c r="K286" s="972"/>
      <c r="L286" s="2018">
        <f t="shared" ref="L286" si="119">J286*K286</f>
        <v>0</v>
      </c>
      <c r="M286" s="2020" t="str">
        <f>IFERROR(IF((VLOOKUP(N286,Überblick!$M$125:$N$133,2))="ja","ja","nein"),"")</f>
        <v/>
      </c>
      <c r="N286" s="2022"/>
      <c r="O286" s="72">
        <f t="shared" si="107"/>
        <v>0</v>
      </c>
      <c r="P286" s="78">
        <f t="shared" si="110"/>
        <v>0</v>
      </c>
      <c r="Q286" s="66"/>
      <c r="R286" s="66"/>
      <c r="S286" s="66"/>
      <c r="T286" s="66"/>
      <c r="U286" s="66"/>
      <c r="V286" s="399"/>
      <c r="W286" s="399"/>
      <c r="X286" s="399"/>
      <c r="Y286" s="72"/>
      <c r="Z286" s="72"/>
      <c r="AA286" s="72"/>
      <c r="AB286" s="72"/>
      <c r="AC286" s="72"/>
      <c r="AD286" s="72"/>
      <c r="AE286" s="72"/>
      <c r="AF286" s="72"/>
      <c r="AG286" s="72"/>
      <c r="AH286" s="72"/>
      <c r="AI286" s="72"/>
      <c r="AJ286" s="72"/>
      <c r="AK286" s="72"/>
      <c r="AL286" s="72"/>
      <c r="AM286" s="72"/>
    </row>
    <row r="287" spans="2:39" ht="14.25" customHeight="1" outlineLevel="1" x14ac:dyDescent="0.25">
      <c r="B287" s="2024"/>
      <c r="C287" s="2025"/>
      <c r="D287" s="2025"/>
      <c r="E287" s="2025"/>
      <c r="F287" s="2025"/>
      <c r="G287" s="2025"/>
      <c r="H287" s="2025"/>
      <c r="I287" s="1743"/>
      <c r="J287" s="2026"/>
      <c r="K287" s="972"/>
      <c r="L287" s="2018"/>
      <c r="M287" s="2020"/>
      <c r="N287" s="2022"/>
      <c r="P287" s="78"/>
      <c r="Q287" s="66"/>
      <c r="R287" s="66"/>
      <c r="S287" s="66"/>
      <c r="T287" s="66"/>
      <c r="U287" s="66"/>
      <c r="V287" s="399"/>
      <c r="W287" s="399"/>
      <c r="X287" s="399"/>
      <c r="Y287" s="72"/>
      <c r="Z287" s="72"/>
      <c r="AA287" s="72"/>
      <c r="AB287" s="72"/>
      <c r="AC287" s="72"/>
      <c r="AD287" s="72"/>
      <c r="AE287" s="72"/>
      <c r="AF287" s="72"/>
      <c r="AG287" s="72"/>
      <c r="AH287" s="72"/>
      <c r="AI287" s="72"/>
      <c r="AJ287" s="72"/>
      <c r="AK287" s="72"/>
      <c r="AL287" s="72"/>
      <c r="AM287" s="72"/>
    </row>
    <row r="288" spans="2:39" ht="14.25" customHeight="1" outlineLevel="1" x14ac:dyDescent="0.25">
      <c r="B288" s="2024" t="s">
        <v>796</v>
      </c>
      <c r="C288" s="2025"/>
      <c r="D288" s="2025"/>
      <c r="E288" s="2025"/>
      <c r="F288" s="2025"/>
      <c r="G288" s="2025"/>
      <c r="H288" s="2025"/>
      <c r="I288" s="1727" t="s">
        <v>100</v>
      </c>
      <c r="J288" s="2026"/>
      <c r="K288" s="972"/>
      <c r="L288" s="2018">
        <f t="shared" ref="L288" si="120">J288*K288</f>
        <v>0</v>
      </c>
      <c r="M288" s="2020" t="str">
        <f>IFERROR(IF((VLOOKUP(N288,Überblick!$M$125:$N$133,2))="ja","ja","nein"),"")</f>
        <v/>
      </c>
      <c r="N288" s="2022"/>
      <c r="O288" s="72">
        <f t="shared" si="107"/>
        <v>0</v>
      </c>
      <c r="P288" s="78">
        <f t="shared" si="110"/>
        <v>0</v>
      </c>
      <c r="Q288" s="66"/>
      <c r="R288" s="66"/>
      <c r="S288" s="66"/>
      <c r="T288" s="66"/>
      <c r="U288" s="66"/>
      <c r="V288" s="399"/>
      <c r="W288" s="399"/>
      <c r="X288" s="399"/>
      <c r="Y288" s="72"/>
      <c r="Z288" s="72"/>
      <c r="AA288" s="72"/>
      <c r="AB288" s="72"/>
      <c r="AC288" s="72"/>
      <c r="AD288" s="72"/>
      <c r="AE288" s="72"/>
      <c r="AF288" s="72"/>
      <c r="AG288" s="72"/>
      <c r="AH288" s="72"/>
      <c r="AI288" s="72"/>
      <c r="AJ288" s="72"/>
      <c r="AK288" s="72"/>
      <c r="AL288" s="72"/>
      <c r="AM288" s="72"/>
    </row>
    <row r="289" spans="2:39" ht="14.25" customHeight="1" outlineLevel="1" x14ac:dyDescent="0.25">
      <c r="B289" s="2024"/>
      <c r="C289" s="2025"/>
      <c r="D289" s="2025"/>
      <c r="E289" s="2025"/>
      <c r="F289" s="2025"/>
      <c r="G289" s="2025"/>
      <c r="H289" s="2025"/>
      <c r="I289" s="1743"/>
      <c r="J289" s="2026"/>
      <c r="K289" s="972"/>
      <c r="L289" s="2018"/>
      <c r="M289" s="2020"/>
      <c r="N289" s="2022"/>
      <c r="P289" s="78"/>
      <c r="Q289" s="66"/>
      <c r="R289" s="66"/>
      <c r="S289" s="66"/>
      <c r="T289" s="66"/>
      <c r="U289" s="66"/>
      <c r="V289" s="399"/>
      <c r="W289" s="399"/>
      <c r="X289" s="399"/>
      <c r="Y289" s="72"/>
      <c r="Z289" s="72"/>
      <c r="AA289" s="72"/>
      <c r="AB289" s="72"/>
      <c r="AC289" s="72"/>
      <c r="AD289" s="72"/>
      <c r="AE289" s="72"/>
      <c r="AF289" s="72"/>
      <c r="AG289" s="72"/>
      <c r="AH289" s="72"/>
      <c r="AI289" s="72"/>
      <c r="AJ289" s="72"/>
      <c r="AK289" s="72"/>
      <c r="AL289" s="72"/>
      <c r="AM289" s="72"/>
    </row>
    <row r="290" spans="2:39" ht="14.25" customHeight="1" outlineLevel="1" x14ac:dyDescent="0.25">
      <c r="B290" s="2024" t="s">
        <v>797</v>
      </c>
      <c r="C290" s="2025"/>
      <c r="D290" s="2025"/>
      <c r="E290" s="2025"/>
      <c r="F290" s="2025"/>
      <c r="G290" s="2025"/>
      <c r="H290" s="2025"/>
      <c r="I290" s="1727" t="s">
        <v>100</v>
      </c>
      <c r="J290" s="2026"/>
      <c r="K290" s="972"/>
      <c r="L290" s="2018">
        <f t="shared" ref="L290" si="121">J290*K290</f>
        <v>0</v>
      </c>
      <c r="M290" s="2020" t="str">
        <f>IFERROR(IF((VLOOKUP(N290,Überblick!$M$125:$N$133,2))="ja","ja","nein"),"")</f>
        <v/>
      </c>
      <c r="N290" s="2022"/>
      <c r="O290" s="72">
        <f t="shared" si="107"/>
        <v>0</v>
      </c>
      <c r="P290" s="78">
        <f t="shared" si="110"/>
        <v>0</v>
      </c>
      <c r="Q290" s="66"/>
      <c r="R290" s="66"/>
      <c r="S290" s="66"/>
      <c r="T290" s="66"/>
      <c r="U290" s="66"/>
      <c r="V290" s="399"/>
      <c r="W290" s="399"/>
      <c r="X290" s="399"/>
      <c r="Y290" s="72"/>
      <c r="Z290" s="72"/>
      <c r="AA290" s="72"/>
      <c r="AB290" s="72"/>
      <c r="AC290" s="72"/>
      <c r="AD290" s="72"/>
      <c r="AE290" s="72"/>
      <c r="AF290" s="72"/>
      <c r="AG290" s="72"/>
      <c r="AH290" s="72"/>
      <c r="AI290" s="72"/>
      <c r="AJ290" s="72"/>
      <c r="AK290" s="72"/>
      <c r="AL290" s="72"/>
      <c r="AM290" s="72"/>
    </row>
    <row r="291" spans="2:39" ht="14.25" customHeight="1" outlineLevel="1" x14ac:dyDescent="0.25">
      <c r="B291" s="2024"/>
      <c r="C291" s="2025"/>
      <c r="D291" s="2025"/>
      <c r="E291" s="2025"/>
      <c r="F291" s="2025"/>
      <c r="G291" s="2025"/>
      <c r="H291" s="2025"/>
      <c r="I291" s="1743"/>
      <c r="J291" s="2026"/>
      <c r="K291" s="972"/>
      <c r="L291" s="2018"/>
      <c r="M291" s="2020"/>
      <c r="N291" s="2022"/>
      <c r="P291" s="78"/>
      <c r="Q291" s="66"/>
      <c r="R291" s="66"/>
      <c r="S291" s="66"/>
      <c r="T291" s="66"/>
      <c r="U291" s="66"/>
      <c r="V291" s="399"/>
      <c r="W291" s="399"/>
      <c r="X291" s="399"/>
      <c r="Y291" s="72"/>
      <c r="Z291" s="72"/>
      <c r="AA291" s="72"/>
      <c r="AB291" s="72"/>
      <c r="AC291" s="72"/>
      <c r="AD291" s="72"/>
      <c r="AE291" s="72"/>
      <c r="AF291" s="72"/>
      <c r="AG291" s="72"/>
      <c r="AH291" s="72"/>
      <c r="AI291" s="72"/>
      <c r="AJ291" s="72"/>
      <c r="AK291" s="72"/>
      <c r="AL291" s="72"/>
      <c r="AM291" s="72"/>
    </row>
    <row r="292" spans="2:39" ht="14.25" customHeight="1" outlineLevel="1" x14ac:dyDescent="0.25">
      <c r="B292" s="2024" t="s">
        <v>798</v>
      </c>
      <c r="C292" s="2025"/>
      <c r="D292" s="2025"/>
      <c r="E292" s="2025"/>
      <c r="F292" s="2025"/>
      <c r="G292" s="2025"/>
      <c r="H292" s="2025"/>
      <c r="I292" s="1775" t="s">
        <v>100</v>
      </c>
      <c r="J292" s="2026"/>
      <c r="K292" s="972"/>
      <c r="L292" s="2018">
        <f t="shared" ref="L292" si="122">J292*K292</f>
        <v>0</v>
      </c>
      <c r="M292" s="2020" t="str">
        <f>IFERROR(IF((VLOOKUP(N292,Überblick!$M$125:$N$133,2))="ja","ja","nein"),"")</f>
        <v/>
      </c>
      <c r="N292" s="2022"/>
      <c r="O292" s="72">
        <f t="shared" si="107"/>
        <v>0</v>
      </c>
      <c r="P292" s="78">
        <f t="shared" si="110"/>
        <v>0</v>
      </c>
      <c r="Q292" s="66"/>
      <c r="R292" s="66"/>
      <c r="S292" s="66"/>
      <c r="T292" s="66"/>
      <c r="U292" s="66"/>
      <c r="V292" s="399"/>
      <c r="W292" s="399"/>
      <c r="X292" s="399"/>
      <c r="Y292" s="72"/>
      <c r="Z292" s="72"/>
      <c r="AA292" s="72"/>
      <c r="AB292" s="72"/>
      <c r="AC292" s="72"/>
      <c r="AD292" s="72"/>
      <c r="AE292" s="72"/>
      <c r="AF292" s="72"/>
      <c r="AG292" s="72"/>
      <c r="AH292" s="72"/>
      <c r="AI292" s="72"/>
      <c r="AJ292" s="72"/>
      <c r="AK292" s="72"/>
      <c r="AL292" s="72"/>
      <c r="AM292" s="72"/>
    </row>
    <row r="293" spans="2:39" ht="14.25" customHeight="1" outlineLevel="1" x14ac:dyDescent="0.25">
      <c r="B293" s="2024"/>
      <c r="C293" s="2025"/>
      <c r="D293" s="2025"/>
      <c r="E293" s="2025"/>
      <c r="F293" s="2025"/>
      <c r="G293" s="2025"/>
      <c r="H293" s="2025"/>
      <c r="I293" s="1775"/>
      <c r="J293" s="2026"/>
      <c r="K293" s="972"/>
      <c r="L293" s="2018"/>
      <c r="M293" s="2020"/>
      <c r="N293" s="2022"/>
      <c r="P293" s="78"/>
      <c r="Q293" s="66"/>
      <c r="R293" s="66"/>
      <c r="S293" s="66"/>
      <c r="T293" s="66"/>
      <c r="U293" s="66"/>
      <c r="V293" s="399"/>
      <c r="W293" s="399"/>
      <c r="X293" s="399"/>
      <c r="Y293" s="72"/>
      <c r="Z293" s="72"/>
      <c r="AA293" s="72"/>
      <c r="AB293" s="72"/>
      <c r="AC293" s="72"/>
      <c r="AD293" s="72"/>
      <c r="AE293" s="72"/>
      <c r="AF293" s="72"/>
      <c r="AG293" s="72"/>
      <c r="AH293" s="72"/>
      <c r="AI293" s="72"/>
      <c r="AJ293" s="72"/>
      <c r="AK293" s="72"/>
      <c r="AL293" s="72"/>
      <c r="AM293" s="72"/>
    </row>
    <row r="294" spans="2:39" ht="14.25" customHeight="1" outlineLevel="1" x14ac:dyDescent="0.25">
      <c r="B294" s="2024"/>
      <c r="C294" s="2025"/>
      <c r="D294" s="2025"/>
      <c r="E294" s="2025"/>
      <c r="F294" s="2025"/>
      <c r="G294" s="2025"/>
      <c r="H294" s="2025"/>
      <c r="I294" s="1775"/>
      <c r="J294" s="2026"/>
      <c r="K294" s="972"/>
      <c r="L294" s="2018"/>
      <c r="M294" s="2020"/>
      <c r="N294" s="2022"/>
      <c r="P294" s="78"/>
      <c r="Q294" s="66"/>
      <c r="R294" s="66"/>
      <c r="S294" s="66"/>
      <c r="T294" s="66"/>
      <c r="U294" s="66"/>
      <c r="V294" s="399"/>
      <c r="W294" s="399"/>
      <c r="X294" s="399"/>
      <c r="Y294" s="72"/>
      <c r="Z294" s="72"/>
      <c r="AA294" s="72"/>
      <c r="AB294" s="72"/>
      <c r="AC294" s="72"/>
      <c r="AD294" s="72"/>
      <c r="AE294" s="72"/>
      <c r="AF294" s="72"/>
      <c r="AG294" s="72"/>
      <c r="AH294" s="72"/>
      <c r="AI294" s="72"/>
      <c r="AJ294" s="72"/>
      <c r="AK294" s="72"/>
      <c r="AL294" s="72"/>
      <c r="AM294" s="72"/>
    </row>
    <row r="295" spans="2:39" ht="14.25" customHeight="1" outlineLevel="1" x14ac:dyDescent="0.25">
      <c r="B295" s="2024" t="s">
        <v>799</v>
      </c>
      <c r="C295" s="2025"/>
      <c r="D295" s="2025"/>
      <c r="E295" s="2025"/>
      <c r="F295" s="2025"/>
      <c r="G295" s="2025"/>
      <c r="H295" s="2025"/>
      <c r="I295" s="1727" t="s">
        <v>100</v>
      </c>
      <c r="J295" s="2026"/>
      <c r="K295" s="972"/>
      <c r="L295" s="2018">
        <f t="shared" ref="L295" si="123">J295*K295</f>
        <v>0</v>
      </c>
      <c r="M295" s="2020" t="str">
        <f>IFERROR(IF((VLOOKUP(N295,Überblick!$M$125:$N$133,2))="ja","ja","nein"),"")</f>
        <v/>
      </c>
      <c r="N295" s="2022"/>
      <c r="O295" s="72">
        <f t="shared" ref="O295:O297" si="124">IF(AND(I295="ja",J295=""),1,0)</f>
        <v>0</v>
      </c>
      <c r="P295" s="78">
        <f t="shared" si="110"/>
        <v>0</v>
      </c>
      <c r="Q295" s="66"/>
      <c r="R295" s="66"/>
      <c r="S295" s="66"/>
      <c r="T295" s="66"/>
      <c r="U295" s="66"/>
      <c r="V295" s="399"/>
      <c r="W295" s="399"/>
      <c r="X295" s="399"/>
      <c r="Y295" s="72"/>
      <c r="Z295" s="72"/>
      <c r="AA295" s="72"/>
      <c r="AB295" s="72"/>
      <c r="AC295" s="72"/>
      <c r="AD295" s="72"/>
      <c r="AE295" s="72"/>
      <c r="AF295" s="72"/>
      <c r="AG295" s="72"/>
      <c r="AH295" s="72"/>
      <c r="AI295" s="72"/>
      <c r="AJ295" s="72"/>
      <c r="AK295" s="72"/>
      <c r="AL295" s="72"/>
      <c r="AM295" s="72"/>
    </row>
    <row r="296" spans="2:39" ht="14.25" customHeight="1" outlineLevel="1" x14ac:dyDescent="0.25">
      <c r="B296" s="2024"/>
      <c r="C296" s="2025"/>
      <c r="D296" s="2025"/>
      <c r="E296" s="2025"/>
      <c r="F296" s="2025"/>
      <c r="G296" s="2025"/>
      <c r="H296" s="2025"/>
      <c r="I296" s="1743"/>
      <c r="J296" s="2026"/>
      <c r="K296" s="972"/>
      <c r="L296" s="2018"/>
      <c r="M296" s="2020"/>
      <c r="N296" s="2022"/>
      <c r="P296" s="78"/>
      <c r="Q296" s="66"/>
      <c r="R296" s="66"/>
      <c r="S296" s="66"/>
      <c r="T296" s="66"/>
      <c r="U296" s="66"/>
      <c r="V296" s="399"/>
      <c r="W296" s="399"/>
      <c r="X296" s="399"/>
      <c r="Y296" s="72"/>
      <c r="Z296" s="72"/>
      <c r="AA296" s="72"/>
      <c r="AB296" s="72"/>
      <c r="AC296" s="72"/>
      <c r="AD296" s="72"/>
      <c r="AE296" s="72"/>
      <c r="AF296" s="72"/>
      <c r="AG296" s="72"/>
      <c r="AH296" s="72"/>
      <c r="AI296" s="72"/>
      <c r="AJ296" s="72"/>
      <c r="AK296" s="72"/>
      <c r="AL296" s="72"/>
      <c r="AM296" s="72"/>
    </row>
    <row r="297" spans="2:39" ht="14.25" customHeight="1" outlineLevel="1" x14ac:dyDescent="0.25">
      <c r="B297" s="2024" t="s">
        <v>800</v>
      </c>
      <c r="C297" s="2025"/>
      <c r="D297" s="2025"/>
      <c r="E297" s="2025"/>
      <c r="F297" s="2025"/>
      <c r="G297" s="2025"/>
      <c r="H297" s="2025"/>
      <c r="I297" s="1775" t="s">
        <v>100</v>
      </c>
      <c r="J297" s="2026"/>
      <c r="K297" s="972"/>
      <c r="L297" s="2018">
        <f t="shared" ref="L297" si="125">J297*K297</f>
        <v>0</v>
      </c>
      <c r="M297" s="2020" t="str">
        <f>IFERROR(IF((VLOOKUP(N297,Überblick!$M$125:$N$133,2))="ja","ja","nein"),"")</f>
        <v/>
      </c>
      <c r="N297" s="2022"/>
      <c r="O297" s="72">
        <f t="shared" si="124"/>
        <v>0</v>
      </c>
      <c r="P297" s="78">
        <f t="shared" si="110"/>
        <v>0</v>
      </c>
      <c r="Q297" s="66"/>
      <c r="R297" s="66"/>
      <c r="S297" s="66"/>
      <c r="T297" s="66"/>
      <c r="U297" s="66"/>
      <c r="V297" s="399"/>
      <c r="W297" s="399"/>
      <c r="X297" s="399"/>
      <c r="Y297" s="72"/>
      <c r="Z297" s="72"/>
      <c r="AA297" s="72"/>
      <c r="AB297" s="72"/>
      <c r="AC297" s="72"/>
      <c r="AD297" s="72"/>
      <c r="AE297" s="72"/>
      <c r="AF297" s="72"/>
      <c r="AG297" s="72"/>
      <c r="AH297" s="72"/>
      <c r="AI297" s="72"/>
      <c r="AJ297" s="72"/>
      <c r="AK297" s="72"/>
      <c r="AL297" s="72"/>
      <c r="AM297" s="72"/>
    </row>
    <row r="298" spans="2:39" ht="14.25" customHeight="1" outlineLevel="1" x14ac:dyDescent="0.25">
      <c r="B298" s="2024"/>
      <c r="C298" s="2025"/>
      <c r="D298" s="2025"/>
      <c r="E298" s="2025"/>
      <c r="F298" s="2025"/>
      <c r="G298" s="2025"/>
      <c r="H298" s="2025"/>
      <c r="I298" s="1775"/>
      <c r="J298" s="2026"/>
      <c r="K298" s="972"/>
      <c r="L298" s="2018"/>
      <c r="M298" s="2020"/>
      <c r="N298" s="2022"/>
      <c r="P298" s="78"/>
      <c r="Q298" s="66"/>
      <c r="R298" s="66"/>
      <c r="S298" s="66"/>
      <c r="T298" s="66"/>
      <c r="U298" s="66"/>
      <c r="V298" s="399"/>
      <c r="W298" s="399"/>
      <c r="X298" s="399"/>
      <c r="Y298" s="72"/>
      <c r="Z298" s="72"/>
      <c r="AA298" s="72"/>
      <c r="AB298" s="72"/>
      <c r="AC298" s="72"/>
      <c r="AD298" s="72"/>
      <c r="AE298" s="72"/>
      <c r="AF298" s="72"/>
      <c r="AG298" s="72"/>
      <c r="AH298" s="72"/>
      <c r="AI298" s="72"/>
      <c r="AJ298" s="72"/>
      <c r="AK298" s="72"/>
      <c r="AL298" s="72"/>
      <c r="AM298" s="72"/>
    </row>
    <row r="299" spans="2:39" ht="14.25" customHeight="1" outlineLevel="1" x14ac:dyDescent="0.25">
      <c r="B299" s="2024"/>
      <c r="C299" s="2025"/>
      <c r="D299" s="2025"/>
      <c r="E299" s="2025"/>
      <c r="F299" s="2025"/>
      <c r="G299" s="2025"/>
      <c r="H299" s="2025"/>
      <c r="I299" s="1775"/>
      <c r="J299" s="2026"/>
      <c r="K299" s="972"/>
      <c r="L299" s="2018"/>
      <c r="M299" s="2020"/>
      <c r="N299" s="2022"/>
      <c r="P299" s="78"/>
      <c r="Q299" s="66"/>
      <c r="R299" s="66"/>
      <c r="S299" s="66"/>
      <c r="T299" s="66"/>
      <c r="U299" s="66"/>
      <c r="V299" s="399"/>
      <c r="W299" s="399"/>
      <c r="X299" s="399"/>
      <c r="Y299" s="72"/>
      <c r="Z299" s="72"/>
      <c r="AA299" s="72"/>
      <c r="AB299" s="72"/>
      <c r="AC299" s="72"/>
      <c r="AD299" s="72"/>
      <c r="AE299" s="72"/>
      <c r="AF299" s="72"/>
      <c r="AG299" s="72"/>
      <c r="AH299" s="72"/>
      <c r="AI299" s="72"/>
      <c r="AJ299" s="72"/>
      <c r="AK299" s="72"/>
      <c r="AL299" s="72"/>
      <c r="AM299" s="72"/>
    </row>
    <row r="300" spans="2:39" ht="14.25" customHeight="1" outlineLevel="1" x14ac:dyDescent="0.25">
      <c r="B300" s="2024" t="s">
        <v>801</v>
      </c>
      <c r="C300" s="2025"/>
      <c r="D300" s="2025"/>
      <c r="E300" s="2025"/>
      <c r="F300" s="2025"/>
      <c r="G300" s="2025"/>
      <c r="H300" s="2025"/>
      <c r="I300" s="1727" t="s">
        <v>100</v>
      </c>
      <c r="J300" s="2026"/>
      <c r="K300" s="972"/>
      <c r="L300" s="2018">
        <f t="shared" ref="L300" si="126">J300*K300</f>
        <v>0</v>
      </c>
      <c r="M300" s="2020" t="str">
        <f>IFERROR(IF((VLOOKUP(N300,Überblick!$M$125:$N$133,2))="ja","ja","nein"),"")</f>
        <v/>
      </c>
      <c r="N300" s="2022"/>
      <c r="O300" s="72">
        <f t="shared" ref="O300:O330" si="127">IF(AND(I300="ja",J300=""),1,0)</f>
        <v>0</v>
      </c>
      <c r="P300" s="78">
        <f t="shared" si="110"/>
        <v>0</v>
      </c>
      <c r="Q300" s="66"/>
      <c r="R300" s="66"/>
      <c r="S300" s="66"/>
      <c r="T300" s="66"/>
      <c r="U300" s="66"/>
      <c r="V300" s="399"/>
      <c r="W300" s="399"/>
      <c r="X300" s="399"/>
      <c r="Y300" s="72"/>
      <c r="Z300" s="72"/>
      <c r="AA300" s="72"/>
      <c r="AB300" s="72"/>
      <c r="AC300" s="72"/>
      <c r="AD300" s="72"/>
      <c r="AE300" s="72"/>
      <c r="AF300" s="72"/>
      <c r="AG300" s="72"/>
      <c r="AH300" s="72"/>
      <c r="AI300" s="72"/>
      <c r="AJ300" s="72"/>
      <c r="AK300" s="72"/>
      <c r="AL300" s="72"/>
      <c r="AM300" s="72"/>
    </row>
    <row r="301" spans="2:39" ht="14.25" customHeight="1" outlineLevel="1" x14ac:dyDescent="0.25">
      <c r="B301" s="2024"/>
      <c r="C301" s="2025"/>
      <c r="D301" s="2025"/>
      <c r="E301" s="2025"/>
      <c r="F301" s="2025"/>
      <c r="G301" s="2025"/>
      <c r="H301" s="2025"/>
      <c r="I301" s="1743"/>
      <c r="J301" s="2026"/>
      <c r="K301" s="972"/>
      <c r="L301" s="2018"/>
      <c r="M301" s="2020"/>
      <c r="N301" s="2022"/>
      <c r="P301" s="78"/>
      <c r="Q301" s="66"/>
      <c r="R301" s="66"/>
      <c r="S301" s="66"/>
      <c r="T301" s="66"/>
      <c r="U301" s="66"/>
      <c r="V301" s="399"/>
      <c r="W301" s="399"/>
      <c r="X301" s="399"/>
      <c r="Y301" s="72"/>
      <c r="Z301" s="72"/>
      <c r="AA301" s="72"/>
      <c r="AB301" s="72"/>
      <c r="AC301" s="72"/>
      <c r="AD301" s="72"/>
      <c r="AE301" s="72"/>
      <c r="AF301" s="72"/>
      <c r="AG301" s="72"/>
      <c r="AH301" s="72"/>
      <c r="AI301" s="72"/>
      <c r="AJ301" s="72"/>
      <c r="AK301" s="72"/>
      <c r="AL301" s="72"/>
      <c r="AM301" s="72"/>
    </row>
    <row r="302" spans="2:39" ht="14.25" customHeight="1" outlineLevel="1" x14ac:dyDescent="0.25">
      <c r="B302" s="2024" t="s">
        <v>802</v>
      </c>
      <c r="C302" s="2025"/>
      <c r="D302" s="2025"/>
      <c r="E302" s="2025"/>
      <c r="F302" s="2025"/>
      <c r="G302" s="2025"/>
      <c r="H302" s="2025"/>
      <c r="I302" s="1727" t="s">
        <v>100</v>
      </c>
      <c r="J302" s="2026"/>
      <c r="K302" s="972"/>
      <c r="L302" s="2018">
        <f t="shared" ref="L302" si="128">J302*K302</f>
        <v>0</v>
      </c>
      <c r="M302" s="2020" t="str">
        <f>IFERROR(IF((VLOOKUP(N302,Überblick!$M$125:$N$133,2))="ja","ja","nein"),"")</f>
        <v/>
      </c>
      <c r="N302" s="2022"/>
      <c r="O302" s="72">
        <f t="shared" si="127"/>
        <v>0</v>
      </c>
      <c r="P302" s="78">
        <f t="shared" si="110"/>
        <v>0</v>
      </c>
      <c r="Q302" s="66"/>
      <c r="R302" s="66"/>
      <c r="S302" s="66"/>
      <c r="T302" s="66"/>
      <c r="U302" s="66"/>
      <c r="V302" s="399"/>
      <c r="W302" s="399"/>
      <c r="X302" s="399"/>
      <c r="Y302" s="72"/>
      <c r="Z302" s="72"/>
      <c r="AA302" s="72"/>
      <c r="AB302" s="72"/>
      <c r="AC302" s="72"/>
      <c r="AD302" s="72"/>
      <c r="AE302" s="72"/>
      <c r="AF302" s="72"/>
      <c r="AG302" s="72"/>
      <c r="AH302" s="72"/>
      <c r="AI302" s="72"/>
      <c r="AJ302" s="72"/>
      <c r="AK302" s="72"/>
      <c r="AL302" s="72"/>
      <c r="AM302" s="72"/>
    </row>
    <row r="303" spans="2:39" ht="14.25" customHeight="1" outlineLevel="1" x14ac:dyDescent="0.25">
      <c r="B303" s="2024"/>
      <c r="C303" s="2025"/>
      <c r="D303" s="2025"/>
      <c r="E303" s="2025"/>
      <c r="F303" s="2025"/>
      <c r="G303" s="2025"/>
      <c r="H303" s="2025"/>
      <c r="I303" s="1743"/>
      <c r="J303" s="2026"/>
      <c r="K303" s="972"/>
      <c r="L303" s="2018"/>
      <c r="M303" s="2020"/>
      <c r="N303" s="2022"/>
      <c r="P303" s="78"/>
      <c r="Q303" s="66"/>
      <c r="R303" s="66"/>
      <c r="S303" s="66"/>
      <c r="T303" s="66"/>
      <c r="U303" s="66"/>
      <c r="V303" s="399"/>
      <c r="W303" s="399"/>
      <c r="X303" s="399"/>
      <c r="Y303" s="72"/>
      <c r="Z303" s="72"/>
      <c r="AA303" s="72"/>
      <c r="AB303" s="72"/>
      <c r="AC303" s="72"/>
      <c r="AD303" s="72"/>
      <c r="AE303" s="72"/>
      <c r="AF303" s="72"/>
      <c r="AG303" s="72"/>
      <c r="AH303" s="72"/>
      <c r="AI303" s="72"/>
      <c r="AJ303" s="72"/>
      <c r="AK303" s="72"/>
      <c r="AL303" s="72"/>
      <c r="AM303" s="72"/>
    </row>
    <row r="304" spans="2:39" ht="14.25" customHeight="1" outlineLevel="1" x14ac:dyDescent="0.25">
      <c r="B304" s="2024" t="s">
        <v>803</v>
      </c>
      <c r="C304" s="2025"/>
      <c r="D304" s="2025"/>
      <c r="E304" s="2025"/>
      <c r="F304" s="2025"/>
      <c r="G304" s="2025"/>
      <c r="H304" s="2025"/>
      <c r="I304" s="1727" t="s">
        <v>100</v>
      </c>
      <c r="J304" s="2026"/>
      <c r="K304" s="972"/>
      <c r="L304" s="2018">
        <f t="shared" ref="L304" si="129">J304*K304</f>
        <v>0</v>
      </c>
      <c r="M304" s="2020" t="str">
        <f>IFERROR(IF((VLOOKUP(N304,Überblick!$M$125:$N$133,2))="ja","ja","nein"),"")</f>
        <v/>
      </c>
      <c r="N304" s="2022"/>
      <c r="O304" s="72">
        <f t="shared" si="127"/>
        <v>0</v>
      </c>
      <c r="P304" s="78">
        <f t="shared" si="110"/>
        <v>0</v>
      </c>
      <c r="Q304" s="66"/>
      <c r="R304" s="66"/>
      <c r="S304" s="66"/>
      <c r="T304" s="66"/>
      <c r="U304" s="66"/>
      <c r="V304" s="399"/>
      <c r="W304" s="399"/>
      <c r="X304" s="399"/>
      <c r="Y304" s="72"/>
      <c r="Z304" s="72"/>
      <c r="AA304" s="72"/>
      <c r="AB304" s="72"/>
      <c r="AC304" s="72"/>
      <c r="AD304" s="72"/>
      <c r="AE304" s="72"/>
      <c r="AF304" s="72"/>
      <c r="AG304" s="72"/>
      <c r="AH304" s="72"/>
      <c r="AI304" s="72"/>
      <c r="AJ304" s="72"/>
      <c r="AK304" s="72"/>
      <c r="AL304" s="72"/>
      <c r="AM304" s="72"/>
    </row>
    <row r="305" spans="2:39" ht="14.25" customHeight="1" outlineLevel="1" x14ac:dyDescent="0.25">
      <c r="B305" s="2024"/>
      <c r="C305" s="2025"/>
      <c r="D305" s="2025"/>
      <c r="E305" s="2025"/>
      <c r="F305" s="2025"/>
      <c r="G305" s="2025"/>
      <c r="H305" s="2025"/>
      <c r="I305" s="1743"/>
      <c r="J305" s="2026"/>
      <c r="K305" s="972"/>
      <c r="L305" s="2018"/>
      <c r="M305" s="2020"/>
      <c r="N305" s="2022"/>
      <c r="P305" s="78"/>
      <c r="Q305" s="66"/>
      <c r="R305" s="66"/>
      <c r="S305" s="66"/>
      <c r="T305" s="66"/>
      <c r="U305" s="66"/>
      <c r="V305" s="399"/>
      <c r="W305" s="399"/>
      <c r="X305" s="399"/>
      <c r="Y305" s="72"/>
      <c r="Z305" s="72"/>
      <c r="AA305" s="72"/>
      <c r="AB305" s="72"/>
      <c r="AC305" s="72"/>
      <c r="AD305" s="72"/>
      <c r="AE305" s="72"/>
      <c r="AF305" s="72"/>
      <c r="AG305" s="72"/>
      <c r="AH305" s="72"/>
      <c r="AI305" s="72"/>
      <c r="AJ305" s="72"/>
      <c r="AK305" s="72"/>
      <c r="AL305" s="72"/>
      <c r="AM305" s="72"/>
    </row>
    <row r="306" spans="2:39" ht="14.25" customHeight="1" outlineLevel="1" x14ac:dyDescent="0.25">
      <c r="B306" s="2024" t="s">
        <v>804</v>
      </c>
      <c r="C306" s="2025"/>
      <c r="D306" s="2025"/>
      <c r="E306" s="2025"/>
      <c r="F306" s="2025"/>
      <c r="G306" s="2025"/>
      <c r="H306" s="2025"/>
      <c r="I306" s="1727" t="s">
        <v>100</v>
      </c>
      <c r="J306" s="2026"/>
      <c r="K306" s="972"/>
      <c r="L306" s="2018">
        <f t="shared" ref="L306" si="130">J306*K306</f>
        <v>0</v>
      </c>
      <c r="M306" s="2020" t="str">
        <f>IFERROR(IF((VLOOKUP(N306,Überblick!$M$125:$N$133,2))="ja","ja","nein"),"")</f>
        <v/>
      </c>
      <c r="N306" s="2022"/>
      <c r="O306" s="72">
        <f t="shared" si="127"/>
        <v>0</v>
      </c>
      <c r="P306" s="78">
        <f t="shared" si="110"/>
        <v>0</v>
      </c>
      <c r="Q306" s="66"/>
      <c r="R306" s="66"/>
      <c r="S306" s="66"/>
      <c r="T306" s="66"/>
      <c r="U306" s="66"/>
      <c r="V306" s="399"/>
      <c r="W306" s="399"/>
      <c r="X306" s="399"/>
      <c r="Y306" s="72"/>
      <c r="Z306" s="72"/>
      <c r="AA306" s="72"/>
      <c r="AB306" s="72"/>
      <c r="AC306" s="72"/>
      <c r="AD306" s="72"/>
      <c r="AE306" s="72"/>
      <c r="AF306" s="72"/>
      <c r="AG306" s="72"/>
      <c r="AH306" s="72"/>
      <c r="AI306" s="72"/>
      <c r="AJ306" s="72"/>
      <c r="AK306" s="72"/>
      <c r="AL306" s="72"/>
      <c r="AM306" s="72"/>
    </row>
    <row r="307" spans="2:39" ht="14.25" customHeight="1" outlineLevel="1" x14ac:dyDescent="0.25">
      <c r="B307" s="2024"/>
      <c r="C307" s="2025"/>
      <c r="D307" s="2025"/>
      <c r="E307" s="2025"/>
      <c r="F307" s="2025"/>
      <c r="G307" s="2025"/>
      <c r="H307" s="2025"/>
      <c r="I307" s="1743"/>
      <c r="J307" s="2026"/>
      <c r="K307" s="972"/>
      <c r="L307" s="2018"/>
      <c r="M307" s="2020"/>
      <c r="N307" s="2022"/>
      <c r="P307" s="78"/>
      <c r="Q307" s="66"/>
      <c r="R307" s="66"/>
      <c r="S307" s="66"/>
      <c r="T307" s="66"/>
      <c r="U307" s="66"/>
      <c r="V307" s="399"/>
      <c r="W307" s="399"/>
      <c r="X307" s="399"/>
      <c r="Y307" s="72"/>
      <c r="Z307" s="72"/>
      <c r="AA307" s="72"/>
      <c r="AB307" s="72"/>
      <c r="AC307" s="72"/>
      <c r="AD307" s="72"/>
      <c r="AE307" s="72"/>
      <c r="AF307" s="72"/>
      <c r="AG307" s="72"/>
      <c r="AH307" s="72"/>
      <c r="AI307" s="72"/>
      <c r="AJ307" s="72"/>
      <c r="AK307" s="72"/>
      <c r="AL307" s="72"/>
      <c r="AM307" s="72"/>
    </row>
    <row r="308" spans="2:39" ht="14.25" customHeight="1" outlineLevel="1" x14ac:dyDescent="0.25">
      <c r="B308" s="2024" t="s">
        <v>805</v>
      </c>
      <c r="C308" s="2025"/>
      <c r="D308" s="2025"/>
      <c r="E308" s="2025"/>
      <c r="F308" s="2025"/>
      <c r="G308" s="2025"/>
      <c r="H308" s="2025"/>
      <c r="I308" s="1727" t="s">
        <v>100</v>
      </c>
      <c r="J308" s="2026"/>
      <c r="K308" s="972"/>
      <c r="L308" s="2018">
        <f t="shared" ref="L308" si="131">J308*K308</f>
        <v>0</v>
      </c>
      <c r="M308" s="2020" t="str">
        <f>IFERROR(IF((VLOOKUP(N308,Überblick!$M$125:$N$133,2))="ja","ja","nein"),"")</f>
        <v/>
      </c>
      <c r="N308" s="2022"/>
      <c r="O308" s="72">
        <f t="shared" si="127"/>
        <v>0</v>
      </c>
      <c r="P308" s="78">
        <f t="shared" si="110"/>
        <v>0</v>
      </c>
      <c r="Q308" s="66"/>
      <c r="R308" s="66"/>
      <c r="S308" s="66"/>
      <c r="T308" s="66"/>
      <c r="U308" s="66"/>
      <c r="V308" s="399"/>
      <c r="W308" s="399"/>
      <c r="X308" s="399"/>
      <c r="Y308" s="72"/>
      <c r="Z308" s="72"/>
      <c r="AA308" s="72"/>
      <c r="AB308" s="72"/>
      <c r="AC308" s="72"/>
      <c r="AD308" s="72"/>
      <c r="AE308" s="72"/>
      <c r="AF308" s="72"/>
      <c r="AG308" s="72"/>
      <c r="AH308" s="72"/>
      <c r="AI308" s="72"/>
      <c r="AJ308" s="72"/>
      <c r="AK308" s="72"/>
      <c r="AL308" s="72"/>
      <c r="AM308" s="72"/>
    </row>
    <row r="309" spans="2:39" ht="14.25" customHeight="1" outlineLevel="1" x14ac:dyDescent="0.25">
      <c r="B309" s="2027"/>
      <c r="C309" s="2028"/>
      <c r="D309" s="2028"/>
      <c r="E309" s="2028"/>
      <c r="F309" s="2028"/>
      <c r="G309" s="2028"/>
      <c r="H309" s="2028"/>
      <c r="I309" s="1743"/>
      <c r="J309" s="2029"/>
      <c r="K309" s="974"/>
      <c r="L309" s="2019"/>
      <c r="M309" s="2020"/>
      <c r="N309" s="2023"/>
      <c r="P309" s="78"/>
      <c r="Q309" s="66"/>
      <c r="R309" s="66"/>
      <c r="S309" s="66"/>
      <c r="T309" s="66"/>
      <c r="U309" s="66"/>
      <c r="V309" s="399"/>
      <c r="W309" s="399"/>
      <c r="X309" s="399"/>
      <c r="Y309" s="72"/>
      <c r="Z309" s="72"/>
      <c r="AA309" s="72"/>
      <c r="AB309" s="72"/>
      <c r="AC309" s="72"/>
      <c r="AD309" s="72"/>
      <c r="AE309" s="72"/>
      <c r="AF309" s="72"/>
      <c r="AG309" s="72"/>
      <c r="AH309" s="72"/>
      <c r="AI309" s="72"/>
      <c r="AJ309" s="72"/>
      <c r="AK309" s="72"/>
      <c r="AL309" s="72"/>
      <c r="AM309" s="72"/>
    </row>
    <row r="310" spans="2:39" ht="14.25" customHeight="1" outlineLevel="1" x14ac:dyDescent="0.25">
      <c r="B310" s="2024" t="s">
        <v>806</v>
      </c>
      <c r="C310" s="2025"/>
      <c r="D310" s="2025"/>
      <c r="E310" s="2025"/>
      <c r="F310" s="2025"/>
      <c r="G310" s="2025"/>
      <c r="H310" s="2025"/>
      <c r="I310" s="1727" t="s">
        <v>100</v>
      </c>
      <c r="J310" s="2026"/>
      <c r="K310" s="972"/>
      <c r="L310" s="2018">
        <f t="shared" ref="L310" si="132">J310*K310</f>
        <v>0</v>
      </c>
      <c r="M310" s="2020" t="str">
        <f>IFERROR(IF((VLOOKUP(N310,Überblick!$M$125:$N$133,2))="ja","ja","nein"),"")</f>
        <v/>
      </c>
      <c r="N310" s="2022"/>
      <c r="O310" s="72">
        <f t="shared" si="127"/>
        <v>0</v>
      </c>
      <c r="P310" s="78">
        <f t="shared" si="110"/>
        <v>0</v>
      </c>
      <c r="Q310" s="66"/>
      <c r="R310" s="66"/>
      <c r="S310" s="66"/>
      <c r="T310" s="66"/>
      <c r="U310" s="66"/>
      <c r="V310" s="399"/>
      <c r="W310" s="399"/>
      <c r="X310" s="399"/>
      <c r="Y310" s="72"/>
      <c r="Z310" s="72"/>
      <c r="AA310" s="72"/>
      <c r="AB310" s="72"/>
      <c r="AC310" s="72"/>
      <c r="AD310" s="72"/>
      <c r="AE310" s="72"/>
      <c r="AF310" s="72"/>
      <c r="AG310" s="72"/>
      <c r="AH310" s="72"/>
      <c r="AI310" s="72"/>
      <c r="AJ310" s="72"/>
      <c r="AK310" s="72"/>
      <c r="AL310" s="72"/>
      <c r="AM310" s="72"/>
    </row>
    <row r="311" spans="2:39" ht="14.25" customHeight="1" outlineLevel="1" x14ac:dyDescent="0.25">
      <c r="B311" s="2024"/>
      <c r="C311" s="2025"/>
      <c r="D311" s="2025"/>
      <c r="E311" s="2025"/>
      <c r="F311" s="2025"/>
      <c r="G311" s="2025"/>
      <c r="H311" s="2025"/>
      <c r="I311" s="1743"/>
      <c r="J311" s="2026"/>
      <c r="K311" s="972"/>
      <c r="L311" s="2018"/>
      <c r="M311" s="2020"/>
      <c r="N311" s="2022"/>
      <c r="P311" s="78"/>
      <c r="Q311" s="66"/>
      <c r="R311" s="66"/>
      <c r="S311" s="66"/>
      <c r="T311" s="66"/>
      <c r="U311" s="66"/>
      <c r="V311" s="399"/>
      <c r="W311" s="399"/>
      <c r="X311" s="399"/>
      <c r="Y311" s="72"/>
      <c r="Z311" s="72"/>
      <c r="AA311" s="72"/>
      <c r="AB311" s="72"/>
      <c r="AC311" s="72"/>
      <c r="AD311" s="72"/>
      <c r="AE311" s="72"/>
      <c r="AF311" s="72"/>
      <c r="AG311" s="72"/>
      <c r="AH311" s="72"/>
      <c r="AI311" s="72"/>
      <c r="AJ311" s="72"/>
      <c r="AK311" s="72"/>
      <c r="AL311" s="72"/>
      <c r="AM311" s="72"/>
    </row>
    <row r="312" spans="2:39" ht="14.25" customHeight="1" outlineLevel="1" x14ac:dyDescent="0.25">
      <c r="B312" s="2024" t="s">
        <v>807</v>
      </c>
      <c r="C312" s="2025"/>
      <c r="D312" s="2025"/>
      <c r="E312" s="2025"/>
      <c r="F312" s="2025"/>
      <c r="G312" s="2025"/>
      <c r="H312" s="2025"/>
      <c r="I312" s="1727" t="s">
        <v>100</v>
      </c>
      <c r="J312" s="2026"/>
      <c r="K312" s="972"/>
      <c r="L312" s="2018">
        <f t="shared" ref="L312" si="133">J312*K312</f>
        <v>0</v>
      </c>
      <c r="M312" s="2020" t="str">
        <f>IFERROR(IF((VLOOKUP(N312,Überblick!$M$125:$N$133,2))="ja","ja","nein"),"")</f>
        <v/>
      </c>
      <c r="N312" s="2022"/>
      <c r="O312" s="72">
        <f t="shared" si="127"/>
        <v>0</v>
      </c>
      <c r="P312" s="78">
        <f t="shared" si="110"/>
        <v>0</v>
      </c>
      <c r="Q312" s="66"/>
      <c r="R312" s="66"/>
      <c r="S312" s="66"/>
      <c r="T312" s="66"/>
      <c r="U312" s="66"/>
      <c r="V312" s="399"/>
      <c r="W312" s="399"/>
      <c r="X312" s="399"/>
      <c r="Y312" s="72"/>
      <c r="Z312" s="72"/>
      <c r="AA312" s="72"/>
      <c r="AB312" s="72"/>
      <c r="AC312" s="72"/>
      <c r="AD312" s="72"/>
      <c r="AE312" s="72"/>
      <c r="AF312" s="72"/>
      <c r="AG312" s="72"/>
      <c r="AH312" s="72"/>
      <c r="AI312" s="72"/>
      <c r="AJ312" s="72"/>
      <c r="AK312" s="72"/>
      <c r="AL312" s="72"/>
      <c r="AM312" s="72"/>
    </row>
    <row r="313" spans="2:39" ht="14.25" customHeight="1" outlineLevel="1" x14ac:dyDescent="0.25">
      <c r="B313" s="2024"/>
      <c r="C313" s="2025"/>
      <c r="D313" s="2025"/>
      <c r="E313" s="2025"/>
      <c r="F313" s="2025"/>
      <c r="G313" s="2025"/>
      <c r="H313" s="2025"/>
      <c r="I313" s="1743"/>
      <c r="J313" s="2026"/>
      <c r="K313" s="972"/>
      <c r="L313" s="2018"/>
      <c r="M313" s="2020"/>
      <c r="N313" s="2022"/>
      <c r="P313" s="78"/>
      <c r="Q313" s="66"/>
      <c r="R313" s="66"/>
      <c r="S313" s="66"/>
      <c r="T313" s="66"/>
      <c r="U313" s="66"/>
      <c r="V313" s="399"/>
      <c r="W313" s="399"/>
      <c r="X313" s="399"/>
      <c r="Y313" s="72"/>
      <c r="Z313" s="72"/>
      <c r="AA313" s="72"/>
      <c r="AB313" s="72"/>
      <c r="AC313" s="72"/>
      <c r="AD313" s="72"/>
      <c r="AE313" s="72"/>
      <c r="AF313" s="72"/>
      <c r="AG313" s="72"/>
      <c r="AH313" s="72"/>
      <c r="AI313" s="72"/>
      <c r="AJ313" s="72"/>
      <c r="AK313" s="72"/>
      <c r="AL313" s="72"/>
      <c r="AM313" s="72"/>
    </row>
    <row r="314" spans="2:39" ht="14.25" customHeight="1" outlineLevel="1" x14ac:dyDescent="0.25">
      <c r="B314" s="2024" t="s">
        <v>808</v>
      </c>
      <c r="C314" s="2025"/>
      <c r="D314" s="2025"/>
      <c r="E314" s="2025"/>
      <c r="F314" s="2025"/>
      <c r="G314" s="2025"/>
      <c r="H314" s="2025"/>
      <c r="I314" s="1727" t="s">
        <v>100</v>
      </c>
      <c r="J314" s="2026"/>
      <c r="K314" s="972"/>
      <c r="L314" s="2018">
        <f t="shared" ref="L314" si="134">J314*K314</f>
        <v>0</v>
      </c>
      <c r="M314" s="2020" t="str">
        <f>IFERROR(IF((VLOOKUP(N314,Überblick!$M$125:$N$133,2))="ja","ja","nein"),"")</f>
        <v/>
      </c>
      <c r="N314" s="2022"/>
      <c r="O314" s="72">
        <f t="shared" si="127"/>
        <v>0</v>
      </c>
      <c r="P314" s="78">
        <f t="shared" si="110"/>
        <v>0</v>
      </c>
      <c r="Q314" s="66"/>
      <c r="R314" s="66"/>
      <c r="S314" s="66"/>
      <c r="T314" s="66"/>
      <c r="U314" s="66"/>
      <c r="V314" s="399"/>
      <c r="W314" s="399"/>
      <c r="X314" s="399"/>
      <c r="Y314" s="72"/>
      <c r="Z314" s="72"/>
      <c r="AA314" s="72"/>
      <c r="AB314" s="72"/>
      <c r="AC314" s="72"/>
      <c r="AD314" s="72"/>
      <c r="AE314" s="72"/>
      <c r="AF314" s="72"/>
      <c r="AG314" s="72"/>
      <c r="AH314" s="72"/>
      <c r="AI314" s="72"/>
      <c r="AJ314" s="72"/>
      <c r="AK314" s="72"/>
      <c r="AL314" s="72"/>
      <c r="AM314" s="72"/>
    </row>
    <row r="315" spans="2:39" ht="14.25" customHeight="1" outlineLevel="1" x14ac:dyDescent="0.25">
      <c r="B315" s="2024"/>
      <c r="C315" s="2025"/>
      <c r="D315" s="2025"/>
      <c r="E315" s="2025"/>
      <c r="F315" s="2025"/>
      <c r="G315" s="2025"/>
      <c r="H315" s="2025"/>
      <c r="I315" s="1743"/>
      <c r="J315" s="2026"/>
      <c r="K315" s="972"/>
      <c r="L315" s="2018"/>
      <c r="M315" s="2020"/>
      <c r="N315" s="2022"/>
      <c r="P315" s="78"/>
      <c r="Q315" s="66"/>
      <c r="R315" s="66"/>
      <c r="S315" s="66"/>
      <c r="T315" s="66"/>
      <c r="U315" s="66"/>
      <c r="V315" s="399"/>
      <c r="W315" s="399"/>
      <c r="X315" s="399"/>
      <c r="Y315" s="72"/>
      <c r="Z315" s="72"/>
      <c r="AA315" s="72"/>
      <c r="AB315" s="72"/>
      <c r="AC315" s="72"/>
      <c r="AD315" s="72"/>
      <c r="AE315" s="72"/>
      <c r="AF315" s="72"/>
      <c r="AG315" s="72"/>
      <c r="AH315" s="72"/>
      <c r="AI315" s="72"/>
      <c r="AJ315" s="72"/>
      <c r="AK315" s="72"/>
      <c r="AL315" s="72"/>
      <c r="AM315" s="72"/>
    </row>
    <row r="316" spans="2:39" ht="14.25" customHeight="1" outlineLevel="1" x14ac:dyDescent="0.25">
      <c r="B316" s="2024" t="s">
        <v>809</v>
      </c>
      <c r="C316" s="2025"/>
      <c r="D316" s="2025"/>
      <c r="E316" s="2025"/>
      <c r="F316" s="2025"/>
      <c r="G316" s="2025"/>
      <c r="H316" s="2025"/>
      <c r="I316" s="1727" t="s">
        <v>100</v>
      </c>
      <c r="J316" s="2026"/>
      <c r="K316" s="972"/>
      <c r="L316" s="2018">
        <f t="shared" ref="L316" si="135">J316*K316</f>
        <v>0</v>
      </c>
      <c r="M316" s="2020" t="str">
        <f>IFERROR(IF((VLOOKUP(N316,Überblick!$M$125:$N$133,2))="ja","ja","nein"),"")</f>
        <v/>
      </c>
      <c r="N316" s="2022"/>
      <c r="O316" s="72">
        <f t="shared" si="127"/>
        <v>0</v>
      </c>
      <c r="P316" s="78">
        <f t="shared" si="110"/>
        <v>0</v>
      </c>
      <c r="Q316" s="66"/>
      <c r="R316" s="66"/>
      <c r="S316" s="66"/>
      <c r="T316" s="66"/>
      <c r="U316" s="66"/>
      <c r="V316" s="399"/>
      <c r="W316" s="399"/>
      <c r="X316" s="399"/>
      <c r="Y316" s="72"/>
      <c r="Z316" s="72"/>
      <c r="AA316" s="72"/>
      <c r="AB316" s="72"/>
      <c r="AC316" s="72"/>
      <c r="AD316" s="72"/>
      <c r="AE316" s="72"/>
      <c r="AF316" s="72"/>
      <c r="AG316" s="72"/>
      <c r="AH316" s="72"/>
      <c r="AI316" s="72"/>
      <c r="AJ316" s="72"/>
      <c r="AK316" s="72"/>
      <c r="AL316" s="72"/>
      <c r="AM316" s="72"/>
    </row>
    <row r="317" spans="2:39" ht="14.25" customHeight="1" outlineLevel="1" x14ac:dyDescent="0.25">
      <c r="B317" s="2027"/>
      <c r="C317" s="2028"/>
      <c r="D317" s="2028"/>
      <c r="E317" s="2028"/>
      <c r="F317" s="2028"/>
      <c r="G317" s="2028"/>
      <c r="H317" s="2028"/>
      <c r="I317" s="1743"/>
      <c r="J317" s="2029"/>
      <c r="K317" s="974"/>
      <c r="L317" s="2019"/>
      <c r="M317" s="2020"/>
      <c r="N317" s="2023"/>
      <c r="P317" s="78"/>
      <c r="Q317" s="66"/>
      <c r="R317" s="66"/>
      <c r="S317" s="66"/>
      <c r="T317" s="66"/>
      <c r="U317" s="66"/>
      <c r="V317" s="399"/>
      <c r="W317" s="399"/>
      <c r="X317" s="399"/>
      <c r="Y317" s="72"/>
      <c r="Z317" s="72"/>
      <c r="AA317" s="72"/>
      <c r="AB317" s="72"/>
      <c r="AC317" s="72"/>
      <c r="AD317" s="72"/>
      <c r="AE317" s="72"/>
      <c r="AF317" s="72"/>
      <c r="AG317" s="72"/>
      <c r="AH317" s="72"/>
      <c r="AI317" s="72"/>
      <c r="AJ317" s="72"/>
      <c r="AK317" s="72"/>
      <c r="AL317" s="72"/>
      <c r="AM317" s="72"/>
    </row>
    <row r="318" spans="2:39" ht="14.25" customHeight="1" outlineLevel="1" x14ac:dyDescent="0.25">
      <c r="B318" s="2024" t="s">
        <v>810</v>
      </c>
      <c r="C318" s="2025"/>
      <c r="D318" s="2025"/>
      <c r="E318" s="2025"/>
      <c r="F318" s="2025"/>
      <c r="G318" s="2025"/>
      <c r="H318" s="2025"/>
      <c r="I318" s="1727" t="s">
        <v>100</v>
      </c>
      <c r="J318" s="2026"/>
      <c r="K318" s="972"/>
      <c r="L318" s="2018">
        <f t="shared" ref="L318" si="136">J318*K318</f>
        <v>0</v>
      </c>
      <c r="M318" s="2020" t="str">
        <f>IFERROR(IF((VLOOKUP(N318,Überblick!$M$125:$N$133,2))="ja","ja","nein"),"")</f>
        <v/>
      </c>
      <c r="N318" s="2022"/>
      <c r="O318" s="72">
        <f t="shared" si="127"/>
        <v>0</v>
      </c>
      <c r="P318" s="78">
        <f t="shared" si="110"/>
        <v>0</v>
      </c>
      <c r="Q318" s="66"/>
      <c r="R318" s="66"/>
      <c r="S318" s="66"/>
      <c r="T318" s="66"/>
      <c r="U318" s="66"/>
      <c r="V318" s="399"/>
      <c r="W318" s="399"/>
      <c r="X318" s="399"/>
      <c r="Y318" s="72"/>
      <c r="Z318" s="72"/>
      <c r="AA318" s="72"/>
      <c r="AB318" s="72"/>
      <c r="AC318" s="72"/>
      <c r="AD318" s="72"/>
      <c r="AE318" s="72"/>
      <c r="AF318" s="72"/>
      <c r="AG318" s="72"/>
      <c r="AH318" s="72"/>
      <c r="AI318" s="72"/>
      <c r="AJ318" s="72"/>
      <c r="AK318" s="72"/>
      <c r="AL318" s="72"/>
      <c r="AM318" s="72"/>
    </row>
    <row r="319" spans="2:39" ht="14.25" customHeight="1" outlineLevel="1" x14ac:dyDescent="0.25">
      <c r="B319" s="2024"/>
      <c r="C319" s="2025"/>
      <c r="D319" s="2025"/>
      <c r="E319" s="2025"/>
      <c r="F319" s="2025"/>
      <c r="G319" s="2025"/>
      <c r="H319" s="2025"/>
      <c r="I319" s="1743"/>
      <c r="J319" s="2026"/>
      <c r="K319" s="972"/>
      <c r="L319" s="2018"/>
      <c r="M319" s="2020"/>
      <c r="N319" s="2022"/>
      <c r="P319" s="78"/>
      <c r="Q319" s="66"/>
      <c r="R319" s="66"/>
      <c r="S319" s="66"/>
      <c r="T319" s="66"/>
      <c r="U319" s="66"/>
      <c r="V319" s="399"/>
      <c r="W319" s="399"/>
      <c r="X319" s="399"/>
      <c r="Y319" s="72"/>
      <c r="Z319" s="72"/>
      <c r="AA319" s="72"/>
      <c r="AB319" s="72"/>
      <c r="AC319" s="72"/>
      <c r="AD319" s="72"/>
      <c r="AE319" s="72"/>
      <c r="AF319" s="72"/>
      <c r="AG319" s="72"/>
      <c r="AH319" s="72"/>
      <c r="AI319" s="72"/>
      <c r="AJ319" s="72"/>
      <c r="AK319" s="72"/>
      <c r="AL319" s="72"/>
      <c r="AM319" s="72"/>
    </row>
    <row r="320" spans="2:39" ht="14.25" customHeight="1" outlineLevel="1" x14ac:dyDescent="0.25">
      <c r="B320" s="2024" t="s">
        <v>811</v>
      </c>
      <c r="C320" s="2025"/>
      <c r="D320" s="2025"/>
      <c r="E320" s="2025"/>
      <c r="F320" s="2025"/>
      <c r="G320" s="2025"/>
      <c r="H320" s="2025"/>
      <c r="I320" s="1727" t="s">
        <v>100</v>
      </c>
      <c r="J320" s="2026"/>
      <c r="K320" s="972"/>
      <c r="L320" s="2018">
        <f t="shared" ref="L320" si="137">J320*K320</f>
        <v>0</v>
      </c>
      <c r="M320" s="2020" t="str">
        <f>IFERROR(IF((VLOOKUP(N320,Überblick!$M$125:$N$133,2))="ja","ja","nein"),"")</f>
        <v/>
      </c>
      <c r="N320" s="2022"/>
      <c r="O320" s="72">
        <f t="shared" si="127"/>
        <v>0</v>
      </c>
      <c r="P320" s="78">
        <f t="shared" si="110"/>
        <v>0</v>
      </c>
      <c r="Q320" s="66"/>
      <c r="R320" s="66"/>
      <c r="S320" s="66"/>
      <c r="T320" s="66"/>
      <c r="U320" s="66"/>
      <c r="V320" s="399"/>
      <c r="W320" s="399"/>
      <c r="X320" s="399"/>
      <c r="Y320" s="72"/>
      <c r="Z320" s="72"/>
      <c r="AA320" s="72"/>
      <c r="AB320" s="72"/>
      <c r="AC320" s="72"/>
      <c r="AD320" s="72"/>
      <c r="AE320" s="72"/>
      <c r="AF320" s="72"/>
      <c r="AG320" s="72"/>
      <c r="AH320" s="72"/>
      <c r="AI320" s="72"/>
      <c r="AJ320" s="72"/>
      <c r="AK320" s="72"/>
      <c r="AL320" s="72"/>
      <c r="AM320" s="72"/>
    </row>
    <row r="321" spans="2:39" ht="14.25" customHeight="1" outlineLevel="1" x14ac:dyDescent="0.25">
      <c r="B321" s="2027"/>
      <c r="C321" s="2028"/>
      <c r="D321" s="2028"/>
      <c r="E321" s="2028"/>
      <c r="F321" s="2028"/>
      <c r="G321" s="2028"/>
      <c r="H321" s="2028"/>
      <c r="I321" s="1743"/>
      <c r="J321" s="2029"/>
      <c r="K321" s="974"/>
      <c r="L321" s="2019"/>
      <c r="M321" s="2020"/>
      <c r="N321" s="2023"/>
      <c r="P321" s="78"/>
      <c r="Q321" s="66"/>
      <c r="R321" s="66"/>
      <c r="S321" s="66"/>
      <c r="T321" s="66"/>
      <c r="U321" s="66"/>
      <c r="V321" s="399"/>
      <c r="W321" s="399"/>
      <c r="X321" s="399"/>
      <c r="Y321" s="72"/>
      <c r="Z321" s="72"/>
      <c r="AA321" s="72"/>
      <c r="AB321" s="72"/>
      <c r="AC321" s="72"/>
      <c r="AD321" s="72"/>
      <c r="AE321" s="72"/>
      <c r="AF321" s="72"/>
      <c r="AG321" s="72"/>
      <c r="AH321" s="72"/>
      <c r="AI321" s="72"/>
      <c r="AJ321" s="72"/>
      <c r="AK321" s="72"/>
      <c r="AL321" s="72"/>
      <c r="AM321" s="72"/>
    </row>
    <row r="322" spans="2:39" ht="14.25" customHeight="1" outlineLevel="1" x14ac:dyDescent="0.25">
      <c r="B322" s="2024"/>
      <c r="C322" s="2025"/>
      <c r="D322" s="2025"/>
      <c r="E322" s="2025"/>
      <c r="F322" s="2025"/>
      <c r="G322" s="2025"/>
      <c r="H322" s="2025"/>
      <c r="I322" s="1727" t="s">
        <v>100</v>
      </c>
      <c r="J322" s="2026"/>
      <c r="K322" s="972"/>
      <c r="L322" s="2018">
        <f t="shared" ref="L322" si="138">J322*K322</f>
        <v>0</v>
      </c>
      <c r="M322" s="2020" t="str">
        <f>IFERROR(IF((VLOOKUP(N322,Überblick!$M$125:$N$133,2))="ja","ja","nein"),"")</f>
        <v/>
      </c>
      <c r="N322" s="2022"/>
      <c r="O322" s="72">
        <f t="shared" si="127"/>
        <v>0</v>
      </c>
      <c r="P322" s="78">
        <f t="shared" si="110"/>
        <v>0</v>
      </c>
      <c r="Q322" s="66"/>
      <c r="R322" s="66"/>
      <c r="S322" s="66"/>
      <c r="T322" s="66"/>
      <c r="U322" s="66"/>
      <c r="V322" s="399"/>
      <c r="W322" s="399"/>
      <c r="X322" s="399"/>
      <c r="Y322" s="72"/>
      <c r="Z322" s="72"/>
      <c r="AA322" s="72"/>
      <c r="AB322" s="72"/>
      <c r="AC322" s="72"/>
      <c r="AD322" s="72"/>
      <c r="AE322" s="72"/>
      <c r="AF322" s="72"/>
      <c r="AG322" s="72"/>
      <c r="AH322" s="72"/>
      <c r="AI322" s="72"/>
      <c r="AJ322" s="72"/>
      <c r="AK322" s="72"/>
      <c r="AL322" s="72"/>
      <c r="AM322" s="72"/>
    </row>
    <row r="323" spans="2:39" ht="14.25" customHeight="1" outlineLevel="1" x14ac:dyDescent="0.25">
      <c r="B323" s="2024"/>
      <c r="C323" s="2025"/>
      <c r="D323" s="2025"/>
      <c r="E323" s="2025"/>
      <c r="F323" s="2025"/>
      <c r="G323" s="2025"/>
      <c r="H323" s="2025"/>
      <c r="I323" s="1743"/>
      <c r="J323" s="2026"/>
      <c r="K323" s="972"/>
      <c r="L323" s="2018"/>
      <c r="M323" s="2020"/>
      <c r="N323" s="2022"/>
      <c r="P323" s="78"/>
      <c r="Q323" s="66"/>
      <c r="R323" s="66"/>
      <c r="S323" s="66"/>
      <c r="T323" s="66"/>
      <c r="U323" s="66"/>
      <c r="V323" s="399"/>
      <c r="W323" s="399"/>
      <c r="X323" s="399"/>
      <c r="Y323" s="72"/>
      <c r="Z323" s="72"/>
      <c r="AA323" s="72"/>
      <c r="AB323" s="72"/>
      <c r="AC323" s="72"/>
      <c r="AD323" s="72"/>
      <c r="AE323" s="72"/>
      <c r="AF323" s="72"/>
      <c r="AG323" s="72"/>
      <c r="AH323" s="72"/>
      <c r="AI323" s="72"/>
      <c r="AJ323" s="72"/>
      <c r="AK323" s="72"/>
      <c r="AL323" s="72"/>
      <c r="AM323" s="72"/>
    </row>
    <row r="324" spans="2:39" ht="14.25" customHeight="1" outlineLevel="1" x14ac:dyDescent="0.25">
      <c r="B324" s="2030"/>
      <c r="C324" s="2031"/>
      <c r="D324" s="2031"/>
      <c r="E324" s="2031"/>
      <c r="F324" s="2031"/>
      <c r="G324" s="2031"/>
      <c r="H324" s="2031"/>
      <c r="I324" s="1727" t="s">
        <v>100</v>
      </c>
      <c r="J324" s="2026"/>
      <c r="K324" s="972"/>
      <c r="L324" s="2018">
        <f t="shared" ref="L324" si="139">J324*K324</f>
        <v>0</v>
      </c>
      <c r="M324" s="2020" t="str">
        <f>IFERROR(IF((VLOOKUP(N324,Überblick!$M$125:$N$133,2))="ja","ja","nein"),"")</f>
        <v/>
      </c>
      <c r="N324" s="2022"/>
      <c r="O324" s="72">
        <f t="shared" si="127"/>
        <v>0</v>
      </c>
      <c r="P324" s="78">
        <f t="shared" si="110"/>
        <v>0</v>
      </c>
      <c r="Q324" s="66"/>
      <c r="R324" s="66"/>
      <c r="S324" s="66"/>
      <c r="T324" s="66"/>
      <c r="U324" s="66"/>
      <c r="V324" s="399"/>
      <c r="W324" s="399"/>
      <c r="X324" s="399"/>
      <c r="Y324" s="72"/>
      <c r="Z324" s="72"/>
      <c r="AA324" s="72"/>
      <c r="AB324" s="72"/>
      <c r="AC324" s="72"/>
      <c r="AD324" s="72"/>
      <c r="AE324" s="72"/>
      <c r="AF324" s="72"/>
      <c r="AG324" s="72"/>
      <c r="AH324" s="72"/>
      <c r="AI324" s="72"/>
      <c r="AJ324" s="72"/>
      <c r="AK324" s="72"/>
      <c r="AL324" s="72"/>
      <c r="AM324" s="72"/>
    </row>
    <row r="325" spans="2:39" ht="14.25" customHeight="1" outlineLevel="1" x14ac:dyDescent="0.25">
      <c r="B325" s="2030"/>
      <c r="C325" s="2031"/>
      <c r="D325" s="2031"/>
      <c r="E325" s="2031"/>
      <c r="F325" s="2031"/>
      <c r="G325" s="2031"/>
      <c r="H325" s="2031"/>
      <c r="I325" s="1743"/>
      <c r="J325" s="2026"/>
      <c r="K325" s="972"/>
      <c r="L325" s="2018"/>
      <c r="M325" s="2020"/>
      <c r="N325" s="2022"/>
      <c r="P325" s="78"/>
      <c r="Q325" s="66"/>
      <c r="R325" s="66"/>
      <c r="S325" s="66"/>
      <c r="T325" s="66"/>
      <c r="U325" s="66"/>
      <c r="V325" s="399"/>
      <c r="W325" s="399"/>
      <c r="X325" s="399"/>
      <c r="Y325" s="72"/>
      <c r="Z325" s="72"/>
      <c r="AA325" s="72"/>
      <c r="AB325" s="72"/>
      <c r="AC325" s="72"/>
      <c r="AD325" s="72"/>
      <c r="AE325" s="72"/>
      <c r="AF325" s="72"/>
      <c r="AG325" s="72"/>
      <c r="AH325" s="72"/>
      <c r="AI325" s="72"/>
      <c r="AJ325" s="72"/>
      <c r="AK325" s="72"/>
      <c r="AL325" s="72"/>
      <c r="AM325" s="72"/>
    </row>
    <row r="326" spans="2:39" ht="14.25" customHeight="1" outlineLevel="1" x14ac:dyDescent="0.25">
      <c r="B326" s="2024"/>
      <c r="C326" s="2025"/>
      <c r="D326" s="2025"/>
      <c r="E326" s="2025"/>
      <c r="F326" s="2025"/>
      <c r="G326" s="2025"/>
      <c r="H326" s="2025"/>
      <c r="I326" s="1727" t="s">
        <v>100</v>
      </c>
      <c r="J326" s="2026"/>
      <c r="K326" s="972"/>
      <c r="L326" s="2018">
        <f t="shared" ref="L326" si="140">J326*K326</f>
        <v>0</v>
      </c>
      <c r="M326" s="2020" t="str">
        <f>IFERROR(IF((VLOOKUP(N326,Überblick!$M$125:$N$133,2))="ja","ja","nein"),"")</f>
        <v/>
      </c>
      <c r="N326" s="2022"/>
      <c r="O326" s="72">
        <f t="shared" si="127"/>
        <v>0</v>
      </c>
      <c r="P326" s="78">
        <f t="shared" si="110"/>
        <v>0</v>
      </c>
      <c r="Q326" s="66"/>
      <c r="R326" s="66"/>
      <c r="S326" s="66"/>
      <c r="T326" s="66"/>
      <c r="U326" s="66"/>
      <c r="V326" s="399"/>
      <c r="W326" s="399"/>
      <c r="X326" s="399"/>
      <c r="Y326" s="72"/>
      <c r="Z326" s="72"/>
      <c r="AA326" s="72"/>
      <c r="AB326" s="72"/>
      <c r="AC326" s="72"/>
      <c r="AD326" s="72"/>
      <c r="AE326" s="72"/>
      <c r="AF326" s="72"/>
      <c r="AG326" s="72"/>
      <c r="AH326" s="72"/>
      <c r="AI326" s="72"/>
      <c r="AJ326" s="72"/>
      <c r="AK326" s="72"/>
      <c r="AL326" s="72"/>
      <c r="AM326" s="72"/>
    </row>
    <row r="327" spans="2:39" ht="14.25" customHeight="1" outlineLevel="1" x14ac:dyDescent="0.25">
      <c r="B327" s="2024"/>
      <c r="C327" s="2025"/>
      <c r="D327" s="2025"/>
      <c r="E327" s="2025"/>
      <c r="F327" s="2025"/>
      <c r="G327" s="2025"/>
      <c r="H327" s="2025"/>
      <c r="I327" s="1743"/>
      <c r="J327" s="2026"/>
      <c r="K327" s="972"/>
      <c r="L327" s="2018"/>
      <c r="M327" s="2020"/>
      <c r="N327" s="2022"/>
      <c r="P327" s="78"/>
      <c r="Q327" s="66"/>
      <c r="R327" s="66"/>
      <c r="S327" s="66"/>
      <c r="T327" s="66"/>
      <c r="U327" s="66"/>
      <c r="V327" s="399"/>
      <c r="W327" s="399"/>
      <c r="X327" s="399"/>
      <c r="Y327" s="72"/>
      <c r="Z327" s="72"/>
      <c r="AA327" s="72"/>
      <c r="AB327" s="72"/>
      <c r="AC327" s="72"/>
      <c r="AD327" s="72"/>
      <c r="AE327" s="72"/>
      <c r="AF327" s="72"/>
      <c r="AG327" s="72"/>
      <c r="AH327" s="72"/>
      <c r="AI327" s="72"/>
      <c r="AJ327" s="72"/>
      <c r="AK327" s="72"/>
      <c r="AL327" s="72"/>
      <c r="AM327" s="72"/>
    </row>
    <row r="328" spans="2:39" ht="14.25" customHeight="1" outlineLevel="1" x14ac:dyDescent="0.25">
      <c r="B328" s="2024"/>
      <c r="C328" s="2025"/>
      <c r="D328" s="2025"/>
      <c r="E328" s="2025"/>
      <c r="F328" s="2025"/>
      <c r="G328" s="2025"/>
      <c r="H328" s="2025"/>
      <c r="I328" s="1727" t="s">
        <v>100</v>
      </c>
      <c r="J328" s="2026"/>
      <c r="K328" s="972"/>
      <c r="L328" s="2018">
        <f t="shared" ref="L328" si="141">J328*K328</f>
        <v>0</v>
      </c>
      <c r="M328" s="2020" t="str">
        <f>IFERROR(IF((VLOOKUP(N328,Überblick!$M$125:$N$133,2))="ja","ja","nein"),"")</f>
        <v/>
      </c>
      <c r="N328" s="2022"/>
      <c r="O328" s="72">
        <f t="shared" si="127"/>
        <v>0</v>
      </c>
      <c r="P328" s="78">
        <f t="shared" si="110"/>
        <v>0</v>
      </c>
      <c r="Q328" s="66"/>
      <c r="R328" s="66"/>
      <c r="S328" s="66"/>
      <c r="T328" s="66"/>
      <c r="U328" s="66"/>
      <c r="V328" s="399"/>
      <c r="W328" s="399"/>
      <c r="X328" s="399"/>
      <c r="Y328" s="72"/>
      <c r="Z328" s="72"/>
      <c r="AA328" s="72"/>
      <c r="AB328" s="72"/>
      <c r="AC328" s="72"/>
      <c r="AD328" s="72"/>
      <c r="AE328" s="72"/>
      <c r="AF328" s="72"/>
      <c r="AG328" s="72"/>
      <c r="AH328" s="72"/>
      <c r="AI328" s="72"/>
      <c r="AJ328" s="72"/>
      <c r="AK328" s="72"/>
      <c r="AL328" s="72"/>
      <c r="AM328" s="72"/>
    </row>
    <row r="329" spans="2:39" ht="14.25" customHeight="1" outlineLevel="1" x14ac:dyDescent="0.25">
      <c r="B329" s="2027"/>
      <c r="C329" s="2028"/>
      <c r="D329" s="2028"/>
      <c r="E329" s="2028"/>
      <c r="F329" s="2028"/>
      <c r="G329" s="2028"/>
      <c r="H329" s="2028"/>
      <c r="I329" s="1743"/>
      <c r="J329" s="2029"/>
      <c r="K329" s="974"/>
      <c r="L329" s="2019"/>
      <c r="M329" s="2020"/>
      <c r="N329" s="2023"/>
      <c r="P329" s="78"/>
      <c r="Q329" s="66"/>
      <c r="R329" s="66"/>
      <c r="S329" s="66"/>
      <c r="T329" s="66"/>
      <c r="U329" s="66"/>
      <c r="V329" s="399"/>
      <c r="W329" s="399"/>
      <c r="X329" s="399"/>
      <c r="Y329" s="72"/>
      <c r="Z329" s="72"/>
      <c r="AA329" s="72"/>
      <c r="AB329" s="72"/>
      <c r="AC329" s="72"/>
      <c r="AD329" s="72"/>
      <c r="AE329" s="72"/>
      <c r="AF329" s="72"/>
      <c r="AG329" s="72"/>
      <c r="AH329" s="72"/>
      <c r="AI329" s="72"/>
      <c r="AJ329" s="72"/>
      <c r="AK329" s="72"/>
      <c r="AL329" s="72"/>
      <c r="AM329" s="72"/>
    </row>
    <row r="330" spans="2:39" ht="14.25" customHeight="1" outlineLevel="1" x14ac:dyDescent="0.25">
      <c r="B330" s="2024"/>
      <c r="C330" s="2025"/>
      <c r="D330" s="2025"/>
      <c r="E330" s="2025"/>
      <c r="F330" s="2025"/>
      <c r="G330" s="2025"/>
      <c r="H330" s="2025"/>
      <c r="I330" s="1726" t="s">
        <v>100</v>
      </c>
      <c r="J330" s="2026"/>
      <c r="K330" s="972"/>
      <c r="L330" s="2018">
        <f t="shared" ref="L330" si="142">J330*K330</f>
        <v>0</v>
      </c>
      <c r="M330" s="2020" t="str">
        <f>IFERROR(IF((VLOOKUP(N330,Überblick!$M$125:$N$133,2))="ja","ja","nein"),"")</f>
        <v/>
      </c>
      <c r="N330" s="2022"/>
      <c r="O330" s="72">
        <f t="shared" si="127"/>
        <v>0</v>
      </c>
      <c r="P330" s="78">
        <f t="shared" ref="P330:P349" si="143">IF(I330="ja",1,0)</f>
        <v>0</v>
      </c>
      <c r="Q330" s="66"/>
      <c r="R330" s="66"/>
      <c r="S330" s="66"/>
      <c r="T330" s="66"/>
      <c r="U330" s="66"/>
      <c r="V330" s="399"/>
      <c r="W330" s="399"/>
      <c r="X330" s="399"/>
      <c r="Y330" s="72"/>
      <c r="Z330" s="72"/>
      <c r="AA330" s="72"/>
      <c r="AB330" s="72"/>
      <c r="AC330" s="72"/>
      <c r="AD330" s="72"/>
      <c r="AE330" s="72"/>
      <c r="AF330" s="72"/>
      <c r="AG330" s="72"/>
      <c r="AH330" s="72"/>
      <c r="AI330" s="72"/>
      <c r="AJ330" s="72"/>
      <c r="AK330" s="72"/>
      <c r="AL330" s="72"/>
      <c r="AM330" s="72"/>
    </row>
    <row r="331" spans="2:39" ht="14.25" customHeight="1" outlineLevel="1" thickBot="1" x14ac:dyDescent="0.3">
      <c r="B331" s="2042"/>
      <c r="C331" s="2043"/>
      <c r="D331" s="2043"/>
      <c r="E331" s="2043"/>
      <c r="F331" s="2043"/>
      <c r="G331" s="2043"/>
      <c r="H331" s="2043"/>
      <c r="I331" s="1769"/>
      <c r="J331" s="2044"/>
      <c r="K331" s="976"/>
      <c r="L331" s="2045"/>
      <c r="M331" s="2046"/>
      <c r="N331" s="2047"/>
      <c r="P331" s="78"/>
      <c r="Q331" s="66"/>
      <c r="R331" s="66"/>
      <c r="S331" s="66"/>
      <c r="T331" s="66"/>
      <c r="U331" s="66"/>
      <c r="V331" s="399"/>
      <c r="W331" s="399"/>
      <c r="X331" s="399"/>
      <c r="Y331" s="72"/>
      <c r="Z331" s="72"/>
      <c r="AA331" s="72"/>
      <c r="AB331" s="72"/>
      <c r="AC331" s="72"/>
      <c r="AD331" s="72"/>
      <c r="AE331" s="72"/>
      <c r="AF331" s="72"/>
      <c r="AG331" s="72"/>
      <c r="AH331" s="72"/>
      <c r="AI331" s="72"/>
      <c r="AJ331" s="72"/>
      <c r="AK331" s="72"/>
      <c r="AL331" s="72"/>
      <c r="AM331" s="72"/>
    </row>
    <row r="332" spans="2:39" ht="14.25" customHeight="1" thickBot="1" x14ac:dyDescent="0.3">
      <c r="B332" s="60"/>
      <c r="C332" s="60"/>
      <c r="D332" s="60"/>
      <c r="E332" s="60"/>
      <c r="F332" s="65"/>
      <c r="G332" s="65"/>
      <c r="H332" s="65"/>
      <c r="I332" s="65"/>
      <c r="J332" s="65"/>
      <c r="K332" s="66"/>
      <c r="L332" s="424">
        <f>SUM(L186:L331)</f>
        <v>0</v>
      </c>
      <c r="M332" s="66"/>
      <c r="N332" s="66"/>
      <c r="P332" s="78"/>
      <c r="Q332" s="66"/>
      <c r="R332" s="66"/>
      <c r="S332" s="66"/>
      <c r="T332" s="66"/>
      <c r="U332" s="66"/>
      <c r="V332" s="399"/>
      <c r="W332" s="399"/>
      <c r="X332" s="399"/>
      <c r="Y332" s="72"/>
      <c r="Z332" s="72"/>
      <c r="AA332" s="72"/>
      <c r="AB332" s="72"/>
      <c r="AC332" s="72"/>
      <c r="AD332" s="72"/>
      <c r="AE332" s="72"/>
      <c r="AF332" s="72"/>
      <c r="AG332" s="72"/>
      <c r="AH332" s="72"/>
      <c r="AI332" s="72"/>
      <c r="AJ332" s="72"/>
      <c r="AK332" s="72"/>
      <c r="AL332" s="72"/>
      <c r="AM332" s="72"/>
    </row>
    <row r="333" spans="2:39" ht="14.25" customHeight="1" outlineLevel="1" x14ac:dyDescent="0.25">
      <c r="B333" s="1019" t="s">
        <v>812</v>
      </c>
      <c r="C333" s="1020"/>
      <c r="D333" s="1020"/>
      <c r="E333" s="1020"/>
      <c r="F333" s="1020"/>
      <c r="G333" s="1020"/>
      <c r="H333" s="1629"/>
      <c r="I333" s="1131" t="s">
        <v>151</v>
      </c>
      <c r="J333" s="2075" t="str">
        <f>IF(A304=Y305,"Honorar für die besonderen Leistungen","Honorarangebot für die besonderen Leistungen")</f>
        <v>Honorar für die besonderen Leistungen</v>
      </c>
      <c r="K333" s="2075" t="s">
        <v>698</v>
      </c>
      <c r="L333" s="2048" t="s">
        <v>741</v>
      </c>
      <c r="M333" s="2075" t="s">
        <v>156</v>
      </c>
      <c r="N333" s="2054" t="s">
        <v>157</v>
      </c>
      <c r="P333" s="78"/>
      <c r="Q333" s="66"/>
      <c r="R333" s="66"/>
      <c r="S333" s="66"/>
      <c r="T333" s="66"/>
      <c r="U333" s="66"/>
      <c r="V333" s="399"/>
      <c r="W333" s="399"/>
      <c r="X333" s="399"/>
      <c r="Y333" s="72"/>
      <c r="Z333" s="72"/>
      <c r="AA333" s="72"/>
      <c r="AB333" s="72"/>
      <c r="AC333" s="72"/>
      <c r="AD333" s="72"/>
      <c r="AE333" s="72"/>
      <c r="AF333" s="72"/>
      <c r="AG333" s="72"/>
      <c r="AH333" s="72"/>
      <c r="AI333" s="72"/>
      <c r="AJ333" s="72"/>
      <c r="AK333" s="72"/>
      <c r="AL333" s="72"/>
      <c r="AM333" s="72"/>
    </row>
    <row r="334" spans="2:39" ht="14.25" customHeight="1" outlineLevel="1" x14ac:dyDescent="0.25">
      <c r="B334" s="1021"/>
      <c r="C334" s="1022"/>
      <c r="D334" s="1022"/>
      <c r="E334" s="1022"/>
      <c r="F334" s="1022"/>
      <c r="G334" s="1022"/>
      <c r="H334" s="1630"/>
      <c r="I334" s="1132"/>
      <c r="J334" s="2076"/>
      <c r="K334" s="2076"/>
      <c r="L334" s="2049"/>
      <c r="M334" s="2076"/>
      <c r="N334" s="2055"/>
      <c r="P334" s="78"/>
      <c r="Q334" s="66"/>
      <c r="R334" s="66"/>
      <c r="S334" s="66"/>
      <c r="T334" s="66"/>
      <c r="U334" s="66"/>
      <c r="V334" s="399"/>
      <c r="W334" s="399"/>
      <c r="X334" s="399"/>
      <c r="Y334" s="72"/>
      <c r="Z334" s="72"/>
      <c r="AA334" s="72"/>
      <c r="AB334" s="72"/>
      <c r="AC334" s="72"/>
      <c r="AD334" s="72"/>
      <c r="AE334" s="72"/>
      <c r="AF334" s="72"/>
      <c r="AG334" s="72"/>
      <c r="AH334" s="72"/>
      <c r="AI334" s="72"/>
      <c r="AJ334" s="72"/>
      <c r="AK334" s="72"/>
      <c r="AL334" s="72"/>
      <c r="AM334" s="72"/>
    </row>
    <row r="335" spans="2:39" ht="14.25" customHeight="1" outlineLevel="1" thickBot="1" x14ac:dyDescent="0.3">
      <c r="B335" s="1021"/>
      <c r="C335" s="1022"/>
      <c r="D335" s="1022"/>
      <c r="E335" s="1022"/>
      <c r="F335" s="1022"/>
      <c r="G335" s="1022"/>
      <c r="H335" s="1630"/>
      <c r="I335" s="1132"/>
      <c r="J335" s="2076"/>
      <c r="K335" s="2076"/>
      <c r="L335" s="2050"/>
      <c r="M335" s="2077"/>
      <c r="N335" s="2056"/>
      <c r="P335" s="78"/>
      <c r="Q335" s="66"/>
      <c r="R335" s="66"/>
      <c r="S335" s="66"/>
      <c r="T335" s="66"/>
      <c r="U335" s="66"/>
      <c r="V335" s="399"/>
      <c r="W335" s="399"/>
      <c r="X335" s="399"/>
      <c r="Y335" s="72"/>
      <c r="Z335" s="72"/>
      <c r="AA335" s="72"/>
      <c r="AB335" s="72"/>
      <c r="AC335" s="72"/>
      <c r="AD335" s="72"/>
      <c r="AE335" s="72"/>
      <c r="AF335" s="72"/>
      <c r="AG335" s="72"/>
      <c r="AH335" s="72"/>
      <c r="AI335" s="72"/>
      <c r="AJ335" s="72"/>
      <c r="AK335" s="72"/>
      <c r="AL335" s="72"/>
      <c r="AM335" s="72"/>
    </row>
    <row r="336" spans="2:39" ht="14.25" customHeight="1" outlineLevel="1" x14ac:dyDescent="0.25">
      <c r="B336" s="2112" t="s">
        <v>813</v>
      </c>
      <c r="C336" s="2113"/>
      <c r="D336" s="2113"/>
      <c r="E336" s="2113"/>
      <c r="F336" s="2113"/>
      <c r="G336" s="2113"/>
      <c r="H336" s="2114"/>
      <c r="I336" s="1775" t="s">
        <v>100</v>
      </c>
      <c r="J336" s="2121"/>
      <c r="K336" s="2122"/>
      <c r="L336" s="1029">
        <f t="shared" ref="L336" si="144">J336*K336</f>
        <v>0</v>
      </c>
      <c r="M336" s="2033" t="str">
        <f>IFERROR(IF((VLOOKUP(N336,Überblick!$M$125:$N$133,2))="ja","ja","nein"),"")</f>
        <v/>
      </c>
      <c r="N336" s="2109"/>
      <c r="O336" s="72">
        <f t="shared" ref="O336" si="145">IF(AND(I336="ja",J336=""),1,0)</f>
        <v>0</v>
      </c>
      <c r="P336" s="78">
        <f t="shared" si="143"/>
        <v>0</v>
      </c>
      <c r="Q336" s="66"/>
      <c r="R336" s="66"/>
      <c r="S336" s="66"/>
      <c r="T336" s="66"/>
      <c r="U336" s="66"/>
      <c r="V336" s="399"/>
      <c r="W336" s="399"/>
      <c r="X336" s="399"/>
      <c r="Y336" s="72"/>
      <c r="Z336" s="72"/>
      <c r="AA336" s="72"/>
      <c r="AB336" s="72"/>
      <c r="AC336" s="72"/>
      <c r="AD336" s="72"/>
      <c r="AE336" s="72"/>
      <c r="AF336" s="72"/>
      <c r="AG336" s="72"/>
      <c r="AH336" s="72"/>
      <c r="AI336" s="72"/>
      <c r="AJ336" s="72"/>
      <c r="AK336" s="72"/>
      <c r="AL336" s="72"/>
      <c r="AM336" s="72"/>
    </row>
    <row r="337" spans="2:39" ht="14.25" customHeight="1" outlineLevel="1" x14ac:dyDescent="0.25">
      <c r="B337" s="2115"/>
      <c r="C337" s="2116"/>
      <c r="D337" s="2116"/>
      <c r="E337" s="2116"/>
      <c r="F337" s="2116"/>
      <c r="G337" s="2116"/>
      <c r="H337" s="2117"/>
      <c r="I337" s="1726"/>
      <c r="J337" s="2037"/>
      <c r="K337" s="2038"/>
      <c r="L337" s="1029"/>
      <c r="M337" s="2020"/>
      <c r="N337" s="2035"/>
      <c r="P337" s="78"/>
      <c r="Q337" s="66"/>
      <c r="R337" s="66"/>
      <c r="S337" s="66"/>
      <c r="T337" s="66"/>
      <c r="U337" s="66"/>
      <c r="V337" s="399"/>
      <c r="W337" s="399"/>
      <c r="X337" s="399"/>
      <c r="Y337" s="72"/>
      <c r="Z337" s="72"/>
      <c r="AA337" s="72"/>
      <c r="AB337" s="72"/>
      <c r="AC337" s="72"/>
      <c r="AD337" s="72"/>
      <c r="AE337" s="72"/>
      <c r="AF337" s="72"/>
      <c r="AG337" s="72"/>
      <c r="AH337" s="72"/>
      <c r="AI337" s="72"/>
      <c r="AJ337" s="72"/>
      <c r="AK337" s="72"/>
      <c r="AL337" s="72"/>
      <c r="AM337" s="72"/>
    </row>
    <row r="338" spans="2:39" ht="14.25" customHeight="1" outlineLevel="1" x14ac:dyDescent="0.25">
      <c r="B338" s="2118"/>
      <c r="C338" s="2119"/>
      <c r="D338" s="2119"/>
      <c r="E338" s="2119"/>
      <c r="F338" s="2119"/>
      <c r="G338" s="2119"/>
      <c r="H338" s="2120"/>
      <c r="I338" s="1726"/>
      <c r="J338" s="2034"/>
      <c r="K338" s="1619"/>
      <c r="L338" s="2057"/>
      <c r="M338" s="2020"/>
      <c r="N338" s="2036"/>
      <c r="P338" s="78"/>
      <c r="Q338" s="66"/>
      <c r="R338" s="66"/>
      <c r="S338" s="66"/>
      <c r="T338" s="66"/>
      <c r="U338" s="66"/>
      <c r="V338" s="399"/>
      <c r="W338" s="399"/>
      <c r="X338" s="399"/>
      <c r="Y338" s="72"/>
      <c r="Z338" s="72"/>
      <c r="AA338" s="72"/>
      <c r="AB338" s="72"/>
      <c r="AC338" s="72"/>
      <c r="AD338" s="72"/>
      <c r="AE338" s="72"/>
      <c r="AF338" s="72"/>
      <c r="AG338" s="72"/>
      <c r="AH338" s="72"/>
      <c r="AI338" s="72"/>
      <c r="AJ338" s="72"/>
      <c r="AK338" s="72"/>
      <c r="AL338" s="72"/>
      <c r="AM338" s="72"/>
    </row>
    <row r="339" spans="2:39" ht="14.25" customHeight="1" outlineLevel="1" x14ac:dyDescent="0.25">
      <c r="B339" s="2024" t="s">
        <v>814</v>
      </c>
      <c r="C339" s="2025"/>
      <c r="D339" s="2025"/>
      <c r="E339" s="2025"/>
      <c r="F339" s="2025"/>
      <c r="G339" s="2025"/>
      <c r="H339" s="2025"/>
      <c r="I339" s="1775" t="s">
        <v>100</v>
      </c>
      <c r="J339" s="2026"/>
      <c r="K339" s="972"/>
      <c r="L339" s="2018">
        <f t="shared" ref="L339" si="146">J339*K339</f>
        <v>0</v>
      </c>
      <c r="M339" s="2020" t="str">
        <f>IFERROR(IF((VLOOKUP(N339,Überblick!$M$125:$N$133,2))="ja","ja","nein"),"")</f>
        <v/>
      </c>
      <c r="N339" s="2022"/>
      <c r="O339" s="72">
        <f t="shared" ref="O339" si="147">IF(AND(I339="ja",J339=""),1,0)</f>
        <v>0</v>
      </c>
      <c r="P339" s="78">
        <f t="shared" si="143"/>
        <v>0</v>
      </c>
      <c r="Q339" s="66"/>
      <c r="R339" s="66"/>
      <c r="S339" s="66"/>
      <c r="T339" s="66"/>
      <c r="U339" s="66"/>
      <c r="V339" s="399"/>
      <c r="W339" s="399"/>
      <c r="X339" s="399"/>
      <c r="Y339" s="72"/>
      <c r="Z339" s="72"/>
      <c r="AA339" s="72"/>
      <c r="AB339" s="72"/>
      <c r="AC339" s="72"/>
      <c r="AD339" s="72"/>
      <c r="AE339" s="72"/>
      <c r="AF339" s="72"/>
      <c r="AG339" s="72"/>
      <c r="AH339" s="72"/>
      <c r="AI339" s="72"/>
      <c r="AJ339" s="72"/>
      <c r="AK339" s="72"/>
      <c r="AL339" s="72"/>
      <c r="AM339" s="72"/>
    </row>
    <row r="340" spans="2:39" ht="14.25" customHeight="1" outlineLevel="1" x14ac:dyDescent="0.25">
      <c r="B340" s="2024"/>
      <c r="C340" s="2025"/>
      <c r="D340" s="2025"/>
      <c r="E340" s="2025"/>
      <c r="F340" s="2025"/>
      <c r="G340" s="2025"/>
      <c r="H340" s="2025"/>
      <c r="I340" s="1726"/>
      <c r="J340" s="2026"/>
      <c r="K340" s="972"/>
      <c r="L340" s="2018"/>
      <c r="M340" s="2020"/>
      <c r="N340" s="2022"/>
      <c r="P340" s="78"/>
      <c r="Q340" s="66"/>
      <c r="R340" s="66"/>
      <c r="S340" s="66"/>
      <c r="T340" s="66"/>
      <c r="U340" s="66"/>
      <c r="V340" s="399"/>
      <c r="W340" s="399"/>
      <c r="X340" s="399"/>
      <c r="Y340" s="72"/>
      <c r="Z340" s="72"/>
      <c r="AA340" s="72"/>
      <c r="AB340" s="72"/>
      <c r="AC340" s="72"/>
      <c r="AD340" s="72"/>
      <c r="AE340" s="72"/>
      <c r="AF340" s="72"/>
      <c r="AG340" s="72"/>
      <c r="AH340" s="72"/>
      <c r="AI340" s="72"/>
      <c r="AJ340" s="72"/>
      <c r="AK340" s="72"/>
      <c r="AL340" s="72"/>
      <c r="AM340" s="72"/>
    </row>
    <row r="341" spans="2:39" ht="14.25" customHeight="1" outlineLevel="1" x14ac:dyDescent="0.25">
      <c r="B341" s="2024"/>
      <c r="C341" s="2025"/>
      <c r="D341" s="2025"/>
      <c r="E341" s="2025"/>
      <c r="F341" s="2025"/>
      <c r="G341" s="2025"/>
      <c r="H341" s="2025"/>
      <c r="I341" s="1726"/>
      <c r="J341" s="2026"/>
      <c r="K341" s="972"/>
      <c r="L341" s="2018"/>
      <c r="M341" s="2020"/>
      <c r="N341" s="2022"/>
      <c r="P341" s="78"/>
      <c r="Q341" s="66"/>
      <c r="R341" s="66"/>
      <c r="S341" s="66"/>
      <c r="T341" s="66"/>
      <c r="U341" s="66"/>
      <c r="V341" s="399"/>
      <c r="W341" s="399"/>
      <c r="X341" s="399"/>
      <c r="Y341" s="72"/>
      <c r="Z341" s="72"/>
      <c r="AA341" s="72"/>
      <c r="AB341" s="72"/>
      <c r="AC341" s="72"/>
      <c r="AD341" s="72"/>
      <c r="AE341" s="72"/>
      <c r="AF341" s="72"/>
      <c r="AG341" s="72"/>
      <c r="AH341" s="72"/>
      <c r="AI341" s="72"/>
      <c r="AJ341" s="72"/>
      <c r="AK341" s="72"/>
      <c r="AL341" s="72"/>
      <c r="AM341" s="72"/>
    </row>
    <row r="342" spans="2:39" ht="14.25" customHeight="1" outlineLevel="1" x14ac:dyDescent="0.25">
      <c r="B342" s="2024" t="s">
        <v>815</v>
      </c>
      <c r="C342" s="2025"/>
      <c r="D342" s="2025"/>
      <c r="E342" s="2025"/>
      <c r="F342" s="2025"/>
      <c r="G342" s="2025"/>
      <c r="H342" s="2025"/>
      <c r="I342" s="1775" t="s">
        <v>100</v>
      </c>
      <c r="J342" s="2026"/>
      <c r="K342" s="972"/>
      <c r="L342" s="2018">
        <f t="shared" ref="L342" si="148">J342*K342</f>
        <v>0</v>
      </c>
      <c r="M342" s="2020" t="str">
        <f>IFERROR(IF((VLOOKUP(N342,Überblick!$M$125:$N$133,2))="ja","ja","nein"),"")</f>
        <v/>
      </c>
      <c r="N342" s="2022"/>
      <c r="O342" s="72">
        <f t="shared" ref="O342" si="149">IF(AND(I342="ja",J342=""),1,0)</f>
        <v>0</v>
      </c>
      <c r="P342" s="78">
        <f t="shared" si="143"/>
        <v>0</v>
      </c>
      <c r="Q342" s="66"/>
      <c r="R342" s="66"/>
      <c r="S342" s="66"/>
      <c r="T342" s="66"/>
      <c r="U342" s="66"/>
      <c r="V342" s="399"/>
      <c r="W342" s="399"/>
      <c r="X342" s="399"/>
      <c r="Y342" s="72"/>
      <c r="Z342" s="72"/>
      <c r="AA342" s="72"/>
      <c r="AB342" s="72"/>
      <c r="AC342" s="72"/>
      <c r="AD342" s="72"/>
      <c r="AE342" s="72"/>
      <c r="AF342" s="72"/>
      <c r="AG342" s="72"/>
      <c r="AH342" s="72"/>
      <c r="AI342" s="72"/>
      <c r="AJ342" s="72"/>
      <c r="AK342" s="72"/>
      <c r="AL342" s="72"/>
      <c r="AM342" s="72"/>
    </row>
    <row r="343" spans="2:39" ht="14.25" customHeight="1" outlineLevel="1" x14ac:dyDescent="0.25">
      <c r="B343" s="2024"/>
      <c r="C343" s="2025"/>
      <c r="D343" s="2025"/>
      <c r="E343" s="2025"/>
      <c r="F343" s="2025"/>
      <c r="G343" s="2025"/>
      <c r="H343" s="2025"/>
      <c r="I343" s="1726"/>
      <c r="J343" s="2026"/>
      <c r="K343" s="972"/>
      <c r="L343" s="2018"/>
      <c r="M343" s="2020"/>
      <c r="N343" s="2022"/>
      <c r="P343" s="78"/>
      <c r="Q343" s="66"/>
      <c r="R343" s="66"/>
      <c r="S343" s="66"/>
      <c r="T343" s="66"/>
      <c r="U343" s="66"/>
      <c r="V343" s="399"/>
      <c r="W343" s="399"/>
      <c r="X343" s="399"/>
      <c r="Y343" s="72"/>
      <c r="Z343" s="72"/>
      <c r="AA343" s="72"/>
      <c r="AB343" s="72"/>
      <c r="AC343" s="72"/>
      <c r="AD343" s="72"/>
      <c r="AE343" s="72"/>
      <c r="AF343" s="72"/>
      <c r="AG343" s="72"/>
      <c r="AH343" s="72"/>
      <c r="AI343" s="72"/>
      <c r="AJ343" s="72"/>
      <c r="AK343" s="72"/>
      <c r="AL343" s="72"/>
      <c r="AM343" s="72"/>
    </row>
    <row r="344" spans="2:39" ht="14.25" customHeight="1" outlineLevel="1" x14ac:dyDescent="0.25">
      <c r="B344" s="2024"/>
      <c r="C344" s="2025"/>
      <c r="D344" s="2025"/>
      <c r="E344" s="2025"/>
      <c r="F344" s="2025"/>
      <c r="G344" s="2025"/>
      <c r="H344" s="2025"/>
      <c r="I344" s="1726"/>
      <c r="J344" s="2026"/>
      <c r="K344" s="972"/>
      <c r="L344" s="2018"/>
      <c r="M344" s="2020"/>
      <c r="N344" s="2022"/>
      <c r="P344" s="78"/>
      <c r="Q344" s="66"/>
      <c r="R344" s="66"/>
      <c r="S344" s="66"/>
      <c r="T344" s="66"/>
      <c r="U344" s="66"/>
      <c r="V344" s="399"/>
      <c r="W344" s="399"/>
      <c r="X344" s="399"/>
      <c r="Y344" s="72"/>
      <c r="Z344" s="72"/>
      <c r="AA344" s="72"/>
      <c r="AB344" s="72"/>
      <c r="AC344" s="72"/>
      <c r="AD344" s="72"/>
      <c r="AE344" s="72"/>
      <c r="AF344" s="72"/>
      <c r="AG344" s="72"/>
      <c r="AH344" s="72"/>
      <c r="AI344" s="72"/>
      <c r="AJ344" s="72"/>
      <c r="AK344" s="72"/>
      <c r="AL344" s="72"/>
      <c r="AM344" s="72"/>
    </row>
    <row r="345" spans="2:39" ht="14.25" customHeight="1" outlineLevel="1" x14ac:dyDescent="0.25">
      <c r="B345" s="2024" t="s">
        <v>816</v>
      </c>
      <c r="C345" s="2025"/>
      <c r="D345" s="2025"/>
      <c r="E345" s="2025"/>
      <c r="F345" s="2025"/>
      <c r="G345" s="2025"/>
      <c r="H345" s="2025"/>
      <c r="I345" s="1775" t="s">
        <v>100</v>
      </c>
      <c r="J345" s="2026"/>
      <c r="K345" s="972"/>
      <c r="L345" s="2018">
        <f t="shared" ref="L345" si="150">J345*K345</f>
        <v>0</v>
      </c>
      <c r="M345" s="2020" t="str">
        <f>IFERROR(IF((VLOOKUP(N345,Überblick!$M$125:$N$133,2))="ja","ja","nein"),"")</f>
        <v/>
      </c>
      <c r="N345" s="2022"/>
      <c r="O345" s="72">
        <f t="shared" ref="O345" si="151">IF(AND(I345="ja",J345=""),1,0)</f>
        <v>0</v>
      </c>
      <c r="P345" s="78">
        <f t="shared" si="143"/>
        <v>0</v>
      </c>
      <c r="Q345" s="66"/>
      <c r="R345" s="66"/>
      <c r="S345" s="66"/>
      <c r="T345" s="66"/>
      <c r="U345" s="66"/>
      <c r="V345" s="399"/>
      <c r="W345" s="399"/>
      <c r="X345" s="399"/>
      <c r="Y345" s="72"/>
      <c r="Z345" s="72"/>
      <c r="AA345" s="72"/>
      <c r="AB345" s="72"/>
      <c r="AC345" s="72"/>
      <c r="AD345" s="72"/>
      <c r="AE345" s="72"/>
      <c r="AF345" s="72"/>
      <c r="AG345" s="72"/>
      <c r="AH345" s="72"/>
      <c r="AI345" s="72"/>
      <c r="AJ345" s="72"/>
      <c r="AK345" s="72"/>
      <c r="AL345" s="72"/>
      <c r="AM345" s="72"/>
    </row>
    <row r="346" spans="2:39" ht="14.25" customHeight="1" outlineLevel="1" x14ac:dyDescent="0.25">
      <c r="B346" s="2024"/>
      <c r="C346" s="2025"/>
      <c r="D346" s="2025"/>
      <c r="E346" s="2025"/>
      <c r="F346" s="2025"/>
      <c r="G346" s="2025"/>
      <c r="H346" s="2025"/>
      <c r="I346" s="1775"/>
      <c r="J346" s="2026"/>
      <c r="K346" s="972"/>
      <c r="L346" s="2018"/>
      <c r="M346" s="2020"/>
      <c r="N346" s="2022"/>
      <c r="P346" s="78"/>
      <c r="Q346" s="66"/>
      <c r="R346" s="66"/>
      <c r="S346" s="66"/>
      <c r="T346" s="66"/>
      <c r="U346" s="66"/>
      <c r="V346" s="399"/>
      <c r="W346" s="399"/>
      <c r="X346" s="399"/>
      <c r="Y346" s="72"/>
      <c r="Z346" s="72"/>
      <c r="AA346" s="72"/>
      <c r="AB346" s="72"/>
      <c r="AC346" s="72"/>
      <c r="AD346" s="72"/>
      <c r="AE346" s="72"/>
      <c r="AF346" s="72"/>
      <c r="AG346" s="72"/>
      <c r="AH346" s="72"/>
      <c r="AI346" s="72"/>
      <c r="AJ346" s="72"/>
      <c r="AK346" s="72"/>
      <c r="AL346" s="72"/>
      <c r="AM346" s="72"/>
    </row>
    <row r="347" spans="2:39" ht="14.25" customHeight="1" outlineLevel="1" x14ac:dyDescent="0.25">
      <c r="B347" s="2024"/>
      <c r="C347" s="2025"/>
      <c r="D347" s="2025"/>
      <c r="E347" s="2025"/>
      <c r="F347" s="2025"/>
      <c r="G347" s="2025"/>
      <c r="H347" s="2025"/>
      <c r="I347" s="1775"/>
      <c r="J347" s="2026"/>
      <c r="K347" s="972"/>
      <c r="L347" s="2018"/>
      <c r="M347" s="2020"/>
      <c r="N347" s="2022"/>
      <c r="P347" s="78"/>
      <c r="Q347" s="66"/>
      <c r="R347" s="66"/>
      <c r="S347" s="66"/>
      <c r="T347" s="66"/>
      <c r="U347" s="66"/>
      <c r="V347" s="399"/>
      <c r="W347" s="399"/>
      <c r="X347" s="399"/>
      <c r="Y347" s="72"/>
      <c r="Z347" s="72"/>
      <c r="AA347" s="72"/>
      <c r="AB347" s="72"/>
      <c r="AC347" s="72"/>
      <c r="AD347" s="72"/>
      <c r="AE347" s="72"/>
      <c r="AF347" s="72"/>
      <c r="AG347" s="72"/>
      <c r="AH347" s="72"/>
      <c r="AI347" s="72"/>
      <c r="AJ347" s="72"/>
      <c r="AK347" s="72"/>
      <c r="AL347" s="72"/>
      <c r="AM347" s="72"/>
    </row>
    <row r="348" spans="2:39" ht="14.25" customHeight="1" outlineLevel="1" x14ac:dyDescent="0.25">
      <c r="B348" s="2024"/>
      <c r="C348" s="2025"/>
      <c r="D348" s="2025"/>
      <c r="E348" s="2025"/>
      <c r="F348" s="2025"/>
      <c r="G348" s="2025"/>
      <c r="H348" s="2025"/>
      <c r="I348" s="1775"/>
      <c r="J348" s="2026"/>
      <c r="K348" s="972"/>
      <c r="L348" s="2018"/>
      <c r="M348" s="2020"/>
      <c r="N348" s="2022"/>
      <c r="P348" s="78"/>
      <c r="Q348" s="66"/>
      <c r="R348" s="66"/>
      <c r="S348" s="66"/>
      <c r="T348" s="66"/>
      <c r="U348" s="66"/>
      <c r="V348" s="399"/>
      <c r="W348" s="399"/>
      <c r="X348" s="399"/>
      <c r="Y348" s="72"/>
      <c r="Z348" s="72"/>
      <c r="AA348" s="72"/>
      <c r="AB348" s="72"/>
      <c r="AC348" s="72"/>
      <c r="AD348" s="72"/>
      <c r="AE348" s="72"/>
      <c r="AF348" s="72"/>
      <c r="AG348" s="72"/>
      <c r="AH348" s="72"/>
      <c r="AI348" s="72"/>
      <c r="AJ348" s="72"/>
      <c r="AK348" s="72"/>
      <c r="AL348" s="72"/>
      <c r="AM348" s="72"/>
    </row>
    <row r="349" spans="2:39" ht="14.25" customHeight="1" outlineLevel="1" x14ac:dyDescent="0.25">
      <c r="B349" s="2024" t="s">
        <v>817</v>
      </c>
      <c r="C349" s="2025"/>
      <c r="D349" s="2025"/>
      <c r="E349" s="2025"/>
      <c r="F349" s="2025"/>
      <c r="G349" s="2025"/>
      <c r="H349" s="2025"/>
      <c r="I349" s="1726" t="s">
        <v>100</v>
      </c>
      <c r="J349" s="2026"/>
      <c r="K349" s="972"/>
      <c r="L349" s="2018">
        <f t="shared" ref="L349" si="152">J349*K349</f>
        <v>0</v>
      </c>
      <c r="M349" s="2020" t="str">
        <f>IFERROR(IF((VLOOKUP(N349,Überblick!$M$125:$N$133,2))="ja","ja","nein"),"")</f>
        <v/>
      </c>
      <c r="N349" s="2022"/>
      <c r="O349" s="72">
        <f t="shared" ref="O349" si="153">IF(AND(I349="ja",J349=""),1,0)</f>
        <v>0</v>
      </c>
      <c r="P349" s="78">
        <f t="shared" si="143"/>
        <v>0</v>
      </c>
      <c r="Q349" s="66"/>
      <c r="R349" s="66"/>
      <c r="S349" s="66"/>
      <c r="T349" s="66"/>
      <c r="U349" s="66"/>
      <c r="V349" s="399"/>
      <c r="W349" s="399"/>
      <c r="X349" s="399"/>
      <c r="Y349" s="72"/>
      <c r="Z349" s="72"/>
      <c r="AA349" s="72"/>
      <c r="AB349" s="72"/>
      <c r="AC349" s="72"/>
      <c r="AD349" s="72"/>
      <c r="AE349" s="72"/>
      <c r="AF349" s="72"/>
      <c r="AG349" s="72"/>
      <c r="AH349" s="72"/>
      <c r="AI349" s="72"/>
      <c r="AJ349" s="72"/>
      <c r="AK349" s="72"/>
      <c r="AL349" s="72"/>
      <c r="AM349" s="72"/>
    </row>
    <row r="350" spans="2:39" ht="14.25" customHeight="1" outlineLevel="1" thickBot="1" x14ac:dyDescent="0.3">
      <c r="B350" s="2042"/>
      <c r="C350" s="2043"/>
      <c r="D350" s="2043"/>
      <c r="E350" s="2043"/>
      <c r="F350" s="2043"/>
      <c r="G350" s="2043"/>
      <c r="H350" s="2043"/>
      <c r="I350" s="1769"/>
      <c r="J350" s="2044"/>
      <c r="K350" s="976"/>
      <c r="L350" s="2045"/>
      <c r="M350" s="2046"/>
      <c r="N350" s="2047"/>
      <c r="P350" s="78"/>
      <c r="Q350" s="66"/>
      <c r="R350" s="66"/>
      <c r="S350" s="66"/>
      <c r="T350" s="66"/>
      <c r="U350" s="66"/>
      <c r="V350" s="399"/>
      <c r="W350" s="399"/>
      <c r="X350" s="399"/>
      <c r="Y350" s="72"/>
      <c r="Z350" s="72"/>
      <c r="AA350" s="72"/>
      <c r="AB350" s="72"/>
      <c r="AC350" s="72"/>
      <c r="AD350" s="72"/>
      <c r="AE350" s="72"/>
      <c r="AF350" s="72"/>
      <c r="AG350" s="72"/>
      <c r="AH350" s="72"/>
      <c r="AI350" s="72"/>
      <c r="AJ350" s="72"/>
      <c r="AK350" s="72"/>
      <c r="AL350" s="72"/>
      <c r="AM350" s="72"/>
    </row>
    <row r="351" spans="2:39" ht="14.25" customHeight="1" x14ac:dyDescent="0.25">
      <c r="B351" s="60"/>
      <c r="C351" s="60"/>
      <c r="D351" s="60"/>
      <c r="E351" s="60"/>
      <c r="F351" s="65"/>
      <c r="G351" s="65"/>
      <c r="H351" s="65"/>
      <c r="I351" s="65"/>
      <c r="J351" s="65"/>
      <c r="K351" s="66"/>
      <c r="L351" s="424">
        <f>SUM(L336:L350)</f>
        <v>0</v>
      </c>
      <c r="M351" s="66"/>
      <c r="N351" s="66"/>
      <c r="O351" s="72">
        <f>SUM(O8:O350)</f>
        <v>32</v>
      </c>
      <c r="P351" s="72">
        <f>IF(SUM(P8:P350)&gt;0,1,0)</f>
        <v>1</v>
      </c>
      <c r="Q351" s="66"/>
      <c r="R351" s="66"/>
      <c r="S351" s="66"/>
      <c r="T351" s="66"/>
      <c r="U351" s="66"/>
      <c r="V351" s="399"/>
      <c r="W351" s="399"/>
      <c r="X351" s="399"/>
      <c r="Y351" s="72"/>
      <c r="Z351" s="72"/>
      <c r="AA351" s="72"/>
      <c r="AB351" s="72"/>
      <c r="AC351" s="72"/>
      <c r="AD351" s="72"/>
      <c r="AE351" s="72"/>
      <c r="AF351" s="72"/>
      <c r="AG351" s="72"/>
      <c r="AH351" s="72"/>
      <c r="AI351" s="72"/>
      <c r="AJ351" s="72"/>
      <c r="AK351" s="72"/>
      <c r="AL351" s="72"/>
      <c r="AM351" s="72"/>
    </row>
    <row r="352" spans="2:39" ht="14.25" customHeight="1" x14ac:dyDescent="0.25">
      <c r="B352" s="60"/>
      <c r="C352" s="60"/>
      <c r="D352" s="60"/>
      <c r="E352" s="60"/>
      <c r="F352" s="65"/>
      <c r="G352" s="65"/>
      <c r="H352" s="65"/>
      <c r="I352" s="65"/>
      <c r="J352" s="65"/>
      <c r="K352" s="66"/>
      <c r="L352" s="424"/>
      <c r="M352" s="66"/>
      <c r="N352" s="66"/>
      <c r="P352" s="66"/>
      <c r="Q352" s="66"/>
      <c r="R352" s="66"/>
      <c r="S352" s="66"/>
      <c r="T352" s="66"/>
      <c r="U352" s="66"/>
      <c r="V352" s="399"/>
      <c r="W352" s="399"/>
      <c r="X352" s="399"/>
      <c r="Y352" s="72"/>
      <c r="Z352" s="72"/>
      <c r="AA352" s="72"/>
      <c r="AB352" s="72"/>
      <c r="AC352" s="72"/>
      <c r="AD352" s="72"/>
      <c r="AE352" s="72"/>
      <c r="AF352" s="72"/>
      <c r="AG352" s="72"/>
      <c r="AH352" s="72"/>
      <c r="AI352" s="72"/>
      <c r="AJ352" s="72"/>
      <c r="AK352" s="72"/>
      <c r="AL352" s="72"/>
      <c r="AM352" s="72"/>
    </row>
    <row r="353" spans="1:39" ht="15" customHeight="1" x14ac:dyDescent="0.25">
      <c r="A353" s="491" t="s">
        <v>818</v>
      </c>
      <c r="B353" s="2126" t="str">
        <f>IF(B1=V2,"Honorarvereinbarung für die zunächst beauftragten weiteren Besonderen Leistungen und für die optionalen Besonderen Leistungen","Honorarangebot für die zunächst beauftragten weiteren Besonderen Leistungen und für die optionalen Besonderen Leistungen")</f>
        <v>Honorarangebot für die zunächst beauftragten weiteren Besonderen Leistungen und für die optionalen Besonderen Leistungen</v>
      </c>
      <c r="C353" s="2126"/>
      <c r="D353" s="2126"/>
      <c r="E353" s="2126"/>
      <c r="F353" s="2126"/>
      <c r="G353" s="2126"/>
      <c r="H353" s="2126"/>
      <c r="I353" s="2126"/>
      <c r="J353" s="2126"/>
      <c r="K353" s="66"/>
      <c r="L353" s="66"/>
      <c r="M353" s="66"/>
      <c r="N353" s="66"/>
      <c r="P353" s="66"/>
      <c r="Q353" s="66"/>
      <c r="R353" s="66"/>
      <c r="S353" s="66"/>
      <c r="T353" s="66"/>
      <c r="U353" s="66"/>
      <c r="V353" s="399"/>
      <c r="W353" s="399"/>
      <c r="X353" s="399"/>
      <c r="Y353" s="72"/>
      <c r="Z353" s="72"/>
      <c r="AA353" s="72"/>
      <c r="AB353" s="72"/>
      <c r="AC353" s="72"/>
      <c r="AD353" s="72"/>
      <c r="AE353" s="72"/>
      <c r="AF353" s="72"/>
      <c r="AG353" s="72"/>
      <c r="AH353" s="72"/>
      <c r="AI353" s="72"/>
      <c r="AJ353" s="72"/>
      <c r="AK353" s="72"/>
      <c r="AL353" s="72"/>
      <c r="AM353" s="72"/>
    </row>
    <row r="354" spans="1:39" x14ac:dyDescent="0.25">
      <c r="B354" s="2126"/>
      <c r="C354" s="2126"/>
      <c r="D354" s="2126"/>
      <c r="E354" s="2126"/>
      <c r="F354" s="2126"/>
      <c r="G354" s="2126"/>
      <c r="H354" s="2126"/>
      <c r="I354" s="2126"/>
      <c r="J354" s="2126"/>
      <c r="K354" s="66"/>
      <c r="L354" s="66"/>
      <c r="M354" s="66"/>
      <c r="N354" s="66"/>
      <c r="P354" s="66"/>
      <c r="Q354" s="66"/>
      <c r="R354" s="66"/>
      <c r="S354" s="66"/>
      <c r="T354" s="66"/>
      <c r="U354" s="66"/>
      <c r="V354" s="399"/>
      <c r="W354" s="399"/>
      <c r="X354" s="399"/>
      <c r="Y354" s="72"/>
      <c r="Z354" s="72"/>
      <c r="AA354" s="72"/>
      <c r="AB354" s="72"/>
      <c r="AC354" s="72"/>
      <c r="AD354" s="72"/>
      <c r="AE354" s="72"/>
      <c r="AF354" s="72"/>
      <c r="AG354" s="72"/>
      <c r="AH354" s="72"/>
      <c r="AI354" s="72"/>
      <c r="AJ354" s="72"/>
      <c r="AK354" s="72"/>
      <c r="AL354" s="72"/>
      <c r="AM354" s="72"/>
    </row>
    <row r="355" spans="1:39" ht="15" customHeight="1" thickBot="1" x14ac:dyDescent="0.3">
      <c r="B355" s="60"/>
      <c r="C355" s="60"/>
      <c r="D355" s="60"/>
      <c r="E355" s="60"/>
      <c r="F355" s="65"/>
      <c r="G355" s="65"/>
      <c r="H355" s="65"/>
      <c r="I355" s="65"/>
      <c r="J355" s="65"/>
      <c r="K355" s="66"/>
      <c r="L355" s="66"/>
      <c r="M355" s="66"/>
      <c r="N355" s="66"/>
      <c r="P355" s="66"/>
      <c r="Q355" s="66"/>
      <c r="R355" s="66"/>
      <c r="S355" s="66"/>
      <c r="T355" s="66"/>
      <c r="U355" s="66"/>
      <c r="V355" s="399"/>
      <c r="W355" s="399"/>
      <c r="X355" s="399"/>
      <c r="Y355" s="72"/>
      <c r="Z355" s="72"/>
      <c r="AA355" s="72"/>
      <c r="AB355" s="72"/>
      <c r="AC355" s="72"/>
      <c r="AD355" s="72"/>
      <c r="AE355" s="72"/>
      <c r="AF355" s="72"/>
      <c r="AG355" s="72"/>
      <c r="AH355" s="72"/>
      <c r="AI355" s="72"/>
      <c r="AJ355" s="72"/>
      <c r="AK355" s="72"/>
      <c r="AL355" s="72"/>
      <c r="AM355" s="72"/>
    </row>
    <row r="356" spans="1:39" x14ac:dyDescent="0.25">
      <c r="B356" s="103"/>
      <c r="C356" s="104"/>
      <c r="D356" s="104"/>
      <c r="E356" s="104"/>
      <c r="F356" s="201"/>
      <c r="G356" s="259"/>
      <c r="H356" s="103"/>
      <c r="I356" s="46"/>
      <c r="J356" s="105"/>
      <c r="K356" s="66"/>
      <c r="L356" s="66"/>
      <c r="M356" s="66"/>
      <c r="N356" s="66"/>
      <c r="P356" s="66"/>
      <c r="Q356" s="66"/>
      <c r="R356" s="66"/>
      <c r="S356" s="66"/>
      <c r="T356" s="66"/>
      <c r="U356" s="66"/>
      <c r="V356" s="399"/>
      <c r="W356" s="399"/>
      <c r="X356" s="399"/>
      <c r="Y356" s="72"/>
      <c r="Z356" s="72"/>
      <c r="AA356" s="72"/>
      <c r="AB356" s="72"/>
      <c r="AC356" s="72"/>
      <c r="AD356" s="72"/>
      <c r="AE356" s="72"/>
      <c r="AF356" s="72"/>
      <c r="AG356" s="72"/>
      <c r="AH356" s="72"/>
      <c r="AI356" s="72"/>
      <c r="AJ356" s="72"/>
      <c r="AK356" s="72"/>
      <c r="AL356" s="72"/>
      <c r="AM356" s="72"/>
    </row>
    <row r="357" spans="1:39" ht="15" customHeight="1" x14ac:dyDescent="0.25">
      <c r="B357" s="926" t="s">
        <v>819</v>
      </c>
      <c r="C357" s="927"/>
      <c r="D357" s="927"/>
      <c r="E357" s="927"/>
      <c r="F357" s="928"/>
      <c r="G357" s="274"/>
      <c r="H357" s="2085">
        <f>L182+L164+L145+L133+L116+L70+L332+L351</f>
        <v>0</v>
      </c>
      <c r="I357" s="954"/>
      <c r="J357" s="955"/>
      <c r="K357" s="66"/>
      <c r="L357" s="66"/>
      <c r="M357" s="66"/>
      <c r="N357" s="66"/>
      <c r="P357" s="66"/>
      <c r="Q357" s="66"/>
      <c r="R357" s="66"/>
      <c r="S357" s="66"/>
      <c r="T357" s="66"/>
      <c r="U357" s="66"/>
      <c r="V357" s="399"/>
      <c r="W357" s="399"/>
      <c r="X357" s="399"/>
      <c r="Y357" s="72"/>
      <c r="Z357" s="72"/>
      <c r="AA357" s="72"/>
      <c r="AB357" s="72"/>
      <c r="AC357" s="72"/>
      <c r="AD357" s="72"/>
      <c r="AE357" s="72"/>
      <c r="AF357" s="72"/>
      <c r="AG357" s="72"/>
      <c r="AH357" s="72"/>
      <c r="AI357" s="72"/>
      <c r="AJ357" s="72"/>
      <c r="AK357" s="72"/>
      <c r="AL357" s="72"/>
      <c r="AM357" s="72"/>
    </row>
    <row r="358" spans="1:39" ht="14.55" thickBot="1" x14ac:dyDescent="0.3">
      <c r="B358" s="291"/>
      <c r="C358" s="202"/>
      <c r="D358" s="202"/>
      <c r="E358" s="202"/>
      <c r="F358" s="203"/>
      <c r="G358" s="275"/>
      <c r="H358" s="296"/>
      <c r="I358" s="202"/>
      <c r="J358" s="203"/>
      <c r="K358" s="66"/>
      <c r="L358" s="66"/>
      <c r="M358" s="66"/>
      <c r="N358" s="66"/>
      <c r="P358" s="66"/>
      <c r="Q358" s="66"/>
      <c r="R358" s="66"/>
      <c r="S358" s="66"/>
      <c r="T358" s="66"/>
      <c r="U358" s="66"/>
      <c r="V358" s="399"/>
      <c r="W358" s="399"/>
      <c r="X358" s="399"/>
      <c r="Y358" s="72"/>
      <c r="Z358" s="72"/>
      <c r="AA358" s="72"/>
      <c r="AB358" s="72"/>
      <c r="AC358" s="72"/>
      <c r="AD358" s="72"/>
      <c r="AE358" s="72"/>
      <c r="AF358" s="72"/>
      <c r="AG358" s="72"/>
      <c r="AH358" s="72"/>
      <c r="AI358" s="72"/>
      <c r="AJ358" s="72"/>
      <c r="AK358" s="72"/>
      <c r="AL358" s="72"/>
      <c r="AM358" s="72"/>
    </row>
    <row r="359" spans="1:39" ht="15" customHeight="1" x14ac:dyDescent="0.25">
      <c r="B359" s="90"/>
      <c r="C359" s="91"/>
      <c r="D359" s="91"/>
      <c r="E359" s="91"/>
      <c r="F359" s="92"/>
      <c r="G359" s="274"/>
      <c r="H359" s="320"/>
      <c r="I359" s="46"/>
      <c r="J359" s="273"/>
      <c r="K359" s="66"/>
      <c r="L359" s="66"/>
      <c r="M359" s="66"/>
      <c r="N359" s="66"/>
      <c r="P359" s="66"/>
      <c r="Q359" s="66"/>
      <c r="R359" s="66"/>
      <c r="S359" s="66"/>
      <c r="T359" s="66"/>
      <c r="U359" s="66"/>
      <c r="V359" s="399"/>
      <c r="W359" s="399"/>
      <c r="X359" s="399"/>
      <c r="Y359" s="72"/>
      <c r="Z359" s="72"/>
      <c r="AA359" s="72"/>
      <c r="AB359" s="72"/>
      <c r="AC359" s="72"/>
      <c r="AD359" s="72"/>
      <c r="AE359" s="72"/>
      <c r="AF359" s="72"/>
      <c r="AG359" s="72"/>
      <c r="AH359" s="72"/>
      <c r="AI359" s="72"/>
      <c r="AJ359" s="72"/>
      <c r="AK359" s="72"/>
      <c r="AL359" s="72"/>
      <c r="AM359" s="72"/>
    </row>
    <row r="360" spans="1:39" ht="15" customHeight="1" x14ac:dyDescent="0.25">
      <c r="B360" s="917" t="s">
        <v>94</v>
      </c>
      <c r="C360" s="918"/>
      <c r="D360" s="918"/>
      <c r="E360" s="918"/>
      <c r="F360" s="919"/>
      <c r="G360" s="350">
        <f>Überblick!$G$98</f>
        <v>0.19</v>
      </c>
      <c r="H360" s="2086">
        <f>H357*G360</f>
        <v>0</v>
      </c>
      <c r="I360" s="2087"/>
      <c r="J360" s="2088"/>
      <c r="K360" s="66"/>
      <c r="L360" s="66"/>
      <c r="M360" s="66"/>
      <c r="N360" s="66"/>
      <c r="P360" s="66"/>
      <c r="Q360" s="66"/>
      <c r="R360" s="66"/>
      <c r="S360" s="66"/>
      <c r="T360" s="66"/>
      <c r="U360" s="66"/>
      <c r="V360" s="399"/>
      <c r="W360" s="399"/>
      <c r="X360" s="399"/>
      <c r="Y360" s="72"/>
      <c r="Z360" s="72"/>
      <c r="AA360" s="72"/>
      <c r="AB360" s="72"/>
      <c r="AC360" s="72"/>
      <c r="AD360" s="72"/>
      <c r="AE360" s="72"/>
      <c r="AF360" s="72"/>
      <c r="AG360" s="72"/>
      <c r="AH360" s="72"/>
      <c r="AI360" s="72"/>
      <c r="AJ360" s="72"/>
      <c r="AK360" s="72"/>
      <c r="AL360" s="72"/>
      <c r="AM360" s="72"/>
    </row>
    <row r="361" spans="1:39" ht="15" customHeight="1" thickBot="1" x14ac:dyDescent="0.3">
      <c r="B361" s="305"/>
      <c r="C361" s="306"/>
      <c r="D361" s="306"/>
      <c r="E361" s="306"/>
      <c r="F361" s="307"/>
      <c r="G361" s="264"/>
      <c r="H361" s="323"/>
      <c r="I361" s="267"/>
      <c r="J361" s="300"/>
      <c r="K361" s="66"/>
      <c r="L361" s="66"/>
      <c r="M361" s="66"/>
      <c r="N361" s="66"/>
      <c r="P361" s="66"/>
      <c r="Q361" s="66"/>
      <c r="R361" s="66"/>
      <c r="S361" s="66"/>
      <c r="T361" s="66"/>
      <c r="U361" s="66"/>
      <c r="V361" s="399"/>
      <c r="W361" s="399"/>
      <c r="X361" s="399"/>
      <c r="Y361" s="72"/>
      <c r="Z361" s="72"/>
      <c r="AA361" s="72"/>
      <c r="AB361" s="72"/>
      <c r="AC361" s="72"/>
      <c r="AD361" s="72"/>
      <c r="AE361" s="72"/>
      <c r="AF361" s="72"/>
      <c r="AG361" s="72"/>
      <c r="AH361" s="72"/>
      <c r="AI361" s="72"/>
      <c r="AJ361" s="72"/>
      <c r="AK361" s="72"/>
      <c r="AL361" s="72"/>
      <c r="AM361" s="72"/>
    </row>
    <row r="362" spans="1:39" ht="15" customHeight="1" x14ac:dyDescent="0.25">
      <c r="B362" s="920" t="s">
        <v>98</v>
      </c>
      <c r="C362" s="921"/>
      <c r="D362" s="921"/>
      <c r="E362" s="921"/>
      <c r="F362" s="922"/>
      <c r="G362" s="277"/>
      <c r="H362" s="257"/>
      <c r="I362" s="258"/>
      <c r="J362" s="272"/>
      <c r="K362" s="66"/>
      <c r="L362" s="66"/>
      <c r="M362" s="66"/>
      <c r="N362" s="66"/>
      <c r="P362" s="66"/>
      <c r="Q362" s="66"/>
      <c r="R362" s="66"/>
      <c r="S362" s="66"/>
      <c r="T362" s="66"/>
      <c r="U362" s="66"/>
      <c r="V362" s="399"/>
      <c r="W362" s="399"/>
      <c r="X362" s="399"/>
      <c r="Y362" s="72"/>
      <c r="Z362" s="72"/>
      <c r="AA362" s="72"/>
      <c r="AB362" s="72"/>
      <c r="AC362" s="72"/>
      <c r="AD362" s="72"/>
      <c r="AE362" s="72"/>
      <c r="AF362" s="72"/>
      <c r="AG362" s="72"/>
      <c r="AH362" s="72"/>
      <c r="AI362" s="72"/>
      <c r="AJ362" s="72"/>
      <c r="AK362" s="72"/>
      <c r="AL362" s="72"/>
      <c r="AM362" s="72"/>
    </row>
    <row r="363" spans="1:39" ht="15" customHeight="1" thickBot="1" x14ac:dyDescent="0.3">
      <c r="B363" s="923"/>
      <c r="C363" s="924"/>
      <c r="D363" s="924"/>
      <c r="E363" s="924"/>
      <c r="F363" s="925"/>
      <c r="G363" s="278"/>
      <c r="H363" s="2089">
        <f>H357+H360</f>
        <v>0</v>
      </c>
      <c r="I363" s="2090"/>
      <c r="J363" s="2091"/>
      <c r="K363" s="66"/>
      <c r="L363" s="66"/>
      <c r="M363" s="66"/>
      <c r="N363" s="66"/>
      <c r="P363" s="66"/>
      <c r="Q363" s="66"/>
      <c r="R363" s="66"/>
      <c r="S363" s="66"/>
      <c r="T363" s="66"/>
      <c r="U363" s="66"/>
      <c r="V363" s="399"/>
      <c r="W363" s="399"/>
      <c r="X363" s="399"/>
      <c r="Y363" s="72"/>
      <c r="Z363" s="72"/>
      <c r="AA363" s="72"/>
      <c r="AB363" s="72"/>
      <c r="AC363" s="72"/>
      <c r="AD363" s="72"/>
      <c r="AE363" s="72"/>
      <c r="AF363" s="72"/>
      <c r="AG363" s="72"/>
      <c r="AH363" s="72"/>
      <c r="AI363" s="72"/>
      <c r="AJ363" s="72"/>
      <c r="AK363" s="72"/>
      <c r="AL363" s="72"/>
      <c r="AM363" s="72"/>
    </row>
    <row r="364" spans="1:39" ht="15" customHeight="1" x14ac:dyDescent="0.25">
      <c r="B364" s="60"/>
      <c r="C364" s="60"/>
      <c r="D364" s="60"/>
      <c r="E364" s="60"/>
      <c r="F364" s="65"/>
      <c r="G364" s="65"/>
      <c r="H364" s="65"/>
      <c r="I364" s="65"/>
      <c r="J364" s="65"/>
      <c r="K364" s="66"/>
      <c r="L364" s="66"/>
      <c r="M364" s="66"/>
      <c r="N364" s="66"/>
      <c r="P364" s="66"/>
      <c r="Q364" s="66"/>
      <c r="R364" s="66"/>
      <c r="S364" s="66"/>
      <c r="T364" s="66"/>
      <c r="U364" s="66"/>
      <c r="V364" s="399"/>
      <c r="W364" s="399"/>
      <c r="X364" s="399"/>
      <c r="Y364" s="72"/>
      <c r="Z364" s="72"/>
      <c r="AA364" s="72"/>
      <c r="AB364" s="72"/>
      <c r="AC364" s="72"/>
      <c r="AD364" s="72"/>
      <c r="AE364" s="72"/>
      <c r="AF364" s="72"/>
      <c r="AG364" s="72"/>
      <c r="AH364" s="72"/>
      <c r="AI364" s="72"/>
      <c r="AJ364" s="72"/>
      <c r="AK364" s="72"/>
      <c r="AL364" s="72"/>
      <c r="AM364" s="72"/>
    </row>
    <row r="365" spans="1:39" ht="15" customHeight="1" x14ac:dyDescent="0.25">
      <c r="A365" s="491" t="s">
        <v>820</v>
      </c>
      <c r="B365" s="60" t="str">
        <f>IF(B1=V2,"Honorarvereinbarung für die zunächst beauftragenden weiteren Besonderen Leistungen","Honorangebot für die zunächst beauftragenden weiteren Besonderen Leistungen ")</f>
        <v xml:space="preserve">Honorangebot für die zunächst beauftragenden weiteren Besonderen Leistungen </v>
      </c>
      <c r="C365" s="60"/>
      <c r="D365" s="60"/>
      <c r="E365" s="60"/>
      <c r="F365" s="65"/>
      <c r="G365" s="65"/>
      <c r="H365" s="65"/>
      <c r="I365" s="65"/>
      <c r="J365" s="65"/>
      <c r="K365" s="66"/>
      <c r="L365" s="66"/>
      <c r="M365" s="66"/>
      <c r="N365" s="66"/>
      <c r="P365" s="66"/>
      <c r="Q365" s="66"/>
      <c r="R365" s="66"/>
      <c r="S365" s="66"/>
      <c r="T365" s="66"/>
      <c r="U365" s="66"/>
      <c r="V365" s="399"/>
      <c r="W365" s="399"/>
      <c r="X365" s="399"/>
      <c r="Y365" s="72"/>
      <c r="Z365" s="72"/>
      <c r="AA365" s="72"/>
      <c r="AB365" s="72"/>
      <c r="AC365" s="72"/>
      <c r="AD365" s="72"/>
      <c r="AE365" s="72"/>
      <c r="AF365" s="72"/>
      <c r="AG365" s="72"/>
      <c r="AH365" s="72"/>
      <c r="AI365" s="72"/>
      <c r="AJ365" s="72"/>
      <c r="AK365" s="72"/>
      <c r="AL365" s="72"/>
      <c r="AM365" s="72"/>
    </row>
    <row r="366" spans="1:39" ht="15" customHeight="1" thickBot="1" x14ac:dyDescent="0.3">
      <c r="B366" s="60"/>
      <c r="C366" s="60"/>
      <c r="D366" s="60"/>
      <c r="E366" s="60"/>
      <c r="F366" s="65"/>
      <c r="G366" s="65"/>
      <c r="H366" s="65"/>
      <c r="I366" s="65"/>
      <c r="J366" s="65"/>
      <c r="K366" s="66"/>
      <c r="L366" s="66"/>
      <c r="M366" s="66"/>
      <c r="N366" s="66"/>
      <c r="P366" s="66"/>
      <c r="Q366" s="66"/>
      <c r="R366" s="66"/>
      <c r="S366" s="66"/>
      <c r="T366" s="66"/>
      <c r="U366" s="66"/>
      <c r="V366" s="399"/>
      <c r="W366" s="399"/>
      <c r="X366" s="399"/>
      <c r="Y366" s="72"/>
      <c r="Z366" s="72"/>
      <c r="AA366" s="72"/>
      <c r="AB366" s="72"/>
      <c r="AC366" s="72"/>
      <c r="AD366" s="72"/>
      <c r="AE366" s="72"/>
      <c r="AF366" s="72"/>
      <c r="AG366" s="72"/>
      <c r="AH366" s="72"/>
      <c r="AI366" s="72"/>
      <c r="AJ366" s="72"/>
      <c r="AK366" s="72"/>
      <c r="AL366" s="72"/>
      <c r="AM366" s="72"/>
    </row>
    <row r="367" spans="1:39" x14ac:dyDescent="0.25">
      <c r="B367" s="103"/>
      <c r="C367" s="104"/>
      <c r="D367" s="104"/>
      <c r="E367" s="104"/>
      <c r="F367" s="201"/>
      <c r="G367" s="259"/>
      <c r="H367" s="103"/>
      <c r="I367" s="46"/>
      <c r="J367" s="105"/>
      <c r="K367" s="270"/>
      <c r="L367" s="48"/>
      <c r="M367" s="48"/>
      <c r="N367" s="66"/>
      <c r="O367" s="399"/>
      <c r="P367" s="66"/>
      <c r="Q367" s="66"/>
      <c r="R367" s="66"/>
      <c r="S367" s="66"/>
      <c r="T367" s="66"/>
      <c r="U367" s="66"/>
      <c r="V367" s="399"/>
      <c r="W367" s="399"/>
      <c r="X367" s="399"/>
      <c r="Y367" s="72"/>
      <c r="Z367" s="72"/>
      <c r="AA367" s="72"/>
      <c r="AB367" s="72"/>
      <c r="AC367" s="72"/>
      <c r="AD367" s="72"/>
      <c r="AE367" s="72"/>
      <c r="AF367" s="72"/>
      <c r="AG367" s="72"/>
      <c r="AH367" s="72"/>
      <c r="AI367" s="72"/>
      <c r="AJ367" s="72"/>
      <c r="AK367" s="72"/>
      <c r="AL367" s="72"/>
      <c r="AM367" s="72"/>
    </row>
    <row r="368" spans="1:39" x14ac:dyDescent="0.25">
      <c r="B368" s="926" t="s">
        <v>819</v>
      </c>
      <c r="C368" s="927"/>
      <c r="D368" s="927"/>
      <c r="E368" s="927"/>
      <c r="F368" s="928"/>
      <c r="G368" s="274"/>
      <c r="H368" s="2085">
        <f>'Berechnung besondere Leistungen'!W71</f>
        <v>0</v>
      </c>
      <c r="I368" s="954"/>
      <c r="J368" s="955"/>
      <c r="K368" s="270"/>
      <c r="L368" s="48"/>
      <c r="M368" s="48"/>
      <c r="N368" s="66"/>
      <c r="O368" s="399"/>
      <c r="P368" s="66"/>
      <c r="Q368" s="66"/>
      <c r="R368" s="66"/>
      <c r="S368" s="66"/>
      <c r="T368" s="66"/>
      <c r="U368" s="66"/>
      <c r="V368" s="399"/>
      <c r="W368" s="399"/>
      <c r="X368" s="399"/>
      <c r="Y368" s="72"/>
      <c r="Z368" s="72"/>
      <c r="AA368" s="72"/>
      <c r="AB368" s="72"/>
      <c r="AC368" s="72"/>
      <c r="AD368" s="72"/>
      <c r="AE368" s="72"/>
      <c r="AF368" s="72"/>
      <c r="AG368" s="72"/>
      <c r="AH368" s="72"/>
      <c r="AI368" s="72"/>
      <c r="AJ368" s="72"/>
      <c r="AK368" s="72"/>
      <c r="AL368" s="72"/>
      <c r="AM368" s="72"/>
    </row>
    <row r="369" spans="1:39" ht="14.55" thickBot="1" x14ac:dyDescent="0.3">
      <c r="B369" s="291"/>
      <c r="C369" s="202"/>
      <c r="D369" s="202"/>
      <c r="E369" s="202"/>
      <c r="F369" s="203"/>
      <c r="G369" s="275"/>
      <c r="H369" s="296"/>
      <c r="I369" s="202"/>
      <c r="J369" s="203"/>
      <c r="K369" s="270"/>
      <c r="L369" s="48"/>
      <c r="M369" s="48"/>
      <c r="N369" s="66"/>
      <c r="O369" s="399"/>
      <c r="P369" s="66"/>
      <c r="Q369" s="66"/>
      <c r="R369" s="66"/>
      <c r="S369" s="66"/>
      <c r="T369" s="66"/>
      <c r="U369" s="66"/>
      <c r="V369" s="399"/>
      <c r="W369" s="399"/>
      <c r="X369" s="399"/>
      <c r="Y369" s="72"/>
      <c r="Z369" s="72"/>
      <c r="AA369" s="72"/>
      <c r="AB369" s="72"/>
      <c r="AC369" s="72"/>
      <c r="AD369" s="72"/>
      <c r="AE369" s="72"/>
      <c r="AF369" s="72"/>
      <c r="AG369" s="72"/>
      <c r="AH369" s="72"/>
      <c r="AI369" s="72"/>
      <c r="AJ369" s="72"/>
      <c r="AK369" s="72"/>
      <c r="AL369" s="72"/>
      <c r="AM369" s="72"/>
    </row>
    <row r="370" spans="1:39" x14ac:dyDescent="0.25">
      <c r="B370" s="90"/>
      <c r="C370" s="91"/>
      <c r="D370" s="91"/>
      <c r="E370" s="91"/>
      <c r="F370" s="92"/>
      <c r="G370" s="274"/>
      <c r="H370" s="320"/>
      <c r="I370" s="46"/>
      <c r="J370" s="273"/>
      <c r="K370" s="270"/>
      <c r="L370" s="48"/>
      <c r="M370" s="48"/>
      <c r="N370" s="66"/>
      <c r="O370" s="399"/>
      <c r="P370" s="66"/>
      <c r="Q370" s="66"/>
      <c r="R370" s="66"/>
      <c r="S370" s="66"/>
      <c r="T370" s="66"/>
      <c r="U370" s="66"/>
      <c r="V370" s="399"/>
      <c r="W370" s="399"/>
      <c r="X370" s="399"/>
      <c r="Y370" s="72"/>
      <c r="Z370" s="72"/>
      <c r="AA370" s="72"/>
      <c r="AB370" s="72"/>
      <c r="AC370" s="72"/>
      <c r="AD370" s="72"/>
      <c r="AE370" s="72"/>
      <c r="AF370" s="72"/>
      <c r="AG370" s="72"/>
      <c r="AH370" s="72"/>
      <c r="AI370" s="72"/>
      <c r="AJ370" s="72"/>
      <c r="AK370" s="72"/>
      <c r="AL370" s="72"/>
      <c r="AM370" s="72"/>
    </row>
    <row r="371" spans="1:39" ht="15" customHeight="1" x14ac:dyDescent="0.25">
      <c r="B371" s="917" t="s">
        <v>94</v>
      </c>
      <c r="C371" s="918"/>
      <c r="D371" s="918"/>
      <c r="E371" s="918"/>
      <c r="F371" s="919"/>
      <c r="G371" s="350">
        <f>Überblick!$G$98</f>
        <v>0.19</v>
      </c>
      <c r="H371" s="2086">
        <f>H368*G371</f>
        <v>0</v>
      </c>
      <c r="I371" s="2087"/>
      <c r="J371" s="2088"/>
      <c r="K371" s="270"/>
      <c r="L371" s="48"/>
      <c r="M371" s="48"/>
      <c r="N371" s="66"/>
      <c r="O371" s="399"/>
      <c r="P371" s="66"/>
      <c r="Q371" s="66"/>
      <c r="R371" s="66"/>
      <c r="S371" s="66"/>
      <c r="T371" s="66"/>
      <c r="U371" s="66"/>
      <c r="V371" s="399"/>
      <c r="W371" s="399"/>
      <c r="X371" s="399"/>
      <c r="Y371" s="72"/>
      <c r="Z371" s="72"/>
      <c r="AA371" s="72"/>
      <c r="AB371" s="72"/>
      <c r="AC371" s="72"/>
      <c r="AD371" s="72"/>
      <c r="AE371" s="72"/>
      <c r="AF371" s="72"/>
      <c r="AG371" s="72"/>
      <c r="AH371" s="72"/>
      <c r="AI371" s="72"/>
      <c r="AJ371" s="72"/>
      <c r="AK371" s="72"/>
      <c r="AL371" s="72"/>
      <c r="AM371" s="72"/>
    </row>
    <row r="372" spans="1:39" ht="14.55" thickBot="1" x14ac:dyDescent="0.3">
      <c r="B372" s="305"/>
      <c r="C372" s="306"/>
      <c r="D372" s="306"/>
      <c r="E372" s="306"/>
      <c r="F372" s="307"/>
      <c r="G372" s="264"/>
      <c r="H372" s="323"/>
      <c r="I372" s="267"/>
      <c r="J372" s="300"/>
      <c r="K372" s="270"/>
      <c r="L372" s="48"/>
      <c r="M372" s="48"/>
      <c r="N372" s="66"/>
      <c r="O372" s="399"/>
      <c r="P372" s="66"/>
      <c r="Q372" s="66"/>
      <c r="R372" s="66"/>
      <c r="S372" s="66"/>
      <c r="T372" s="66"/>
      <c r="U372" s="66"/>
      <c r="V372" s="399"/>
      <c r="W372" s="399"/>
      <c r="X372" s="399"/>
      <c r="Y372" s="72"/>
      <c r="Z372" s="72"/>
      <c r="AA372" s="72"/>
      <c r="AB372" s="72"/>
      <c r="AC372" s="72"/>
      <c r="AD372" s="72"/>
      <c r="AE372" s="72"/>
      <c r="AF372" s="72"/>
      <c r="AG372" s="72"/>
      <c r="AH372" s="72"/>
      <c r="AI372" s="72"/>
      <c r="AJ372" s="72"/>
      <c r="AK372" s="72"/>
      <c r="AL372" s="72"/>
      <c r="AM372" s="72"/>
    </row>
    <row r="373" spans="1:39" ht="15" customHeight="1" x14ac:dyDescent="0.25">
      <c r="B373" s="920" t="s">
        <v>98</v>
      </c>
      <c r="C373" s="921"/>
      <c r="D373" s="921"/>
      <c r="E373" s="921"/>
      <c r="F373" s="922"/>
      <c r="G373" s="277"/>
      <c r="H373" s="257"/>
      <c r="I373" s="258"/>
      <c r="J373" s="272"/>
      <c r="K373" s="270"/>
      <c r="L373" s="48"/>
      <c r="M373" s="48"/>
      <c r="N373" s="66"/>
      <c r="O373" s="399"/>
      <c r="P373" s="66"/>
      <c r="Q373" s="66"/>
      <c r="R373" s="66"/>
      <c r="S373" s="66"/>
      <c r="T373" s="66"/>
      <c r="U373" s="66"/>
      <c r="V373" s="399"/>
      <c r="W373" s="399"/>
      <c r="X373" s="399"/>
      <c r="Y373" s="72"/>
      <c r="Z373" s="72"/>
      <c r="AA373" s="72"/>
      <c r="AB373" s="72"/>
      <c r="AC373" s="72"/>
      <c r="AD373" s="72"/>
      <c r="AE373" s="72"/>
      <c r="AF373" s="72"/>
      <c r="AG373" s="72"/>
      <c r="AH373" s="72"/>
      <c r="AI373" s="72"/>
      <c r="AJ373" s="72"/>
      <c r="AK373" s="72"/>
      <c r="AL373" s="72"/>
      <c r="AM373" s="72"/>
    </row>
    <row r="374" spans="1:39" ht="14.55" thickBot="1" x14ac:dyDescent="0.3">
      <c r="B374" s="923"/>
      <c r="C374" s="924"/>
      <c r="D374" s="924"/>
      <c r="E374" s="924"/>
      <c r="F374" s="925"/>
      <c r="G374" s="278"/>
      <c r="H374" s="2089">
        <f>H368+H371</f>
        <v>0</v>
      </c>
      <c r="I374" s="2090"/>
      <c r="J374" s="2091"/>
      <c r="K374" s="270"/>
      <c r="L374" s="48"/>
      <c r="M374" s="48"/>
      <c r="N374" s="66"/>
      <c r="O374" s="399"/>
      <c r="P374" s="66"/>
      <c r="Q374" s="66"/>
      <c r="R374" s="66"/>
      <c r="S374" s="66"/>
      <c r="T374" s="66"/>
      <c r="U374" s="66"/>
      <c r="V374" s="399"/>
      <c r="W374" s="399"/>
      <c r="X374" s="399"/>
      <c r="Y374" s="72"/>
      <c r="Z374" s="72"/>
      <c r="AA374" s="72"/>
      <c r="AB374" s="72"/>
      <c r="AC374" s="72"/>
      <c r="AD374" s="72"/>
      <c r="AE374" s="72"/>
      <c r="AF374" s="72"/>
      <c r="AG374" s="72"/>
      <c r="AH374" s="72"/>
      <c r="AI374" s="72"/>
      <c r="AJ374" s="72"/>
      <c r="AK374" s="72"/>
      <c r="AL374" s="72"/>
      <c r="AM374" s="72"/>
    </row>
    <row r="375" spans="1:39" x14ac:dyDescent="0.25">
      <c r="B375" s="60"/>
      <c r="C375" s="60"/>
      <c r="D375" s="60"/>
      <c r="E375" s="60"/>
      <c r="F375" s="65"/>
      <c r="G375" s="65"/>
      <c r="H375" s="65"/>
      <c r="I375" s="65"/>
      <c r="J375" s="65"/>
      <c r="K375" s="66"/>
      <c r="L375" s="66"/>
      <c r="M375" s="66"/>
      <c r="N375" s="66"/>
      <c r="O375" s="399"/>
      <c r="P375" s="66"/>
      <c r="Q375" s="66"/>
      <c r="R375" s="66"/>
      <c r="S375" s="66"/>
      <c r="T375" s="66"/>
      <c r="U375" s="66"/>
      <c r="V375" s="399"/>
      <c r="W375" s="399"/>
      <c r="X375" s="399"/>
      <c r="Y375" s="72"/>
      <c r="Z375" s="72"/>
      <c r="AA375" s="72"/>
      <c r="AB375" s="72"/>
      <c r="AC375" s="72"/>
      <c r="AD375" s="72"/>
      <c r="AE375" s="72"/>
      <c r="AF375" s="72"/>
      <c r="AG375" s="72"/>
      <c r="AH375" s="72"/>
      <c r="AI375" s="72"/>
      <c r="AJ375" s="72"/>
      <c r="AK375" s="72"/>
      <c r="AL375" s="72"/>
      <c r="AM375" s="72"/>
    </row>
    <row r="376" spans="1:39" ht="15" customHeight="1" x14ac:dyDescent="0.25">
      <c r="A376" s="491" t="s">
        <v>279</v>
      </c>
      <c r="B376" s="40" t="str">
        <f>IF(B1=V2,"Gemäß der Honorarvereinbarung werden die Stufen wie folgt vergütet (netto): ","Gemäß des Honorarangebotes werden die Stufen wie folgt vergütet (netto): ")</f>
        <v xml:space="preserve">Gemäß des Honorarangebotes werden die Stufen wie folgt vergütet (netto): </v>
      </c>
      <c r="C376" s="40"/>
      <c r="D376" s="40"/>
      <c r="E376" s="40"/>
      <c r="F376" s="40"/>
      <c r="G376" s="40"/>
      <c r="H376" s="40"/>
      <c r="I376" s="40"/>
      <c r="J376" s="40"/>
      <c r="K376" s="40"/>
      <c r="L376" s="40"/>
      <c r="M376" s="40"/>
      <c r="N376" s="40"/>
      <c r="O376" s="332"/>
      <c r="P376" s="66"/>
      <c r="Q376" s="66"/>
      <c r="R376" s="40"/>
      <c r="S376" s="66"/>
      <c r="T376" s="66"/>
      <c r="U376" s="66"/>
      <c r="V376" s="67"/>
      <c r="W376" s="67"/>
      <c r="X376" s="67"/>
    </row>
    <row r="377" spans="1:39" ht="14.55" thickBot="1" x14ac:dyDescent="0.3">
      <c r="B377" s="60"/>
      <c r="C377" s="60"/>
      <c r="D377" s="60"/>
      <c r="E377" s="60"/>
      <c r="F377" s="65"/>
      <c r="G377" s="65"/>
      <c r="H377" s="65"/>
      <c r="I377" s="65"/>
      <c r="J377" s="65"/>
      <c r="K377" s="66"/>
      <c r="L377" s="66"/>
      <c r="M377" s="66"/>
      <c r="N377" s="66"/>
      <c r="O377" s="399"/>
      <c r="P377" s="66"/>
      <c r="Q377" s="66"/>
      <c r="R377" s="40"/>
      <c r="S377" s="66"/>
      <c r="T377" s="66"/>
      <c r="U377" s="66"/>
      <c r="V377" s="67"/>
      <c r="W377" s="67"/>
      <c r="X377" s="67"/>
    </row>
    <row r="378" spans="1:39" ht="15" customHeight="1" x14ac:dyDescent="0.25">
      <c r="B378" s="2083" t="s">
        <v>105</v>
      </c>
      <c r="C378" s="2081" t="s">
        <v>459</v>
      </c>
      <c r="D378" s="1715"/>
      <c r="E378" s="60"/>
      <c r="F378" s="65"/>
      <c r="G378" s="65"/>
      <c r="H378" s="65"/>
      <c r="I378" s="65"/>
      <c r="J378" s="65"/>
      <c r="K378" s="66"/>
      <c r="L378" s="66"/>
      <c r="M378" s="66"/>
      <c r="N378" s="66"/>
      <c r="O378" s="399"/>
      <c r="P378" s="66"/>
      <c r="Q378" s="66"/>
      <c r="R378" s="40"/>
      <c r="S378" s="66"/>
      <c r="T378" s="66"/>
      <c r="U378" s="66"/>
      <c r="V378" s="67"/>
      <c r="W378" s="67"/>
      <c r="X378" s="67"/>
    </row>
    <row r="379" spans="1:39" ht="15.95" customHeight="1" thickBot="1" x14ac:dyDescent="0.3">
      <c r="B379" s="2084"/>
      <c r="C379" s="2082"/>
      <c r="D379" s="1718"/>
      <c r="E379" s="247"/>
      <c r="F379" s="247"/>
      <c r="G379" s="247"/>
      <c r="H379" s="247"/>
      <c r="I379" s="248"/>
      <c r="J379" s="248"/>
      <c r="K379" s="204"/>
      <c r="L379" s="204"/>
      <c r="M379" s="204"/>
      <c r="N379" s="204"/>
      <c r="O379" s="549"/>
      <c r="P379" s="204"/>
      <c r="Q379" s="204"/>
      <c r="R379" s="204"/>
      <c r="S379" s="204"/>
      <c r="T379" s="399"/>
      <c r="U379" s="399"/>
      <c r="V379" s="67"/>
      <c r="W379" s="67"/>
      <c r="X379" s="67"/>
    </row>
    <row r="380" spans="1:39" x14ac:dyDescent="0.25">
      <c r="A380" s="492"/>
      <c r="B380" s="173" t="str">
        <f>IF(Überblick!$H$53&gt;=1,"1:",0)</f>
        <v>1:</v>
      </c>
      <c r="C380" s="2092">
        <f>'Berechnung besondere Leistungen'!C239</f>
        <v>0</v>
      </c>
      <c r="D380" s="2092"/>
      <c r="E380" s="177"/>
      <c r="F380" s="177"/>
      <c r="G380" s="177"/>
      <c r="H380" s="177"/>
      <c r="I380" s="177"/>
      <c r="J380" s="177"/>
      <c r="K380" s="177"/>
      <c r="L380" s="177"/>
      <c r="M380" s="177"/>
      <c r="N380" s="177"/>
      <c r="O380" s="177"/>
      <c r="P380" s="498"/>
      <c r="Q380" s="498"/>
      <c r="R380" s="498"/>
      <c r="S380" s="498"/>
      <c r="T380" s="96">
        <f>SUM(C380:S380)</f>
        <v>0</v>
      </c>
      <c r="U380" s="72"/>
      <c r="V380" s="63"/>
      <c r="W380" s="63"/>
      <c r="X380" s="63"/>
    </row>
    <row r="381" spans="1:39" ht="15.95" customHeight="1" x14ac:dyDescent="0.25">
      <c r="A381" s="492"/>
      <c r="B381" s="173" t="str">
        <f>IF(Überblick!$H$53&gt;=2,"2:",0)</f>
        <v>2:</v>
      </c>
      <c r="C381" s="2080">
        <f>'Berechnung besondere Leistungen'!C240</f>
        <v>0</v>
      </c>
      <c r="D381" s="2080"/>
      <c r="E381" s="177"/>
      <c r="F381" s="177"/>
      <c r="G381" s="177"/>
      <c r="H381" s="177"/>
      <c r="I381" s="177"/>
      <c r="J381" s="177"/>
      <c r="K381" s="177"/>
      <c r="L381" s="177"/>
      <c r="M381" s="177"/>
      <c r="N381" s="177"/>
      <c r="O381" s="177"/>
      <c r="P381" s="498"/>
      <c r="Q381" s="498"/>
      <c r="R381" s="498"/>
      <c r="S381" s="498"/>
      <c r="T381" s="96">
        <f t="shared" ref="T381:T387" si="154">SUM(C381:S381)</f>
        <v>0</v>
      </c>
      <c r="U381" s="72"/>
    </row>
    <row r="382" spans="1:39" x14ac:dyDescent="0.25">
      <c r="A382" s="59"/>
      <c r="B382" s="173" t="str">
        <f>IF(Überblick!$H$53&gt;=3,"3:",0)</f>
        <v>3:</v>
      </c>
      <c r="C382" s="2080">
        <f>'Berechnung besondere Leistungen'!C241</f>
        <v>0</v>
      </c>
      <c r="D382" s="2080"/>
      <c r="E382" s="177"/>
      <c r="F382" s="177"/>
      <c r="G382" s="177"/>
      <c r="H382" s="177"/>
      <c r="I382" s="177"/>
      <c r="J382" s="177"/>
      <c r="K382" s="177"/>
      <c r="L382" s="177"/>
      <c r="M382" s="177"/>
      <c r="N382" s="177"/>
      <c r="O382" s="177"/>
      <c r="P382" s="498"/>
      <c r="Q382" s="498"/>
      <c r="R382" s="498"/>
      <c r="S382" s="498"/>
      <c r="T382" s="96">
        <f t="shared" si="154"/>
        <v>0</v>
      </c>
      <c r="U382" s="72"/>
    </row>
    <row r="383" spans="1:39" ht="15" customHeight="1" x14ac:dyDescent="0.25">
      <c r="B383" s="173" t="str">
        <f>IF(Überblick!$H$53&gt;=4,"4:",0)</f>
        <v>4:</v>
      </c>
      <c r="C383" s="2080">
        <f>'Berechnung besondere Leistungen'!C242</f>
        <v>0</v>
      </c>
      <c r="D383" s="2080"/>
      <c r="E383" s="177"/>
      <c r="F383" s="177"/>
      <c r="G383" s="177"/>
      <c r="H383" s="177"/>
      <c r="I383" s="177"/>
      <c r="J383" s="177"/>
      <c r="K383" s="177"/>
      <c r="L383" s="177"/>
      <c r="M383" s="177"/>
      <c r="N383" s="177"/>
      <c r="O383" s="177"/>
      <c r="P383" s="498"/>
      <c r="Q383" s="498"/>
      <c r="R383" s="498"/>
      <c r="S383" s="498"/>
      <c r="T383" s="96">
        <f t="shared" si="154"/>
        <v>0</v>
      </c>
      <c r="U383" s="72"/>
    </row>
    <row r="384" spans="1:39" x14ac:dyDescent="0.25">
      <c r="B384" s="173" t="str">
        <f>IF(Überblick!$H$53&gt;=5,"5:",0)</f>
        <v>5:</v>
      </c>
      <c r="C384" s="2080">
        <f>'Berechnung besondere Leistungen'!C243</f>
        <v>0</v>
      </c>
      <c r="D384" s="2080"/>
      <c r="E384" s="177"/>
      <c r="F384" s="177"/>
      <c r="G384" s="177"/>
      <c r="H384" s="177"/>
      <c r="I384" s="177"/>
      <c r="J384" s="177"/>
      <c r="K384" s="177"/>
      <c r="L384" s="177"/>
      <c r="M384" s="177"/>
      <c r="N384" s="177"/>
      <c r="O384" s="177"/>
      <c r="P384" s="498"/>
      <c r="Q384" s="498"/>
      <c r="R384" s="498"/>
      <c r="S384" s="498"/>
      <c r="T384" s="96">
        <f t="shared" si="154"/>
        <v>0</v>
      </c>
      <c r="U384" s="72"/>
    </row>
    <row r="385" spans="2:21" ht="15.95" customHeight="1" x14ac:dyDescent="0.25">
      <c r="B385" s="173" t="str">
        <f>IF(Überblick!$H$53&gt;=6,"6:",0)</f>
        <v>6:</v>
      </c>
      <c r="C385" s="2080">
        <f>'Berechnung besondere Leistungen'!C244</f>
        <v>0</v>
      </c>
      <c r="D385" s="2080"/>
      <c r="E385" s="177"/>
      <c r="F385" s="177"/>
      <c r="G385" s="177"/>
      <c r="H385" s="177"/>
      <c r="I385" s="177"/>
      <c r="J385" s="177"/>
      <c r="K385" s="177"/>
      <c r="L385" s="177"/>
      <c r="M385" s="177"/>
      <c r="N385" s="177"/>
      <c r="O385" s="177"/>
      <c r="P385" s="498"/>
      <c r="Q385" s="498"/>
      <c r="R385" s="498"/>
      <c r="S385" s="498"/>
      <c r="T385" s="96">
        <f t="shared" si="154"/>
        <v>0</v>
      </c>
      <c r="U385" s="72"/>
    </row>
    <row r="386" spans="2:21" x14ac:dyDescent="0.25">
      <c r="B386" s="173">
        <f>IF(Überblick!$H$53&gt;=7,"7:",0)</f>
        <v>0</v>
      </c>
      <c r="C386" s="2080">
        <f>'Berechnung besondere Leistungen'!C245</f>
        <v>0</v>
      </c>
      <c r="D386" s="2080"/>
      <c r="E386" s="177"/>
      <c r="F386" s="177"/>
      <c r="G386" s="177"/>
      <c r="H386" s="177"/>
      <c r="I386" s="177"/>
      <c r="J386" s="177"/>
      <c r="K386" s="177"/>
      <c r="L386" s="177"/>
      <c r="M386" s="177"/>
      <c r="N386" s="177"/>
      <c r="O386" s="177"/>
      <c r="P386" s="498"/>
      <c r="Q386" s="498"/>
      <c r="R386" s="498"/>
      <c r="S386" s="498"/>
      <c r="T386" s="96">
        <f t="shared" si="154"/>
        <v>0</v>
      </c>
      <c r="U386" s="72"/>
    </row>
    <row r="387" spans="2:21" ht="15" customHeight="1" x14ac:dyDescent="0.25">
      <c r="B387" s="173">
        <f>IF(Überblick!$H$53&gt;=8,"8:",0)</f>
        <v>0</v>
      </c>
      <c r="C387" s="2080">
        <f>'Berechnung besondere Leistungen'!C246</f>
        <v>0</v>
      </c>
      <c r="D387" s="2080"/>
      <c r="E387" s="177"/>
      <c r="F387" s="177"/>
      <c r="G387" s="177"/>
      <c r="H387" s="177"/>
      <c r="I387" s="177"/>
      <c r="J387" s="177"/>
      <c r="K387" s="177"/>
      <c r="L387" s="177"/>
      <c r="M387" s="177"/>
      <c r="N387" s="177"/>
      <c r="O387" s="177"/>
      <c r="P387" s="498"/>
      <c r="Q387" s="498"/>
      <c r="R387" s="498"/>
      <c r="S387" s="498"/>
      <c r="T387" s="96">
        <f t="shared" si="154"/>
        <v>0</v>
      </c>
      <c r="U387" s="72"/>
    </row>
    <row r="388" spans="2:21" x14ac:dyDescent="0.25">
      <c r="B388" s="173">
        <f>IF(Überblick!$H$53&gt;=9,"9:",0)</f>
        <v>0</v>
      </c>
      <c r="C388" s="2080">
        <f>'Berechnung besondere Leistungen'!C247</f>
        <v>0</v>
      </c>
      <c r="D388" s="2080"/>
      <c r="T388" s="96"/>
      <c r="U388" s="72"/>
    </row>
    <row r="389" spans="2:21" ht="14.25" customHeight="1" x14ac:dyDescent="0.25">
      <c r="T389" s="48"/>
    </row>
    <row r="390" spans="2:21" x14ac:dyDescent="0.25">
      <c r="T390" s="48"/>
    </row>
    <row r="391" spans="2:21" ht="15" customHeight="1" x14ac:dyDescent="0.25">
      <c r="T391" s="48"/>
    </row>
    <row r="392" spans="2:21" x14ac:dyDescent="0.25">
      <c r="T392" s="48"/>
    </row>
  </sheetData>
  <sheetProtection algorithmName="SHA-512" hashValue="DipzxVHYJ0CgZ9pfGrAQ3YFObHBp1hLxfQlJfrJ4AegynCuq82O30DZxEDCZMQ+IP9yCVTFgwZw2eVcPj8vCJg==" saltValue="0qL9rPnlfrstRi/5jXikfA==" spinCount="100000" sheet="1" objects="1" scenarios="1"/>
  <mergeCells count="1085">
    <mergeCell ref="L2:N2"/>
    <mergeCell ref="L3:N3"/>
    <mergeCell ref="L4:N4"/>
    <mergeCell ref="M1:N1"/>
    <mergeCell ref="B342:H344"/>
    <mergeCell ref="I342:I344"/>
    <mergeCell ref="J342:J344"/>
    <mergeCell ref="K342:K344"/>
    <mergeCell ref="L342:L344"/>
    <mergeCell ref="M342:M344"/>
    <mergeCell ref="N342:N344"/>
    <mergeCell ref="B345:H348"/>
    <mergeCell ref="I345:I348"/>
    <mergeCell ref="J345:J348"/>
    <mergeCell ref="K345:K348"/>
    <mergeCell ref="L345:L348"/>
    <mergeCell ref="M345:M348"/>
    <mergeCell ref="N345:N348"/>
    <mergeCell ref="B330:H331"/>
    <mergeCell ref="I330:I331"/>
    <mergeCell ref="J330:J331"/>
    <mergeCell ref="K330:K331"/>
    <mergeCell ref="L330:L331"/>
    <mergeCell ref="M330:M331"/>
    <mergeCell ref="N330:N331"/>
    <mergeCell ref="B262:H263"/>
    <mergeCell ref="I262:I263"/>
    <mergeCell ref="J262:J263"/>
    <mergeCell ref="K262:K263"/>
    <mergeCell ref="L262:L263"/>
    <mergeCell ref="M262:M263"/>
    <mergeCell ref="N262:N263"/>
    <mergeCell ref="B349:H350"/>
    <mergeCell ref="I349:I350"/>
    <mergeCell ref="J349:J350"/>
    <mergeCell ref="K349:K350"/>
    <mergeCell ref="L349:L350"/>
    <mergeCell ref="M349:M350"/>
    <mergeCell ref="N349:N350"/>
    <mergeCell ref="B333:H335"/>
    <mergeCell ref="I333:I335"/>
    <mergeCell ref="J333:J335"/>
    <mergeCell ref="K333:K335"/>
    <mergeCell ref="L333:L335"/>
    <mergeCell ref="M333:M335"/>
    <mergeCell ref="N333:N335"/>
    <mergeCell ref="B336:H338"/>
    <mergeCell ref="I336:I338"/>
    <mergeCell ref="J336:J338"/>
    <mergeCell ref="K336:K338"/>
    <mergeCell ref="L336:L338"/>
    <mergeCell ref="M336:M338"/>
    <mergeCell ref="N336:N338"/>
    <mergeCell ref="B339:H341"/>
    <mergeCell ref="I339:I341"/>
    <mergeCell ref="J339:J341"/>
    <mergeCell ref="K339:K341"/>
    <mergeCell ref="L339:L341"/>
    <mergeCell ref="M339:M341"/>
    <mergeCell ref="N339:N341"/>
    <mergeCell ref="B264:H265"/>
    <mergeCell ref="I264:I265"/>
    <mergeCell ref="J264:J265"/>
    <mergeCell ref="K264:K265"/>
    <mergeCell ref="L264:L265"/>
    <mergeCell ref="M264:M265"/>
    <mergeCell ref="N264:N265"/>
    <mergeCell ref="B326:H327"/>
    <mergeCell ref="I326:I327"/>
    <mergeCell ref="J326:J327"/>
    <mergeCell ref="K326:K327"/>
    <mergeCell ref="L326:L327"/>
    <mergeCell ref="M326:M327"/>
    <mergeCell ref="N326:N327"/>
    <mergeCell ref="B318:H319"/>
    <mergeCell ref="I318:I319"/>
    <mergeCell ref="J318:J319"/>
    <mergeCell ref="K318:K319"/>
    <mergeCell ref="L318:L319"/>
    <mergeCell ref="M318:M319"/>
    <mergeCell ref="N318:N319"/>
    <mergeCell ref="B320:H321"/>
    <mergeCell ref="I320:I321"/>
    <mergeCell ref="J320:J321"/>
    <mergeCell ref="K320:K321"/>
    <mergeCell ref="L320:L321"/>
    <mergeCell ref="M320:M321"/>
    <mergeCell ref="N320:N321"/>
    <mergeCell ref="B314:H315"/>
    <mergeCell ref="I314:I315"/>
    <mergeCell ref="J314:J315"/>
    <mergeCell ref="K314:K315"/>
    <mergeCell ref="B328:H329"/>
    <mergeCell ref="I328:I329"/>
    <mergeCell ref="J328:J329"/>
    <mergeCell ref="K328:K329"/>
    <mergeCell ref="L328:L329"/>
    <mergeCell ref="M328:M329"/>
    <mergeCell ref="N328:N329"/>
    <mergeCell ref="B322:H323"/>
    <mergeCell ref="I322:I323"/>
    <mergeCell ref="J322:J323"/>
    <mergeCell ref="K322:K323"/>
    <mergeCell ref="L322:L323"/>
    <mergeCell ref="M322:M323"/>
    <mergeCell ref="N322:N323"/>
    <mergeCell ref="B324:H325"/>
    <mergeCell ref="I324:I325"/>
    <mergeCell ref="J324:J325"/>
    <mergeCell ref="K324:K325"/>
    <mergeCell ref="L324:L325"/>
    <mergeCell ref="M324:M325"/>
    <mergeCell ref="N324:N325"/>
    <mergeCell ref="L314:L315"/>
    <mergeCell ref="M314:M315"/>
    <mergeCell ref="N314:N315"/>
    <mergeCell ref="B316:H317"/>
    <mergeCell ref="I316:I317"/>
    <mergeCell ref="J316:J317"/>
    <mergeCell ref="K316:K317"/>
    <mergeCell ref="L316:L317"/>
    <mergeCell ref="M316:M317"/>
    <mergeCell ref="N316:N317"/>
    <mergeCell ref="B310:H311"/>
    <mergeCell ref="I310:I311"/>
    <mergeCell ref="J310:J311"/>
    <mergeCell ref="K310:K311"/>
    <mergeCell ref="L310:L311"/>
    <mergeCell ref="M310:M311"/>
    <mergeCell ref="N310:N311"/>
    <mergeCell ref="B312:H313"/>
    <mergeCell ref="I312:I313"/>
    <mergeCell ref="J312:J313"/>
    <mergeCell ref="K312:K313"/>
    <mergeCell ref="L312:L313"/>
    <mergeCell ref="M312:M313"/>
    <mergeCell ref="N312:N313"/>
    <mergeCell ref="B306:H307"/>
    <mergeCell ref="I306:I307"/>
    <mergeCell ref="J306:J307"/>
    <mergeCell ref="K306:K307"/>
    <mergeCell ref="L306:L307"/>
    <mergeCell ref="M306:M307"/>
    <mergeCell ref="N306:N307"/>
    <mergeCell ref="B308:H309"/>
    <mergeCell ref="I308:I309"/>
    <mergeCell ref="J308:J309"/>
    <mergeCell ref="K308:K309"/>
    <mergeCell ref="L308:L309"/>
    <mergeCell ref="M308:M309"/>
    <mergeCell ref="N308:N309"/>
    <mergeCell ref="B302:H303"/>
    <mergeCell ref="I302:I303"/>
    <mergeCell ref="J302:J303"/>
    <mergeCell ref="K302:K303"/>
    <mergeCell ref="L302:L303"/>
    <mergeCell ref="M302:M303"/>
    <mergeCell ref="N302:N303"/>
    <mergeCell ref="B304:H305"/>
    <mergeCell ref="I304:I305"/>
    <mergeCell ref="J304:J305"/>
    <mergeCell ref="K304:K305"/>
    <mergeCell ref="L304:L305"/>
    <mergeCell ref="M304:M305"/>
    <mergeCell ref="N304:N305"/>
    <mergeCell ref="B297:H299"/>
    <mergeCell ref="I297:I299"/>
    <mergeCell ref="J297:J299"/>
    <mergeCell ref="K297:K299"/>
    <mergeCell ref="L297:L299"/>
    <mergeCell ref="M297:M299"/>
    <mergeCell ref="N297:N299"/>
    <mergeCell ref="B300:H301"/>
    <mergeCell ref="I300:I301"/>
    <mergeCell ref="J300:J301"/>
    <mergeCell ref="K300:K301"/>
    <mergeCell ref="L300:L301"/>
    <mergeCell ref="M300:M301"/>
    <mergeCell ref="N300:N301"/>
    <mergeCell ref="B292:H294"/>
    <mergeCell ref="I292:I294"/>
    <mergeCell ref="J292:J294"/>
    <mergeCell ref="K292:K294"/>
    <mergeCell ref="L292:L294"/>
    <mergeCell ref="M292:M294"/>
    <mergeCell ref="N292:N294"/>
    <mergeCell ref="B295:H296"/>
    <mergeCell ref="I295:I296"/>
    <mergeCell ref="J295:J296"/>
    <mergeCell ref="K295:K296"/>
    <mergeCell ref="L295:L296"/>
    <mergeCell ref="M295:M296"/>
    <mergeCell ref="N295:N296"/>
    <mergeCell ref="B288:H289"/>
    <mergeCell ref="I288:I289"/>
    <mergeCell ref="J288:J289"/>
    <mergeCell ref="K288:K289"/>
    <mergeCell ref="L288:L289"/>
    <mergeCell ref="M288:M289"/>
    <mergeCell ref="N288:N289"/>
    <mergeCell ref="B290:H291"/>
    <mergeCell ref="I290:I291"/>
    <mergeCell ref="J290:J291"/>
    <mergeCell ref="K290:K291"/>
    <mergeCell ref="L290:L291"/>
    <mergeCell ref="M290:M291"/>
    <mergeCell ref="N290:N291"/>
    <mergeCell ref="B284:H285"/>
    <mergeCell ref="I284:I285"/>
    <mergeCell ref="J284:J285"/>
    <mergeCell ref="K284:K285"/>
    <mergeCell ref="L284:L285"/>
    <mergeCell ref="M284:M285"/>
    <mergeCell ref="N284:N285"/>
    <mergeCell ref="B286:H287"/>
    <mergeCell ref="I286:I287"/>
    <mergeCell ref="J286:J287"/>
    <mergeCell ref="K286:K287"/>
    <mergeCell ref="L286:L287"/>
    <mergeCell ref="M286:M287"/>
    <mergeCell ref="N286:N287"/>
    <mergeCell ref="B280:H281"/>
    <mergeCell ref="I280:I281"/>
    <mergeCell ref="J280:J281"/>
    <mergeCell ref="K280:K281"/>
    <mergeCell ref="L280:L281"/>
    <mergeCell ref="M280:M281"/>
    <mergeCell ref="N280:N281"/>
    <mergeCell ref="B282:H283"/>
    <mergeCell ref="I282:I283"/>
    <mergeCell ref="J282:J283"/>
    <mergeCell ref="K282:K283"/>
    <mergeCell ref="L282:L283"/>
    <mergeCell ref="M282:M283"/>
    <mergeCell ref="N282:N283"/>
    <mergeCell ref="B276:H277"/>
    <mergeCell ref="I276:I277"/>
    <mergeCell ref="J276:J277"/>
    <mergeCell ref="K276:K277"/>
    <mergeCell ref="L276:L277"/>
    <mergeCell ref="M276:M277"/>
    <mergeCell ref="N276:N277"/>
    <mergeCell ref="B278:H279"/>
    <mergeCell ref="I278:I279"/>
    <mergeCell ref="J278:J279"/>
    <mergeCell ref="K278:K279"/>
    <mergeCell ref="L278:L279"/>
    <mergeCell ref="M278:M279"/>
    <mergeCell ref="N278:N279"/>
    <mergeCell ref="B272:H273"/>
    <mergeCell ref="I272:I273"/>
    <mergeCell ref="J272:J273"/>
    <mergeCell ref="K272:K273"/>
    <mergeCell ref="L272:L273"/>
    <mergeCell ref="M272:M273"/>
    <mergeCell ref="N272:N273"/>
    <mergeCell ref="B274:H275"/>
    <mergeCell ref="I274:I275"/>
    <mergeCell ref="J274:J275"/>
    <mergeCell ref="K274:K275"/>
    <mergeCell ref="L274:L275"/>
    <mergeCell ref="M274:M275"/>
    <mergeCell ref="N274:N275"/>
    <mergeCell ref="B268:H269"/>
    <mergeCell ref="I268:I269"/>
    <mergeCell ref="J268:J269"/>
    <mergeCell ref="K268:K269"/>
    <mergeCell ref="L268:L269"/>
    <mergeCell ref="M268:M269"/>
    <mergeCell ref="N268:N269"/>
    <mergeCell ref="B270:H271"/>
    <mergeCell ref="I270:I271"/>
    <mergeCell ref="J270:J271"/>
    <mergeCell ref="K270:K271"/>
    <mergeCell ref="L270:L271"/>
    <mergeCell ref="M270:M271"/>
    <mergeCell ref="N270:N271"/>
    <mergeCell ref="K174:K175"/>
    <mergeCell ref="L174:L175"/>
    <mergeCell ref="M174:M175"/>
    <mergeCell ref="N174:N175"/>
    <mergeCell ref="B172:H173"/>
    <mergeCell ref="I172:I173"/>
    <mergeCell ref="J172:J173"/>
    <mergeCell ref="K172:K173"/>
    <mergeCell ref="L172:L173"/>
    <mergeCell ref="M172:M173"/>
    <mergeCell ref="N172:N173"/>
    <mergeCell ref="B160:H161"/>
    <mergeCell ref="I160:I161"/>
    <mergeCell ref="J160:J161"/>
    <mergeCell ref="K160:K161"/>
    <mergeCell ref="L160:L161"/>
    <mergeCell ref="M160:M161"/>
    <mergeCell ref="N160:N161"/>
    <mergeCell ref="J162:J163"/>
    <mergeCell ref="K162:K163"/>
    <mergeCell ref="I162:I163"/>
    <mergeCell ref="B131:H132"/>
    <mergeCell ref="M117:M119"/>
    <mergeCell ref="M149:M151"/>
    <mergeCell ref="N149:N151"/>
    <mergeCell ref="N114:N115"/>
    <mergeCell ref="J146:J148"/>
    <mergeCell ref="K146:K148"/>
    <mergeCell ref="L146:L148"/>
    <mergeCell ref="M146:M148"/>
    <mergeCell ref="L154:L155"/>
    <mergeCell ref="M154:M155"/>
    <mergeCell ref="B123:H124"/>
    <mergeCell ref="I123:I124"/>
    <mergeCell ref="J123:J124"/>
    <mergeCell ref="K123:K124"/>
    <mergeCell ref="L123:L124"/>
    <mergeCell ref="M123:M124"/>
    <mergeCell ref="N123:N124"/>
    <mergeCell ref="B139:H140"/>
    <mergeCell ref="I139:I140"/>
    <mergeCell ref="J139:J140"/>
    <mergeCell ref="K139:K140"/>
    <mergeCell ref="L139:L140"/>
    <mergeCell ref="M139:M140"/>
    <mergeCell ref="N139:N140"/>
    <mergeCell ref="B137:H138"/>
    <mergeCell ref="I137:I138"/>
    <mergeCell ref="J137:J138"/>
    <mergeCell ref="K137:K138"/>
    <mergeCell ref="L137:L138"/>
    <mergeCell ref="M137:M138"/>
    <mergeCell ref="N137:N138"/>
    <mergeCell ref="K112:K113"/>
    <mergeCell ref="L112:L113"/>
    <mergeCell ref="M112:M113"/>
    <mergeCell ref="N112:N113"/>
    <mergeCell ref="B110:H111"/>
    <mergeCell ref="I110:I111"/>
    <mergeCell ref="J110:J111"/>
    <mergeCell ref="K110:K111"/>
    <mergeCell ref="L110:L111"/>
    <mergeCell ref="M110:M111"/>
    <mergeCell ref="N110:N111"/>
    <mergeCell ref="B117:H119"/>
    <mergeCell ref="I117:I119"/>
    <mergeCell ref="J117:J119"/>
    <mergeCell ref="K117:K119"/>
    <mergeCell ref="L117:L119"/>
    <mergeCell ref="K129:K130"/>
    <mergeCell ref="L129:L130"/>
    <mergeCell ref="B127:H128"/>
    <mergeCell ref="I127:I128"/>
    <mergeCell ref="J127:J128"/>
    <mergeCell ref="K127:K128"/>
    <mergeCell ref="L127:L128"/>
    <mergeCell ref="M127:M128"/>
    <mergeCell ref="N127:N128"/>
    <mergeCell ref="L71:L73"/>
    <mergeCell ref="M71:M73"/>
    <mergeCell ref="N76:N77"/>
    <mergeCell ref="B78:H79"/>
    <mergeCell ref="I78:I79"/>
    <mergeCell ref="J78:J79"/>
    <mergeCell ref="K78:K79"/>
    <mergeCell ref="L78:L79"/>
    <mergeCell ref="M78:M79"/>
    <mergeCell ref="N78:N79"/>
    <mergeCell ref="B76:H77"/>
    <mergeCell ref="I76:I77"/>
    <mergeCell ref="J76:J77"/>
    <mergeCell ref="K76:K77"/>
    <mergeCell ref="L76:L77"/>
    <mergeCell ref="M76:M77"/>
    <mergeCell ref="I74:I75"/>
    <mergeCell ref="J74:J75"/>
    <mergeCell ref="K74:K75"/>
    <mergeCell ref="L74:L75"/>
    <mergeCell ref="N71:N73"/>
    <mergeCell ref="B74:H75"/>
    <mergeCell ref="B360:F360"/>
    <mergeCell ref="H360:J360"/>
    <mergeCell ref="B362:F363"/>
    <mergeCell ref="H363:J363"/>
    <mergeCell ref="B44:H45"/>
    <mergeCell ref="I44:I45"/>
    <mergeCell ref="J44:J45"/>
    <mergeCell ref="B48:H49"/>
    <mergeCell ref="I48:I49"/>
    <mergeCell ref="J48:J49"/>
    <mergeCell ref="B52:H53"/>
    <mergeCell ref="I52:I53"/>
    <mergeCell ref="J52:J53"/>
    <mergeCell ref="B68:H69"/>
    <mergeCell ref="I68:I69"/>
    <mergeCell ref="J68:J69"/>
    <mergeCell ref="I131:I132"/>
    <mergeCell ref="J131:J132"/>
    <mergeCell ref="J71:J73"/>
    <mergeCell ref="B146:H148"/>
    <mergeCell ref="I146:I148"/>
    <mergeCell ref="B108:H109"/>
    <mergeCell ref="I108:I109"/>
    <mergeCell ref="J108:J109"/>
    <mergeCell ref="I64:I65"/>
    <mergeCell ref="J64:J65"/>
    <mergeCell ref="B66:H67"/>
    <mergeCell ref="I66:I67"/>
    <mergeCell ref="B158:H159"/>
    <mergeCell ref="I158:I159"/>
    <mergeCell ref="J158:J159"/>
    <mergeCell ref="B156:H157"/>
    <mergeCell ref="B353:J354"/>
    <mergeCell ref="B357:F357"/>
    <mergeCell ref="H357:J357"/>
    <mergeCell ref="K60:K61"/>
    <mergeCell ref="L60:L61"/>
    <mergeCell ref="M60:M61"/>
    <mergeCell ref="N60:N61"/>
    <mergeCell ref="B106:H107"/>
    <mergeCell ref="I62:I63"/>
    <mergeCell ref="J62:J63"/>
    <mergeCell ref="K62:K63"/>
    <mergeCell ref="L62:L63"/>
    <mergeCell ref="M62:M63"/>
    <mergeCell ref="N62:N63"/>
    <mergeCell ref="K143:K144"/>
    <mergeCell ref="L143:L144"/>
    <mergeCell ref="M143:M144"/>
    <mergeCell ref="N143:N144"/>
    <mergeCell ref="I84:I85"/>
    <mergeCell ref="J84:J85"/>
    <mergeCell ref="K84:K85"/>
    <mergeCell ref="L84:L85"/>
    <mergeCell ref="M84:M85"/>
    <mergeCell ref="M131:M132"/>
    <mergeCell ref="N131:N132"/>
    <mergeCell ref="B129:H130"/>
    <mergeCell ref="I129:I130"/>
    <mergeCell ref="J129:J130"/>
    <mergeCell ref="M74:M75"/>
    <mergeCell ref="N74:N75"/>
    <mergeCell ref="B71:H73"/>
    <mergeCell ref="I71:I73"/>
    <mergeCell ref="K141:K142"/>
    <mergeCell ref="K56:K57"/>
    <mergeCell ref="L56:L57"/>
    <mergeCell ref="M56:M57"/>
    <mergeCell ref="N56:N57"/>
    <mergeCell ref="B58:H59"/>
    <mergeCell ref="I58:I59"/>
    <mergeCell ref="J58:J59"/>
    <mergeCell ref="K58:K59"/>
    <mergeCell ref="L58:L59"/>
    <mergeCell ref="M58:M59"/>
    <mergeCell ref="K66:K67"/>
    <mergeCell ref="L66:L67"/>
    <mergeCell ref="M66:M67"/>
    <mergeCell ref="N66:N67"/>
    <mergeCell ref="B141:H142"/>
    <mergeCell ref="I141:I142"/>
    <mergeCell ref="J141:J142"/>
    <mergeCell ref="I86:I87"/>
    <mergeCell ref="J86:J87"/>
    <mergeCell ref="K86:K87"/>
    <mergeCell ref="L86:L87"/>
    <mergeCell ref="M86:M87"/>
    <mergeCell ref="N86:N87"/>
    <mergeCell ref="B84:H85"/>
    <mergeCell ref="J66:J67"/>
    <mergeCell ref="B64:H65"/>
    <mergeCell ref="B125:H126"/>
    <mergeCell ref="I125:I126"/>
    <mergeCell ref="K71:K73"/>
    <mergeCell ref="N98:N99"/>
    <mergeCell ref="B100:H101"/>
    <mergeCell ref="C388:D388"/>
    <mergeCell ref="N5:N7"/>
    <mergeCell ref="I5:I7"/>
    <mergeCell ref="J5:J7"/>
    <mergeCell ref="M5:M7"/>
    <mergeCell ref="N8:N9"/>
    <mergeCell ref="I10:I11"/>
    <mergeCell ref="K8:K9"/>
    <mergeCell ref="L8:L9"/>
    <mergeCell ref="B5:H7"/>
    <mergeCell ref="K5:K7"/>
    <mergeCell ref="L5:L7"/>
    <mergeCell ref="J10:J11"/>
    <mergeCell ref="M10:M11"/>
    <mergeCell ref="N10:N11"/>
    <mergeCell ref="M8:M9"/>
    <mergeCell ref="J8:J9"/>
    <mergeCell ref="I8:I9"/>
    <mergeCell ref="L10:L11"/>
    <mergeCell ref="B120:H122"/>
    <mergeCell ref="I120:I122"/>
    <mergeCell ref="J120:J122"/>
    <mergeCell ref="K120:K122"/>
    <mergeCell ref="L120:L122"/>
    <mergeCell ref="B8:H9"/>
    <mergeCell ref="B28:H29"/>
    <mergeCell ref="B30:H31"/>
    <mergeCell ref="I28:I29"/>
    <mergeCell ref="I30:I31"/>
    <mergeCell ref="I16:I17"/>
    <mergeCell ref="J16:J17"/>
    <mergeCell ref="B12:H13"/>
    <mergeCell ref="B10:H11"/>
    <mergeCell ref="B20:H21"/>
    <mergeCell ref="B16:H17"/>
    <mergeCell ref="B26:H27"/>
    <mergeCell ref="I22:I23"/>
    <mergeCell ref="J22:J23"/>
    <mergeCell ref="I12:I13"/>
    <mergeCell ref="J12:J13"/>
    <mergeCell ref="K10:K11"/>
    <mergeCell ref="K92:K93"/>
    <mergeCell ref="L92:L93"/>
    <mergeCell ref="M16:M17"/>
    <mergeCell ref="N16:N17"/>
    <mergeCell ref="I18:I19"/>
    <mergeCell ref="J18:J19"/>
    <mergeCell ref="N26:N27"/>
    <mergeCell ref="K24:K25"/>
    <mergeCell ref="L24:L25"/>
    <mergeCell ref="N32:N33"/>
    <mergeCell ref="M14:M15"/>
    <mergeCell ref="N14:N15"/>
    <mergeCell ref="K40:K41"/>
    <mergeCell ref="L40:L41"/>
    <mergeCell ref="K26:K27"/>
    <mergeCell ref="L26:L27"/>
    <mergeCell ref="K28:K29"/>
    <mergeCell ref="L28:L29"/>
    <mergeCell ref="K30:K31"/>
    <mergeCell ref="B60:H61"/>
    <mergeCell ref="I60:I61"/>
    <mergeCell ref="J60:J61"/>
    <mergeCell ref="B46:H47"/>
    <mergeCell ref="N36:N37"/>
    <mergeCell ref="I46:I47"/>
    <mergeCell ref="J46:J47"/>
    <mergeCell ref="K46:K47"/>
    <mergeCell ref="L46:L47"/>
    <mergeCell ref="M46:M47"/>
    <mergeCell ref="N46:N47"/>
    <mergeCell ref="B38:H39"/>
    <mergeCell ref="I38:I39"/>
    <mergeCell ref="J38:J39"/>
    <mergeCell ref="M38:M39"/>
    <mergeCell ref="L38:L39"/>
    <mergeCell ref="N58:N59"/>
    <mergeCell ref="K64:K65"/>
    <mergeCell ref="L64:L65"/>
    <mergeCell ref="M64:M65"/>
    <mergeCell ref="N64:N65"/>
    <mergeCell ref="J40:J41"/>
    <mergeCell ref="M40:M41"/>
    <mergeCell ref="L48:L49"/>
    <mergeCell ref="M48:M49"/>
    <mergeCell ref="N48:N49"/>
    <mergeCell ref="B50:H51"/>
    <mergeCell ref="I50:I51"/>
    <mergeCell ref="J50:J51"/>
    <mergeCell ref="K50:K51"/>
    <mergeCell ref="L50:L51"/>
    <mergeCell ref="M50:M51"/>
    <mergeCell ref="N50:N51"/>
    <mergeCell ref="B56:H57"/>
    <mergeCell ref="I56:I57"/>
    <mergeCell ref="J56:J57"/>
    <mergeCell ref="N22:N23"/>
    <mergeCell ref="N20:N21"/>
    <mergeCell ref="N30:N31"/>
    <mergeCell ref="N24:N25"/>
    <mergeCell ref="N34:N35"/>
    <mergeCell ref="N12:N13"/>
    <mergeCell ref="K44:K45"/>
    <mergeCell ref="L44:L45"/>
    <mergeCell ref="M44:M45"/>
    <mergeCell ref="N40:N41"/>
    <mergeCell ref="N18:N19"/>
    <mergeCell ref="B18:H19"/>
    <mergeCell ref="B14:H15"/>
    <mergeCell ref="I14:I15"/>
    <mergeCell ref="J14:J15"/>
    <mergeCell ref="K42:K43"/>
    <mergeCell ref="L42:L43"/>
    <mergeCell ref="L36:L37"/>
    <mergeCell ref="M12:M13"/>
    <mergeCell ref="J20:J21"/>
    <mergeCell ref="M20:M21"/>
    <mergeCell ref="I24:I25"/>
    <mergeCell ref="J24:J25"/>
    <mergeCell ref="I26:I27"/>
    <mergeCell ref="J26:J27"/>
    <mergeCell ref="B22:H23"/>
    <mergeCell ref="M30:M31"/>
    <mergeCell ref="J28:J29"/>
    <mergeCell ref="M28:M29"/>
    <mergeCell ref="N28:N29"/>
    <mergeCell ref="J30:J31"/>
    <mergeCell ref="K36:K37"/>
    <mergeCell ref="M24:M25"/>
    <mergeCell ref="L18:L19"/>
    <mergeCell ref="K20:K21"/>
    <mergeCell ref="L20:L21"/>
    <mergeCell ref="K22:K23"/>
    <mergeCell ref="L22:L23"/>
    <mergeCell ref="M22:M23"/>
    <mergeCell ref="L30:L31"/>
    <mergeCell ref="K18:K19"/>
    <mergeCell ref="M18:M19"/>
    <mergeCell ref="M26:M27"/>
    <mergeCell ref="K12:K13"/>
    <mergeCell ref="L12:L13"/>
    <mergeCell ref="I20:I21"/>
    <mergeCell ref="B24:H25"/>
    <mergeCell ref="K14:K15"/>
    <mergeCell ref="L14:L15"/>
    <mergeCell ref="K16:K17"/>
    <mergeCell ref="L16:L17"/>
    <mergeCell ref="I100:I101"/>
    <mergeCell ref="J100:J101"/>
    <mergeCell ref="K100:K101"/>
    <mergeCell ref="L100:L101"/>
    <mergeCell ref="N42:N43"/>
    <mergeCell ref="K32:K33"/>
    <mergeCell ref="L32:L33"/>
    <mergeCell ref="B34:H35"/>
    <mergeCell ref="I34:I35"/>
    <mergeCell ref="J34:J35"/>
    <mergeCell ref="M34:M35"/>
    <mergeCell ref="B36:H37"/>
    <mergeCell ref="I36:I37"/>
    <mergeCell ref="J36:J37"/>
    <mergeCell ref="M36:M37"/>
    <mergeCell ref="K34:K35"/>
    <mergeCell ref="L34:L35"/>
    <mergeCell ref="I42:I43"/>
    <mergeCell ref="J42:J43"/>
    <mergeCell ref="B40:H41"/>
    <mergeCell ref="I40:I41"/>
    <mergeCell ref="K38:K39"/>
    <mergeCell ref="N38:N39"/>
    <mergeCell ref="B32:H33"/>
    <mergeCell ref="I32:I33"/>
    <mergeCell ref="J32:J33"/>
    <mergeCell ref="M32:M33"/>
    <mergeCell ref="N44:N45"/>
    <mergeCell ref="B42:H43"/>
    <mergeCell ref="M42:M43"/>
    <mergeCell ref="M88:M89"/>
    <mergeCell ref="N88:N89"/>
    <mergeCell ref="B90:H91"/>
    <mergeCell ref="I90:I91"/>
    <mergeCell ref="J90:J91"/>
    <mergeCell ref="K90:K91"/>
    <mergeCell ref="L90:L91"/>
    <mergeCell ref="M90:M91"/>
    <mergeCell ref="N90:N91"/>
    <mergeCell ref="B88:H89"/>
    <mergeCell ref="B92:H93"/>
    <mergeCell ref="I88:I89"/>
    <mergeCell ref="J88:J89"/>
    <mergeCell ref="K88:K89"/>
    <mergeCell ref="L88:L89"/>
    <mergeCell ref="I92:I93"/>
    <mergeCell ref="I96:I97"/>
    <mergeCell ref="M92:M93"/>
    <mergeCell ref="N92:N93"/>
    <mergeCell ref="N80:N81"/>
    <mergeCell ref="B82:H83"/>
    <mergeCell ref="I82:I83"/>
    <mergeCell ref="J82:J83"/>
    <mergeCell ref="K82:K83"/>
    <mergeCell ref="L82:L83"/>
    <mergeCell ref="M82:M83"/>
    <mergeCell ref="N82:N83"/>
    <mergeCell ref="B80:H81"/>
    <mergeCell ref="I80:I81"/>
    <mergeCell ref="J80:J81"/>
    <mergeCell ref="K80:K81"/>
    <mergeCell ref="L80:L81"/>
    <mergeCell ref="M80:M81"/>
    <mergeCell ref="N84:N85"/>
    <mergeCell ref="B86:H87"/>
    <mergeCell ref="N141:N142"/>
    <mergeCell ref="J106:J107"/>
    <mergeCell ref="J92:J93"/>
    <mergeCell ref="N94:N95"/>
    <mergeCell ref="B96:H97"/>
    <mergeCell ref="J96:J97"/>
    <mergeCell ref="K96:K97"/>
    <mergeCell ref="L96:L97"/>
    <mergeCell ref="M96:M97"/>
    <mergeCell ref="N96:N97"/>
    <mergeCell ref="B94:H95"/>
    <mergeCell ref="I94:I95"/>
    <mergeCell ref="J94:J95"/>
    <mergeCell ref="K94:K95"/>
    <mergeCell ref="L94:L95"/>
    <mergeCell ref="M94:M95"/>
    <mergeCell ref="M100:M101"/>
    <mergeCell ref="N100:N101"/>
    <mergeCell ref="B98:H99"/>
    <mergeCell ref="I98:I99"/>
    <mergeCell ref="J98:J99"/>
    <mergeCell ref="K98:K99"/>
    <mergeCell ref="L98:L99"/>
    <mergeCell ref="M98:M99"/>
    <mergeCell ref="L141:L142"/>
    <mergeCell ref="M141:M142"/>
    <mergeCell ref="I143:I144"/>
    <mergeCell ref="N117:N119"/>
    <mergeCell ref="B134:H136"/>
    <mergeCell ref="I134:I136"/>
    <mergeCell ref="J134:J136"/>
    <mergeCell ref="K134:K136"/>
    <mergeCell ref="L134:L136"/>
    <mergeCell ref="M134:M136"/>
    <mergeCell ref="N134:N136"/>
    <mergeCell ref="M120:M122"/>
    <mergeCell ref="N120:N122"/>
    <mergeCell ref="M129:M130"/>
    <mergeCell ref="N129:N130"/>
    <mergeCell ref="I106:I107"/>
    <mergeCell ref="N108:N109"/>
    <mergeCell ref="J125:J126"/>
    <mergeCell ref="N102:N103"/>
    <mergeCell ref="B114:H115"/>
    <mergeCell ref="J114:J115"/>
    <mergeCell ref="K114:K115"/>
    <mergeCell ref="L114:L115"/>
    <mergeCell ref="M114:M115"/>
    <mergeCell ref="B102:H103"/>
    <mergeCell ref="I102:I103"/>
    <mergeCell ref="J102:J103"/>
    <mergeCell ref="K102:K103"/>
    <mergeCell ref="L102:L103"/>
    <mergeCell ref="M102:M103"/>
    <mergeCell ref="I114:I115"/>
    <mergeCell ref="B104:H105"/>
    <mergeCell ref="I104:I105"/>
    <mergeCell ref="J104:J105"/>
    <mergeCell ref="K104:K105"/>
    <mergeCell ref="L104:L105"/>
    <mergeCell ref="M104:M105"/>
    <mergeCell ref="N104:N105"/>
    <mergeCell ref="B143:H144"/>
    <mergeCell ref="J143:J144"/>
    <mergeCell ref="K125:K126"/>
    <mergeCell ref="L125:L126"/>
    <mergeCell ref="M125:M126"/>
    <mergeCell ref="N125:N126"/>
    <mergeCell ref="B112:H113"/>
    <mergeCell ref="I112:I113"/>
    <mergeCell ref="J112:J113"/>
    <mergeCell ref="K106:K107"/>
    <mergeCell ref="L106:L107"/>
    <mergeCell ref="M106:M107"/>
    <mergeCell ref="N106:N107"/>
    <mergeCell ref="K108:K109"/>
    <mergeCell ref="L108:L109"/>
    <mergeCell ref="M108:M109"/>
    <mergeCell ref="K131:K132"/>
    <mergeCell ref="L131:L132"/>
    <mergeCell ref="C384:D384"/>
    <mergeCell ref="C385:D385"/>
    <mergeCell ref="C386:D386"/>
    <mergeCell ref="C387:D387"/>
    <mergeCell ref="C378:D379"/>
    <mergeCell ref="B378:B379"/>
    <mergeCell ref="H368:J368"/>
    <mergeCell ref="H371:J371"/>
    <mergeCell ref="H374:J374"/>
    <mergeCell ref="C380:D380"/>
    <mergeCell ref="C381:D381"/>
    <mergeCell ref="C382:D382"/>
    <mergeCell ref="C383:D383"/>
    <mergeCell ref="B371:F371"/>
    <mergeCell ref="B373:F374"/>
    <mergeCell ref="B368:F368"/>
    <mergeCell ref="K48:K49"/>
    <mergeCell ref="K68:K69"/>
    <mergeCell ref="K168:K171"/>
    <mergeCell ref="B183:H185"/>
    <mergeCell ref="I183:I185"/>
    <mergeCell ref="J183:J185"/>
    <mergeCell ref="K183:K185"/>
    <mergeCell ref="B186:H188"/>
    <mergeCell ref="I186:I188"/>
    <mergeCell ref="J186:J188"/>
    <mergeCell ref="K186:K188"/>
    <mergeCell ref="B189:H190"/>
    <mergeCell ref="I189:I190"/>
    <mergeCell ref="J189:J190"/>
    <mergeCell ref="K189:K190"/>
    <mergeCell ref="B191:H192"/>
    <mergeCell ref="K52:K53"/>
    <mergeCell ref="L52:L53"/>
    <mergeCell ref="M52:M53"/>
    <mergeCell ref="N52:N53"/>
    <mergeCell ref="B54:H55"/>
    <mergeCell ref="I54:I55"/>
    <mergeCell ref="J54:J55"/>
    <mergeCell ref="K54:K55"/>
    <mergeCell ref="L54:L55"/>
    <mergeCell ref="M54:M55"/>
    <mergeCell ref="N54:N55"/>
    <mergeCell ref="L68:L69"/>
    <mergeCell ref="M68:M69"/>
    <mergeCell ref="N68:N69"/>
    <mergeCell ref="B165:H167"/>
    <mergeCell ref="I165:I167"/>
    <mergeCell ref="J165:J167"/>
    <mergeCell ref="K165:K167"/>
    <mergeCell ref="L165:L167"/>
    <mergeCell ref="M165:M167"/>
    <mergeCell ref="N165:N167"/>
    <mergeCell ref="L162:L163"/>
    <mergeCell ref="M162:M163"/>
    <mergeCell ref="N162:N163"/>
    <mergeCell ref="B149:H151"/>
    <mergeCell ref="B152:H153"/>
    <mergeCell ref="B154:H155"/>
    <mergeCell ref="B162:H163"/>
    <mergeCell ref="N152:N153"/>
    <mergeCell ref="I154:I155"/>
    <mergeCell ref="J154:J155"/>
    <mergeCell ref="M152:M153"/>
    <mergeCell ref="N154:N155"/>
    <mergeCell ref="I152:I153"/>
    <mergeCell ref="J152:J153"/>
    <mergeCell ref="L168:L171"/>
    <mergeCell ref="M168:M171"/>
    <mergeCell ref="N168:N171"/>
    <mergeCell ref="B178:H179"/>
    <mergeCell ref="I178:I179"/>
    <mergeCell ref="J178:J179"/>
    <mergeCell ref="K178:K179"/>
    <mergeCell ref="L178:L179"/>
    <mergeCell ref="M178:M179"/>
    <mergeCell ref="N178:N179"/>
    <mergeCell ref="B168:H171"/>
    <mergeCell ref="I168:I171"/>
    <mergeCell ref="J168:J171"/>
    <mergeCell ref="K152:K153"/>
    <mergeCell ref="L152:L153"/>
    <mergeCell ref="K154:K155"/>
    <mergeCell ref="L158:L159"/>
    <mergeCell ref="M158:M159"/>
    <mergeCell ref="N158:N159"/>
    <mergeCell ref="K156:K157"/>
    <mergeCell ref="L156:L157"/>
    <mergeCell ref="M156:M157"/>
    <mergeCell ref="N156:N157"/>
    <mergeCell ref="K158:K159"/>
    <mergeCell ref="I156:I157"/>
    <mergeCell ref="J156:J157"/>
    <mergeCell ref="B174:H175"/>
    <mergeCell ref="I174:I175"/>
    <mergeCell ref="J174:J175"/>
    <mergeCell ref="N146:N148"/>
    <mergeCell ref="I149:I151"/>
    <mergeCell ref="J149:J151"/>
    <mergeCell ref="K149:K151"/>
    <mergeCell ref="L149:L151"/>
    <mergeCell ref="B180:H181"/>
    <mergeCell ref="I180:I181"/>
    <mergeCell ref="J180:J181"/>
    <mergeCell ref="K180:K181"/>
    <mergeCell ref="L180:L181"/>
    <mergeCell ref="M180:M181"/>
    <mergeCell ref="B176:H177"/>
    <mergeCell ref="I176:I177"/>
    <mergeCell ref="J176:J177"/>
    <mergeCell ref="M191:M192"/>
    <mergeCell ref="N191:N192"/>
    <mergeCell ref="B193:H194"/>
    <mergeCell ref="I193:I194"/>
    <mergeCell ref="J193:J194"/>
    <mergeCell ref="K193:K194"/>
    <mergeCell ref="L193:L194"/>
    <mergeCell ref="M193:M194"/>
    <mergeCell ref="N193:N194"/>
    <mergeCell ref="K176:K177"/>
    <mergeCell ref="L176:L177"/>
    <mergeCell ref="M176:M177"/>
    <mergeCell ref="N176:N177"/>
    <mergeCell ref="N180:N181"/>
    <mergeCell ref="L183:L185"/>
    <mergeCell ref="M183:M185"/>
    <mergeCell ref="N183:N185"/>
    <mergeCell ref="L186:L188"/>
    <mergeCell ref="M186:M188"/>
    <mergeCell ref="N186:N188"/>
    <mergeCell ref="L189:L190"/>
    <mergeCell ref="M189:M190"/>
    <mergeCell ref="N189:N190"/>
    <mergeCell ref="B195:H199"/>
    <mergeCell ref="I195:I199"/>
    <mergeCell ref="J195:J199"/>
    <mergeCell ref="K195:K199"/>
    <mergeCell ref="L195:L199"/>
    <mergeCell ref="M195:M199"/>
    <mergeCell ref="N195:N199"/>
    <mergeCell ref="B200:H202"/>
    <mergeCell ref="I200:I202"/>
    <mergeCell ref="J200:J202"/>
    <mergeCell ref="K200:K202"/>
    <mergeCell ref="L200:L202"/>
    <mergeCell ref="M200:M202"/>
    <mergeCell ref="N200:N202"/>
    <mergeCell ref="I191:I192"/>
    <mergeCell ref="J191:J192"/>
    <mergeCell ref="K191:K192"/>
    <mergeCell ref="L191:L192"/>
    <mergeCell ref="B203:H204"/>
    <mergeCell ref="I203:I204"/>
    <mergeCell ref="J203:J204"/>
    <mergeCell ref="K203:K204"/>
    <mergeCell ref="L203:L204"/>
    <mergeCell ref="M203:M204"/>
    <mergeCell ref="N203:N204"/>
    <mergeCell ref="B205:H206"/>
    <mergeCell ref="I205:I206"/>
    <mergeCell ref="J205:J206"/>
    <mergeCell ref="K205:K206"/>
    <mergeCell ref="L205:L206"/>
    <mergeCell ref="M205:M206"/>
    <mergeCell ref="N205:N206"/>
    <mergeCell ref="B207:H209"/>
    <mergeCell ref="I207:I209"/>
    <mergeCell ref="J207:J209"/>
    <mergeCell ref="K207:K209"/>
    <mergeCell ref="L207:L209"/>
    <mergeCell ref="M207:M209"/>
    <mergeCell ref="N207:N209"/>
    <mergeCell ref="B210:H211"/>
    <mergeCell ref="I210:I211"/>
    <mergeCell ref="J210:J211"/>
    <mergeCell ref="K210:K211"/>
    <mergeCell ref="L210:L211"/>
    <mergeCell ref="M210:M211"/>
    <mergeCell ref="N210:N211"/>
    <mergeCell ref="B212:H213"/>
    <mergeCell ref="I212:I213"/>
    <mergeCell ref="J212:J213"/>
    <mergeCell ref="K212:K213"/>
    <mergeCell ref="L212:L213"/>
    <mergeCell ref="M212:M213"/>
    <mergeCell ref="N212:N213"/>
    <mergeCell ref="B214:H215"/>
    <mergeCell ref="I214:I215"/>
    <mergeCell ref="J214:J215"/>
    <mergeCell ref="K214:K215"/>
    <mergeCell ref="L214:L215"/>
    <mergeCell ref="M214:M215"/>
    <mergeCell ref="N214:N215"/>
    <mergeCell ref="B216:H217"/>
    <mergeCell ref="I216:I217"/>
    <mergeCell ref="J216:J217"/>
    <mergeCell ref="K216:K217"/>
    <mergeCell ref="L216:L217"/>
    <mergeCell ref="M216:M217"/>
    <mergeCell ref="N216:N217"/>
    <mergeCell ref="B218:H219"/>
    <mergeCell ref="I218:I219"/>
    <mergeCell ref="J218:J219"/>
    <mergeCell ref="K218:K219"/>
    <mergeCell ref="L218:L219"/>
    <mergeCell ref="M218:M219"/>
    <mergeCell ref="N218:N219"/>
    <mergeCell ref="B220:H222"/>
    <mergeCell ref="I220:I222"/>
    <mergeCell ref="J220:J222"/>
    <mergeCell ref="K220:K222"/>
    <mergeCell ref="L220:L222"/>
    <mergeCell ref="M220:M222"/>
    <mergeCell ref="N220:N222"/>
    <mergeCell ref="B223:H224"/>
    <mergeCell ref="I223:I224"/>
    <mergeCell ref="J223:J224"/>
    <mergeCell ref="K223:K224"/>
    <mergeCell ref="L223:L224"/>
    <mergeCell ref="M223:M224"/>
    <mergeCell ref="N223:N224"/>
    <mergeCell ref="B225:H226"/>
    <mergeCell ref="I225:I226"/>
    <mergeCell ref="J225:J226"/>
    <mergeCell ref="K225:K226"/>
    <mergeCell ref="L225:L226"/>
    <mergeCell ref="M225:M226"/>
    <mergeCell ref="N225:N226"/>
    <mergeCell ref="B227:H228"/>
    <mergeCell ref="I227:I228"/>
    <mergeCell ref="J227:J228"/>
    <mergeCell ref="K227:K228"/>
    <mergeCell ref="L227:L228"/>
    <mergeCell ref="M227:M228"/>
    <mergeCell ref="N227:N228"/>
    <mergeCell ref="B229:H230"/>
    <mergeCell ref="I229:I230"/>
    <mergeCell ref="J229:J230"/>
    <mergeCell ref="K229:K230"/>
    <mergeCell ref="L229:L230"/>
    <mergeCell ref="M229:M230"/>
    <mergeCell ref="N229:N230"/>
    <mergeCell ref="B231:H232"/>
    <mergeCell ref="I231:I232"/>
    <mergeCell ref="J231:J232"/>
    <mergeCell ref="K231:K232"/>
    <mergeCell ref="L231:L232"/>
    <mergeCell ref="M231:M232"/>
    <mergeCell ref="N231:N232"/>
    <mergeCell ref="B233:H239"/>
    <mergeCell ref="I233:I239"/>
    <mergeCell ref="J233:J239"/>
    <mergeCell ref="K233:K239"/>
    <mergeCell ref="L233:L239"/>
    <mergeCell ref="M233:M239"/>
    <mergeCell ref="N233:N239"/>
    <mergeCell ref="B240:H241"/>
    <mergeCell ref="I240:I241"/>
    <mergeCell ref="J240:J241"/>
    <mergeCell ref="K240:K241"/>
    <mergeCell ref="L240:L241"/>
    <mergeCell ref="M240:M241"/>
    <mergeCell ref="N240:N241"/>
    <mergeCell ref="N255:N256"/>
    <mergeCell ref="B253:H254"/>
    <mergeCell ref="I253:I254"/>
    <mergeCell ref="J253:J254"/>
    <mergeCell ref="B242:H243"/>
    <mergeCell ref="I242:I243"/>
    <mergeCell ref="J242:J243"/>
    <mergeCell ref="K242:K243"/>
    <mergeCell ref="L242:L243"/>
    <mergeCell ref="M242:M243"/>
    <mergeCell ref="N242:N243"/>
    <mergeCell ref="B244:H245"/>
    <mergeCell ref="I244:I245"/>
    <mergeCell ref="J244:J245"/>
    <mergeCell ref="K244:K245"/>
    <mergeCell ref="L244:L245"/>
    <mergeCell ref="M244:M245"/>
    <mergeCell ref="N244:N245"/>
    <mergeCell ref="B246:H248"/>
    <mergeCell ref="I246:I248"/>
    <mergeCell ref="J246:J248"/>
    <mergeCell ref="K246:K248"/>
    <mergeCell ref="L246:L248"/>
    <mergeCell ref="M246:M248"/>
    <mergeCell ref="N246:N248"/>
    <mergeCell ref="B62:H63"/>
    <mergeCell ref="K257:K261"/>
    <mergeCell ref="L257:L261"/>
    <mergeCell ref="M257:M261"/>
    <mergeCell ref="N257:N261"/>
    <mergeCell ref="B266:H267"/>
    <mergeCell ref="I266:I267"/>
    <mergeCell ref="J266:J267"/>
    <mergeCell ref="K266:K267"/>
    <mergeCell ref="L266:L267"/>
    <mergeCell ref="M266:M267"/>
    <mergeCell ref="N266:N267"/>
    <mergeCell ref="B257:H261"/>
    <mergeCell ref="I257:I261"/>
    <mergeCell ref="J257:J261"/>
    <mergeCell ref="B249:H252"/>
    <mergeCell ref="I249:I252"/>
    <mergeCell ref="J249:J252"/>
    <mergeCell ref="K249:K252"/>
    <mergeCell ref="L249:L252"/>
    <mergeCell ref="M249:M252"/>
    <mergeCell ref="N249:N252"/>
    <mergeCell ref="K253:K254"/>
    <mergeCell ref="L253:L254"/>
    <mergeCell ref="M253:M254"/>
    <mergeCell ref="N253:N254"/>
    <mergeCell ref="B255:H256"/>
    <mergeCell ref="I255:I256"/>
    <mergeCell ref="J255:J256"/>
    <mergeCell ref="K255:K256"/>
    <mergeCell ref="L255:L256"/>
    <mergeCell ref="M255:M256"/>
  </mergeCells>
  <conditionalFormatting sqref="M116">
    <cfRule type="cellIs" dxfId="523" priority="770" operator="equal">
      <formula>"ja"</formula>
    </cfRule>
  </conditionalFormatting>
  <conditionalFormatting sqref="M133 M145">
    <cfRule type="cellIs" dxfId="522" priority="769" operator="equal">
      <formula>"ja"</formula>
    </cfRule>
  </conditionalFormatting>
  <conditionalFormatting sqref="M164">
    <cfRule type="cellIs" dxfId="521" priority="768" operator="equal">
      <formula>#REF!</formula>
    </cfRule>
  </conditionalFormatting>
  <conditionalFormatting sqref="M8 M10 M12 M14 M16 M18 M20 M22 M24 M26 M28 M30 M32 M34 M36 M38 M40 M42 M44 M46 M48 M50 M52 M54 M56 M58 M60 M64 M66 M68 M62">
    <cfRule type="expression" dxfId="520" priority="773">
      <formula>M8="JA"</formula>
    </cfRule>
  </conditionalFormatting>
  <conditionalFormatting sqref="B380:B387">
    <cfRule type="cellIs" dxfId="519" priority="763" operator="greaterThan">
      <formula>0</formula>
    </cfRule>
  </conditionalFormatting>
  <conditionalFormatting sqref="C380:D388">
    <cfRule type="cellIs" dxfId="518" priority="754" operator="greaterThan">
      <formula>0</formula>
    </cfRule>
    <cfRule type="expression" dxfId="517" priority="762">
      <formula>$B380&gt;=1</formula>
    </cfRule>
  </conditionalFormatting>
  <conditionalFormatting sqref="J8 J324:J325 J229:J230 J244:J245 J253:J254 J276:J277 J292:J293 J308 J318:J319">
    <cfRule type="expression" dxfId="516" priority="774">
      <formula>I8="ja"</formula>
    </cfRule>
  </conditionalFormatting>
  <conditionalFormatting sqref="J116">
    <cfRule type="expression" dxfId="515" priority="735">
      <formula>I116="ja"</formula>
    </cfRule>
  </conditionalFormatting>
  <conditionalFormatting sqref="J120:J121">
    <cfRule type="expression" dxfId="514" priority="624">
      <formula>I120="ja"</formula>
    </cfRule>
  </conditionalFormatting>
  <conditionalFormatting sqref="K8 K324:K325 K229:K230 K244:K245 K253:K254 K276:K277 K292:K293 K308 K318:K319">
    <cfRule type="expression" dxfId="513" priority="656">
      <formula>I8="ja"</formula>
    </cfRule>
  </conditionalFormatting>
  <conditionalFormatting sqref="J129">
    <cfRule type="expression" dxfId="512" priority="623">
      <formula>I129="ja"</formula>
    </cfRule>
  </conditionalFormatting>
  <conditionalFormatting sqref="J131">
    <cfRule type="expression" dxfId="511" priority="622">
      <formula>I131="ja"</formula>
    </cfRule>
  </conditionalFormatting>
  <conditionalFormatting sqref="K120:K121">
    <cfRule type="expression" dxfId="510" priority="621">
      <formula>I120="ja"</formula>
    </cfRule>
  </conditionalFormatting>
  <conditionalFormatting sqref="K129">
    <cfRule type="expression" dxfId="509" priority="620">
      <formula>I129="ja"</formula>
    </cfRule>
  </conditionalFormatting>
  <conditionalFormatting sqref="K131">
    <cfRule type="expression" dxfId="508" priority="619">
      <formula>I131="ja"</formula>
    </cfRule>
  </conditionalFormatting>
  <conditionalFormatting sqref="J141:J142">
    <cfRule type="expression" dxfId="507" priority="615">
      <formula>I141="ja"</formula>
    </cfRule>
  </conditionalFormatting>
  <conditionalFormatting sqref="J143">
    <cfRule type="expression" dxfId="506" priority="614">
      <formula>I143="ja"</formula>
    </cfRule>
  </conditionalFormatting>
  <conditionalFormatting sqref="K141:K142">
    <cfRule type="expression" dxfId="505" priority="613">
      <formula>I141="ja"</formula>
    </cfRule>
  </conditionalFormatting>
  <conditionalFormatting sqref="K143">
    <cfRule type="expression" dxfId="504" priority="612">
      <formula>I143="ja"</formula>
    </cfRule>
  </conditionalFormatting>
  <conditionalFormatting sqref="K149:K150">
    <cfRule type="expression" dxfId="503" priority="559">
      <formula>I149="ja"</formula>
    </cfRule>
  </conditionalFormatting>
  <conditionalFormatting sqref="J149:J150">
    <cfRule type="expression" dxfId="502" priority="561">
      <formula>I149="ja"</formula>
    </cfRule>
  </conditionalFormatting>
  <conditionalFormatting sqref="K152">
    <cfRule type="expression" dxfId="501" priority="558">
      <formula>I152="ja"</formula>
    </cfRule>
  </conditionalFormatting>
  <conditionalFormatting sqref="J152">
    <cfRule type="expression" dxfId="500" priority="560">
      <formula>I152="ja"</formula>
    </cfRule>
  </conditionalFormatting>
  <conditionalFormatting sqref="J154:J155">
    <cfRule type="expression" dxfId="499" priority="555">
      <formula>I154="ja"</formula>
    </cfRule>
  </conditionalFormatting>
  <conditionalFormatting sqref="K154:K155">
    <cfRule type="expression" dxfId="498" priority="554">
      <formula>I154="ja"</formula>
    </cfRule>
  </conditionalFormatting>
  <conditionalFormatting sqref="J154:J155">
    <cfRule type="expression" dxfId="497" priority="552">
      <formula>I154="ja"</formula>
    </cfRule>
  </conditionalFormatting>
  <conditionalFormatting sqref="K154:K155">
    <cfRule type="expression" dxfId="496" priority="551">
      <formula>I154="ja"</formula>
    </cfRule>
  </conditionalFormatting>
  <conditionalFormatting sqref="J162">
    <cfRule type="expression" dxfId="495" priority="543">
      <formula>I162="ja"</formula>
    </cfRule>
  </conditionalFormatting>
  <conditionalFormatting sqref="K162">
    <cfRule type="expression" dxfId="494" priority="542">
      <formula>I162="ja"</formula>
    </cfRule>
  </conditionalFormatting>
  <conditionalFormatting sqref="J162">
    <cfRule type="expression" dxfId="493" priority="546">
      <formula>I162="ja"</formula>
    </cfRule>
  </conditionalFormatting>
  <conditionalFormatting sqref="K162">
    <cfRule type="expression" dxfId="492" priority="545">
      <formula>I162="ja"</formula>
    </cfRule>
  </conditionalFormatting>
  <conditionalFormatting sqref="M120">
    <cfRule type="expression" dxfId="491" priority="506">
      <formula>M120="JA"</formula>
    </cfRule>
  </conditionalFormatting>
  <conditionalFormatting sqref="J24">
    <cfRule type="expression" dxfId="490" priority="485">
      <formula>I24="ja"</formula>
    </cfRule>
  </conditionalFormatting>
  <conditionalFormatting sqref="K24">
    <cfRule type="expression" dxfId="489" priority="484">
      <formula>I24="ja"</formula>
    </cfRule>
  </conditionalFormatting>
  <conditionalFormatting sqref="J26">
    <cfRule type="expression" dxfId="488" priority="483">
      <formula>I26="ja"</formula>
    </cfRule>
  </conditionalFormatting>
  <conditionalFormatting sqref="K26">
    <cfRule type="expression" dxfId="487" priority="482">
      <formula>I26="ja"</formula>
    </cfRule>
  </conditionalFormatting>
  <conditionalFormatting sqref="J28">
    <cfRule type="expression" dxfId="486" priority="481">
      <formula>I28="ja"</formula>
    </cfRule>
  </conditionalFormatting>
  <conditionalFormatting sqref="K28">
    <cfRule type="expression" dxfId="485" priority="480">
      <formula>I28="ja"</formula>
    </cfRule>
  </conditionalFormatting>
  <conditionalFormatting sqref="J30">
    <cfRule type="expression" dxfId="484" priority="479">
      <formula>I30="ja"</formula>
    </cfRule>
  </conditionalFormatting>
  <conditionalFormatting sqref="K30">
    <cfRule type="expression" dxfId="483" priority="478">
      <formula>I30="ja"</formula>
    </cfRule>
  </conditionalFormatting>
  <conditionalFormatting sqref="J32">
    <cfRule type="expression" dxfId="482" priority="477">
      <formula>I32="ja"</formula>
    </cfRule>
  </conditionalFormatting>
  <conditionalFormatting sqref="K32">
    <cfRule type="expression" dxfId="481" priority="476">
      <formula>I32="ja"</formula>
    </cfRule>
  </conditionalFormatting>
  <conditionalFormatting sqref="J34">
    <cfRule type="expression" dxfId="480" priority="475">
      <formula>I34="ja"</formula>
    </cfRule>
  </conditionalFormatting>
  <conditionalFormatting sqref="K34">
    <cfRule type="expression" dxfId="479" priority="474">
      <formula>I34="ja"</formula>
    </cfRule>
  </conditionalFormatting>
  <conditionalFormatting sqref="J36">
    <cfRule type="expression" dxfId="478" priority="473">
      <formula>I36="ja"</formula>
    </cfRule>
  </conditionalFormatting>
  <conditionalFormatting sqref="K36">
    <cfRule type="expression" dxfId="477" priority="472">
      <formula>I36="ja"</formula>
    </cfRule>
  </conditionalFormatting>
  <conditionalFormatting sqref="J38">
    <cfRule type="expression" dxfId="476" priority="471">
      <formula>I38="ja"</formula>
    </cfRule>
  </conditionalFormatting>
  <conditionalFormatting sqref="K38">
    <cfRule type="expression" dxfId="475" priority="470">
      <formula>I38="ja"</formula>
    </cfRule>
  </conditionalFormatting>
  <conditionalFormatting sqref="J40">
    <cfRule type="expression" dxfId="474" priority="469">
      <formula>I40="ja"</formula>
    </cfRule>
  </conditionalFormatting>
  <conditionalFormatting sqref="K40">
    <cfRule type="expression" dxfId="473" priority="468">
      <formula>I40="ja"</formula>
    </cfRule>
  </conditionalFormatting>
  <conditionalFormatting sqref="J42">
    <cfRule type="expression" dxfId="472" priority="467">
      <formula>I42="ja"</formula>
    </cfRule>
  </conditionalFormatting>
  <conditionalFormatting sqref="K42">
    <cfRule type="expression" dxfId="471" priority="466">
      <formula>I42="ja"</formula>
    </cfRule>
  </conditionalFormatting>
  <conditionalFormatting sqref="J74">
    <cfRule type="expression" dxfId="470" priority="465">
      <formula>I74="ja"</formula>
    </cfRule>
  </conditionalFormatting>
  <conditionalFormatting sqref="K74">
    <cfRule type="expression" dxfId="469" priority="464">
      <formula>I74="ja"</formula>
    </cfRule>
  </conditionalFormatting>
  <conditionalFormatting sqref="J76">
    <cfRule type="expression" dxfId="468" priority="463">
      <formula>I76="ja"</formula>
    </cfRule>
  </conditionalFormatting>
  <conditionalFormatting sqref="K76">
    <cfRule type="expression" dxfId="467" priority="462">
      <formula>I76="ja"</formula>
    </cfRule>
  </conditionalFormatting>
  <conditionalFormatting sqref="J78">
    <cfRule type="expression" dxfId="466" priority="461">
      <formula>I78="ja"</formula>
    </cfRule>
  </conditionalFormatting>
  <conditionalFormatting sqref="K78">
    <cfRule type="expression" dxfId="465" priority="460">
      <formula>I78="ja"</formula>
    </cfRule>
  </conditionalFormatting>
  <conditionalFormatting sqref="J80">
    <cfRule type="expression" dxfId="464" priority="459">
      <formula>I80="ja"</formula>
    </cfRule>
  </conditionalFormatting>
  <conditionalFormatting sqref="K80">
    <cfRule type="expression" dxfId="463" priority="458">
      <formula>I80="ja"</formula>
    </cfRule>
  </conditionalFormatting>
  <conditionalFormatting sqref="J82">
    <cfRule type="expression" dxfId="462" priority="457">
      <formula>I82="ja"</formula>
    </cfRule>
  </conditionalFormatting>
  <conditionalFormatting sqref="K82">
    <cfRule type="expression" dxfId="461" priority="456">
      <formula>I82="ja"</formula>
    </cfRule>
  </conditionalFormatting>
  <conditionalFormatting sqref="J84">
    <cfRule type="expression" dxfId="460" priority="455">
      <formula>I84="ja"</formula>
    </cfRule>
  </conditionalFormatting>
  <conditionalFormatting sqref="K84">
    <cfRule type="expression" dxfId="459" priority="454">
      <formula>I84="ja"</formula>
    </cfRule>
  </conditionalFormatting>
  <conditionalFormatting sqref="J86">
    <cfRule type="expression" dxfId="458" priority="453">
      <formula>I86="ja"</formula>
    </cfRule>
  </conditionalFormatting>
  <conditionalFormatting sqref="K86">
    <cfRule type="expression" dxfId="457" priority="452">
      <formula>I86="ja"</formula>
    </cfRule>
  </conditionalFormatting>
  <conditionalFormatting sqref="J88">
    <cfRule type="expression" dxfId="456" priority="451">
      <formula>I88="ja"</formula>
    </cfRule>
  </conditionalFormatting>
  <conditionalFormatting sqref="K88">
    <cfRule type="expression" dxfId="455" priority="450">
      <formula>I88="ja"</formula>
    </cfRule>
  </conditionalFormatting>
  <conditionalFormatting sqref="J90">
    <cfRule type="expression" dxfId="454" priority="449">
      <formula>I90="ja"</formula>
    </cfRule>
  </conditionalFormatting>
  <conditionalFormatting sqref="K90">
    <cfRule type="expression" dxfId="453" priority="448">
      <formula>I90="ja"</formula>
    </cfRule>
  </conditionalFormatting>
  <conditionalFormatting sqref="J92">
    <cfRule type="expression" dxfId="452" priority="447">
      <formula>I92="ja"</formula>
    </cfRule>
  </conditionalFormatting>
  <conditionalFormatting sqref="K92">
    <cfRule type="expression" dxfId="451" priority="446">
      <formula>I92="ja"</formula>
    </cfRule>
  </conditionalFormatting>
  <conditionalFormatting sqref="J114">
    <cfRule type="expression" dxfId="450" priority="433">
      <formula>I114="ja"</formula>
    </cfRule>
  </conditionalFormatting>
  <conditionalFormatting sqref="K114">
    <cfRule type="expression" dxfId="449" priority="432">
      <formula>I114="ja"</formula>
    </cfRule>
  </conditionalFormatting>
  <conditionalFormatting sqref="J94">
    <cfRule type="expression" dxfId="448" priority="443">
      <formula>I94="ja"</formula>
    </cfRule>
  </conditionalFormatting>
  <conditionalFormatting sqref="K94">
    <cfRule type="expression" dxfId="447" priority="442">
      <formula>I94="ja"</formula>
    </cfRule>
  </conditionalFormatting>
  <conditionalFormatting sqref="J96">
    <cfRule type="expression" dxfId="446" priority="441">
      <formula>I96="ja"</formula>
    </cfRule>
  </conditionalFormatting>
  <conditionalFormatting sqref="K96">
    <cfRule type="expression" dxfId="445" priority="440">
      <formula>I96="ja"</formula>
    </cfRule>
  </conditionalFormatting>
  <conditionalFormatting sqref="J98">
    <cfRule type="expression" dxfId="444" priority="439">
      <formula>I98="ja"</formula>
    </cfRule>
  </conditionalFormatting>
  <conditionalFormatting sqref="K98">
    <cfRule type="expression" dxfId="443" priority="438">
      <formula>I98="ja"</formula>
    </cfRule>
  </conditionalFormatting>
  <conditionalFormatting sqref="J100">
    <cfRule type="expression" dxfId="442" priority="437">
      <formula>I100="ja"</formula>
    </cfRule>
  </conditionalFormatting>
  <conditionalFormatting sqref="K100">
    <cfRule type="expression" dxfId="441" priority="436">
      <formula>I100="ja"</formula>
    </cfRule>
  </conditionalFormatting>
  <conditionalFormatting sqref="J102">
    <cfRule type="expression" dxfId="440" priority="435">
      <formula>I102="ja"</formula>
    </cfRule>
  </conditionalFormatting>
  <conditionalFormatting sqref="K102">
    <cfRule type="expression" dxfId="439" priority="434">
      <formula>I102="ja"</formula>
    </cfRule>
  </conditionalFormatting>
  <conditionalFormatting sqref="J10">
    <cfRule type="expression" dxfId="438" priority="431">
      <formula>I10="ja"</formula>
    </cfRule>
  </conditionalFormatting>
  <conditionalFormatting sqref="K10">
    <cfRule type="expression" dxfId="437" priority="430">
      <formula>I10="ja"</formula>
    </cfRule>
  </conditionalFormatting>
  <conditionalFormatting sqref="J12">
    <cfRule type="expression" dxfId="436" priority="429">
      <formula>I12="ja"</formula>
    </cfRule>
  </conditionalFormatting>
  <conditionalFormatting sqref="K12">
    <cfRule type="expression" dxfId="435" priority="428">
      <formula>I12="ja"</formula>
    </cfRule>
  </conditionalFormatting>
  <conditionalFormatting sqref="J14">
    <cfRule type="expression" dxfId="434" priority="427">
      <formula>I14="ja"</formula>
    </cfRule>
  </conditionalFormatting>
  <conditionalFormatting sqref="K14">
    <cfRule type="expression" dxfId="433" priority="426">
      <formula>I14="ja"</formula>
    </cfRule>
  </conditionalFormatting>
  <conditionalFormatting sqref="J16">
    <cfRule type="expression" dxfId="432" priority="425">
      <formula>I16="ja"</formula>
    </cfRule>
  </conditionalFormatting>
  <conditionalFormatting sqref="K16">
    <cfRule type="expression" dxfId="431" priority="424">
      <formula>I16="ja"</formula>
    </cfRule>
  </conditionalFormatting>
  <conditionalFormatting sqref="J18">
    <cfRule type="expression" dxfId="430" priority="423">
      <formula>I18="ja"</formula>
    </cfRule>
  </conditionalFormatting>
  <conditionalFormatting sqref="K18">
    <cfRule type="expression" dxfId="429" priority="422">
      <formula>I18="ja"</formula>
    </cfRule>
  </conditionalFormatting>
  <conditionalFormatting sqref="J20">
    <cfRule type="expression" dxfId="428" priority="421">
      <formula>I20="ja"</formula>
    </cfRule>
  </conditionalFormatting>
  <conditionalFormatting sqref="K20">
    <cfRule type="expression" dxfId="427" priority="420">
      <formula>I20="ja"</formula>
    </cfRule>
  </conditionalFormatting>
  <conditionalFormatting sqref="J22">
    <cfRule type="expression" dxfId="426" priority="419">
      <formula>I22="ja"</formula>
    </cfRule>
  </conditionalFormatting>
  <conditionalFormatting sqref="K22">
    <cfRule type="expression" dxfId="425" priority="418">
      <formula>I22="ja"</formula>
    </cfRule>
  </conditionalFormatting>
  <conditionalFormatting sqref="B388">
    <cfRule type="cellIs" dxfId="424" priority="417" operator="greaterThan">
      <formula>0</formula>
    </cfRule>
  </conditionalFormatting>
  <conditionalFormatting sqref="J44">
    <cfRule type="expression" dxfId="423" priority="413">
      <formula>I44="ja"</formula>
    </cfRule>
  </conditionalFormatting>
  <conditionalFormatting sqref="K44">
    <cfRule type="expression" dxfId="422" priority="412">
      <formula>I44="ja"</formula>
    </cfRule>
  </conditionalFormatting>
  <conditionalFormatting sqref="J46">
    <cfRule type="expression" dxfId="421" priority="410">
      <formula>I46="ja"</formula>
    </cfRule>
  </conditionalFormatting>
  <conditionalFormatting sqref="K46">
    <cfRule type="expression" dxfId="420" priority="409">
      <formula>I46="ja"</formula>
    </cfRule>
  </conditionalFormatting>
  <conditionalFormatting sqref="J48">
    <cfRule type="expression" dxfId="419" priority="405">
      <formula>I48="ja"</formula>
    </cfRule>
  </conditionalFormatting>
  <conditionalFormatting sqref="K48">
    <cfRule type="expression" dxfId="418" priority="404">
      <formula>I48="ja"</formula>
    </cfRule>
  </conditionalFormatting>
  <conditionalFormatting sqref="J50">
    <cfRule type="expression" dxfId="417" priority="403">
      <formula>I50="ja"</formula>
    </cfRule>
  </conditionalFormatting>
  <conditionalFormatting sqref="K50">
    <cfRule type="expression" dxfId="416" priority="402">
      <formula>I50="ja"</formula>
    </cfRule>
  </conditionalFormatting>
  <conditionalFormatting sqref="J52">
    <cfRule type="expression" dxfId="415" priority="400">
      <formula>I52="ja"</formula>
    </cfRule>
  </conditionalFormatting>
  <conditionalFormatting sqref="K52">
    <cfRule type="expression" dxfId="414" priority="399">
      <formula>I52="ja"</formula>
    </cfRule>
  </conditionalFormatting>
  <conditionalFormatting sqref="J54">
    <cfRule type="expression" dxfId="413" priority="398">
      <formula>I54="ja"</formula>
    </cfRule>
  </conditionalFormatting>
  <conditionalFormatting sqref="K54">
    <cfRule type="expression" dxfId="412" priority="397">
      <formula>I54="ja"</formula>
    </cfRule>
  </conditionalFormatting>
  <conditionalFormatting sqref="J68">
    <cfRule type="expression" dxfId="411" priority="395">
      <formula>I68="ja"</formula>
    </cfRule>
  </conditionalFormatting>
  <conditionalFormatting sqref="K68">
    <cfRule type="expression" dxfId="410" priority="394">
      <formula>I68="ja"</formula>
    </cfRule>
  </conditionalFormatting>
  <conditionalFormatting sqref="K168:K170">
    <cfRule type="expression" dxfId="409" priority="390">
      <formula>I168="ja"</formula>
    </cfRule>
  </conditionalFormatting>
  <conditionalFormatting sqref="J168:J170">
    <cfRule type="expression" dxfId="408" priority="392">
      <formula>I168="ja"</formula>
    </cfRule>
  </conditionalFormatting>
  <conditionalFormatting sqref="K178">
    <cfRule type="expression" dxfId="407" priority="389">
      <formula>I178="ja"</formula>
    </cfRule>
  </conditionalFormatting>
  <conditionalFormatting sqref="J178">
    <cfRule type="expression" dxfId="406" priority="391">
      <formula>I178="ja"</formula>
    </cfRule>
  </conditionalFormatting>
  <conditionalFormatting sqref="J180:J181">
    <cfRule type="expression" dxfId="405" priority="388">
      <formula>I180="ja"</formula>
    </cfRule>
  </conditionalFormatting>
  <conditionalFormatting sqref="K180:K181">
    <cfRule type="expression" dxfId="404" priority="387">
      <formula>I180="ja"</formula>
    </cfRule>
  </conditionalFormatting>
  <conditionalFormatting sqref="J180:J181">
    <cfRule type="expression" dxfId="403" priority="386">
      <formula>I180="ja"</formula>
    </cfRule>
  </conditionalFormatting>
  <conditionalFormatting sqref="K180:K181">
    <cfRule type="expression" dxfId="402" priority="385">
      <formula>I180="ja"</formula>
    </cfRule>
  </conditionalFormatting>
  <conditionalFormatting sqref="M168:M169">
    <cfRule type="expression" dxfId="401" priority="380">
      <formula>M168="JA"</formula>
    </cfRule>
  </conditionalFormatting>
  <conditionalFormatting sqref="J56">
    <cfRule type="expression" dxfId="400" priority="375">
      <formula>I56="ja"</formula>
    </cfRule>
  </conditionalFormatting>
  <conditionalFormatting sqref="K56">
    <cfRule type="expression" dxfId="399" priority="374">
      <formula>I56="ja"</formula>
    </cfRule>
  </conditionalFormatting>
  <conditionalFormatting sqref="J58">
    <cfRule type="expression" dxfId="398" priority="373">
      <formula>I58="ja"</formula>
    </cfRule>
  </conditionalFormatting>
  <conditionalFormatting sqref="K58">
    <cfRule type="expression" dxfId="397" priority="372">
      <formula>I58="ja"</formula>
    </cfRule>
  </conditionalFormatting>
  <conditionalFormatting sqref="J60">
    <cfRule type="expression" dxfId="396" priority="368">
      <formula>I60="ja"</formula>
    </cfRule>
  </conditionalFormatting>
  <conditionalFormatting sqref="K60">
    <cfRule type="expression" dxfId="395" priority="367">
      <formula>I60="ja"</formula>
    </cfRule>
  </conditionalFormatting>
  <conditionalFormatting sqref="J64">
    <cfRule type="expression" dxfId="394" priority="363">
      <formula>I64="ja"</formula>
    </cfRule>
  </conditionalFormatting>
  <conditionalFormatting sqref="K64">
    <cfRule type="expression" dxfId="393" priority="362">
      <formula>I64="ja"</formula>
    </cfRule>
  </conditionalFormatting>
  <conditionalFormatting sqref="J66">
    <cfRule type="expression" dxfId="392" priority="361">
      <formula>I66="ja"</formula>
    </cfRule>
  </conditionalFormatting>
  <conditionalFormatting sqref="K66">
    <cfRule type="expression" dxfId="391" priority="360">
      <formula>I66="ja"</formula>
    </cfRule>
  </conditionalFormatting>
  <conditionalFormatting sqref="J104">
    <cfRule type="expression" dxfId="390" priority="354">
      <formula>I104="ja"</formula>
    </cfRule>
  </conditionalFormatting>
  <conditionalFormatting sqref="K104">
    <cfRule type="expression" dxfId="389" priority="353">
      <formula>I104="ja"</formula>
    </cfRule>
  </conditionalFormatting>
  <conditionalFormatting sqref="J106">
    <cfRule type="expression" dxfId="388" priority="352">
      <formula>I106="ja"</formula>
    </cfRule>
  </conditionalFormatting>
  <conditionalFormatting sqref="K106">
    <cfRule type="expression" dxfId="387" priority="351">
      <formula>I106="ja"</formula>
    </cfRule>
  </conditionalFormatting>
  <conditionalFormatting sqref="J108">
    <cfRule type="expression" dxfId="386" priority="350">
      <formula>I108="ja"</formula>
    </cfRule>
  </conditionalFormatting>
  <conditionalFormatting sqref="K108">
    <cfRule type="expression" dxfId="385" priority="349">
      <formula>I108="ja"</formula>
    </cfRule>
  </conditionalFormatting>
  <conditionalFormatting sqref="J112">
    <cfRule type="expression" dxfId="384" priority="348">
      <formula>I112="ja"</formula>
    </cfRule>
  </conditionalFormatting>
  <conditionalFormatting sqref="K112">
    <cfRule type="expression" dxfId="383" priority="347">
      <formula>I112="ja"</formula>
    </cfRule>
  </conditionalFormatting>
  <conditionalFormatting sqref="J110">
    <cfRule type="expression" dxfId="382" priority="345">
      <formula>I110="ja"</formula>
    </cfRule>
  </conditionalFormatting>
  <conditionalFormatting sqref="K110">
    <cfRule type="expression" dxfId="381" priority="344">
      <formula>I110="ja"</formula>
    </cfRule>
  </conditionalFormatting>
  <conditionalFormatting sqref="J127">
    <cfRule type="expression" dxfId="380" priority="343">
      <formula>I127="ja"</formula>
    </cfRule>
  </conditionalFormatting>
  <conditionalFormatting sqref="K127">
    <cfRule type="expression" dxfId="379" priority="342">
      <formula>I127="ja"</formula>
    </cfRule>
  </conditionalFormatting>
  <conditionalFormatting sqref="J125">
    <cfRule type="expression" dxfId="378" priority="340">
      <formula>I125="ja"</formula>
    </cfRule>
  </conditionalFormatting>
  <conditionalFormatting sqref="K125">
    <cfRule type="expression" dxfId="377" priority="339">
      <formula>I125="ja"</formula>
    </cfRule>
  </conditionalFormatting>
  <conditionalFormatting sqref="J123">
    <cfRule type="expression" dxfId="376" priority="337">
      <formula>I123="ja"</formula>
    </cfRule>
  </conditionalFormatting>
  <conditionalFormatting sqref="K123">
    <cfRule type="expression" dxfId="375" priority="336">
      <formula>I123="ja"</formula>
    </cfRule>
  </conditionalFormatting>
  <conditionalFormatting sqref="M123 M125 M127 M129 M131">
    <cfRule type="expression" dxfId="374" priority="335">
      <formula>M123="JA"</formula>
    </cfRule>
  </conditionalFormatting>
  <conditionalFormatting sqref="J139:J140">
    <cfRule type="expression" dxfId="373" priority="334">
      <formula>I139="ja"</formula>
    </cfRule>
  </conditionalFormatting>
  <conditionalFormatting sqref="K139:K140">
    <cfRule type="expression" dxfId="372" priority="333">
      <formula>I139="ja"</formula>
    </cfRule>
  </conditionalFormatting>
  <conditionalFormatting sqref="J137:J138">
    <cfRule type="expression" dxfId="371" priority="331">
      <formula>I137="ja"</formula>
    </cfRule>
  </conditionalFormatting>
  <conditionalFormatting sqref="K137:K138">
    <cfRule type="expression" dxfId="370" priority="330">
      <formula>I137="ja"</formula>
    </cfRule>
  </conditionalFormatting>
  <conditionalFormatting sqref="J160">
    <cfRule type="expression" dxfId="369" priority="326">
      <formula>I160="ja"</formula>
    </cfRule>
  </conditionalFormatting>
  <conditionalFormatting sqref="K160">
    <cfRule type="expression" dxfId="368" priority="325">
      <formula>I160="ja"</formula>
    </cfRule>
  </conditionalFormatting>
  <conditionalFormatting sqref="J160">
    <cfRule type="expression" dxfId="367" priority="328">
      <formula>I160="ja"</formula>
    </cfRule>
  </conditionalFormatting>
  <conditionalFormatting sqref="K160">
    <cfRule type="expression" dxfId="366" priority="327">
      <formula>I160="ja"</formula>
    </cfRule>
  </conditionalFormatting>
  <conditionalFormatting sqref="J158">
    <cfRule type="expression" dxfId="365" priority="321">
      <formula>I158="ja"</formula>
    </cfRule>
  </conditionalFormatting>
  <conditionalFormatting sqref="K158">
    <cfRule type="expression" dxfId="364" priority="320">
      <formula>I158="ja"</formula>
    </cfRule>
  </conditionalFormatting>
  <conditionalFormatting sqref="J158">
    <cfRule type="expression" dxfId="363" priority="323">
      <formula>I158="ja"</formula>
    </cfRule>
  </conditionalFormatting>
  <conditionalFormatting sqref="K158">
    <cfRule type="expression" dxfId="362" priority="322">
      <formula>I158="ja"</formula>
    </cfRule>
  </conditionalFormatting>
  <conditionalFormatting sqref="J156">
    <cfRule type="expression" dxfId="361" priority="316">
      <formula>I156="ja"</formula>
    </cfRule>
  </conditionalFormatting>
  <conditionalFormatting sqref="K156">
    <cfRule type="expression" dxfId="360" priority="315">
      <formula>I156="ja"</formula>
    </cfRule>
  </conditionalFormatting>
  <conditionalFormatting sqref="J156">
    <cfRule type="expression" dxfId="359" priority="318">
      <formula>I156="ja"</formula>
    </cfRule>
  </conditionalFormatting>
  <conditionalFormatting sqref="K156">
    <cfRule type="expression" dxfId="358" priority="317">
      <formula>I156="ja"</formula>
    </cfRule>
  </conditionalFormatting>
  <conditionalFormatting sqref="K174">
    <cfRule type="expression" dxfId="357" priority="312">
      <formula>I174="ja"</formula>
    </cfRule>
  </conditionalFormatting>
  <conditionalFormatting sqref="J174">
    <cfRule type="expression" dxfId="356" priority="313">
      <formula>I174="ja"</formula>
    </cfRule>
  </conditionalFormatting>
  <conditionalFormatting sqref="K172">
    <cfRule type="expression" dxfId="355" priority="309">
      <formula>I172="ja"</formula>
    </cfRule>
  </conditionalFormatting>
  <conditionalFormatting sqref="J172">
    <cfRule type="expression" dxfId="354" priority="310">
      <formula>I172="ja"</formula>
    </cfRule>
  </conditionalFormatting>
  <conditionalFormatting sqref="K176">
    <cfRule type="expression" dxfId="353" priority="306">
      <formula>I176="ja"</formula>
    </cfRule>
  </conditionalFormatting>
  <conditionalFormatting sqref="J176">
    <cfRule type="expression" dxfId="352" priority="307">
      <formula>I176="ja"</formula>
    </cfRule>
  </conditionalFormatting>
  <conditionalFormatting sqref="M257:M260">
    <cfRule type="expression" dxfId="351" priority="212">
      <formula>M257="JA"</formula>
    </cfRule>
  </conditionalFormatting>
  <conditionalFormatting sqref="M186:M187">
    <cfRule type="expression" dxfId="350" priority="303">
      <formula>M186="JA"</formula>
    </cfRule>
  </conditionalFormatting>
  <conditionalFormatting sqref="J186:J187">
    <cfRule type="expression" dxfId="349" priority="304">
      <formula>I186="ja"</formula>
    </cfRule>
  </conditionalFormatting>
  <conditionalFormatting sqref="K186:K187">
    <cfRule type="expression" dxfId="348" priority="302">
      <formula>I186="ja"</formula>
    </cfRule>
  </conditionalFormatting>
  <conditionalFormatting sqref="M195:M198">
    <cfRule type="expression" dxfId="347" priority="298">
      <formula>M195="JA"</formula>
    </cfRule>
  </conditionalFormatting>
  <conditionalFormatting sqref="J207:J208">
    <cfRule type="expression" dxfId="346" priority="284">
      <formula>I207="ja"</formula>
    </cfRule>
  </conditionalFormatting>
  <conditionalFormatting sqref="K207:K208">
    <cfRule type="expression" dxfId="345" priority="283">
      <formula>I207="ja"</formula>
    </cfRule>
  </conditionalFormatting>
  <conditionalFormatting sqref="J214">
    <cfRule type="expression" dxfId="344" priority="276">
      <formula>I214="ja"</formula>
    </cfRule>
  </conditionalFormatting>
  <conditionalFormatting sqref="K214">
    <cfRule type="expression" dxfId="343" priority="275">
      <formula>I214="ja"</formula>
    </cfRule>
  </conditionalFormatting>
  <conditionalFormatting sqref="J210">
    <cfRule type="expression" dxfId="342" priority="280">
      <formula>I210="ja"</formula>
    </cfRule>
  </conditionalFormatting>
  <conditionalFormatting sqref="K210">
    <cfRule type="expression" dxfId="341" priority="279">
      <formula>I210="ja"</formula>
    </cfRule>
  </conditionalFormatting>
  <conditionalFormatting sqref="J212">
    <cfRule type="expression" dxfId="340" priority="278">
      <formula>I212="ja"</formula>
    </cfRule>
  </conditionalFormatting>
  <conditionalFormatting sqref="K212">
    <cfRule type="expression" dxfId="339" priority="277">
      <formula>I212="ja"</formula>
    </cfRule>
  </conditionalFormatting>
  <conditionalFormatting sqref="J216">
    <cfRule type="expression" dxfId="338" priority="274">
      <formula>I216="ja"</formula>
    </cfRule>
  </conditionalFormatting>
  <conditionalFormatting sqref="K216">
    <cfRule type="expression" dxfId="337" priority="273">
      <formula>I216="ja"</formula>
    </cfRule>
  </conditionalFormatting>
  <conditionalFormatting sqref="J218">
    <cfRule type="expression" dxfId="336" priority="272">
      <formula>I218="ja"</formula>
    </cfRule>
  </conditionalFormatting>
  <conditionalFormatting sqref="K218">
    <cfRule type="expression" dxfId="335" priority="271">
      <formula>I218="ja"</formula>
    </cfRule>
  </conditionalFormatting>
  <conditionalFormatting sqref="J220:J221">
    <cfRule type="expression" dxfId="334" priority="270">
      <formula>I220="ja"</formula>
    </cfRule>
  </conditionalFormatting>
  <conditionalFormatting sqref="K220:K221">
    <cfRule type="expression" dxfId="333" priority="269">
      <formula>I220="ja"</formula>
    </cfRule>
  </conditionalFormatting>
  <conditionalFormatting sqref="J223">
    <cfRule type="expression" dxfId="332" priority="268">
      <formula>I223="ja"</formula>
    </cfRule>
  </conditionalFormatting>
  <conditionalFormatting sqref="K223">
    <cfRule type="expression" dxfId="331" priority="267">
      <formula>I223="ja"</formula>
    </cfRule>
  </conditionalFormatting>
  <conditionalFormatting sqref="J225">
    <cfRule type="expression" dxfId="330" priority="266">
      <formula>I225="ja"</formula>
    </cfRule>
  </conditionalFormatting>
  <conditionalFormatting sqref="K225">
    <cfRule type="expression" dxfId="329" priority="265">
      <formula>I225="ja"</formula>
    </cfRule>
  </conditionalFormatting>
  <conditionalFormatting sqref="J189">
    <cfRule type="expression" dxfId="328" priority="264">
      <formula>I189="ja"</formula>
    </cfRule>
  </conditionalFormatting>
  <conditionalFormatting sqref="K189">
    <cfRule type="expression" dxfId="327" priority="263">
      <formula>I189="ja"</formula>
    </cfRule>
  </conditionalFormatting>
  <conditionalFormatting sqref="J191">
    <cfRule type="expression" dxfId="326" priority="262">
      <formula>I191="ja"</formula>
    </cfRule>
  </conditionalFormatting>
  <conditionalFormatting sqref="K191">
    <cfRule type="expression" dxfId="325" priority="261">
      <formula>I191="ja"</formula>
    </cfRule>
  </conditionalFormatting>
  <conditionalFormatting sqref="J193">
    <cfRule type="expression" dxfId="324" priority="260">
      <formula>I193="ja"</formula>
    </cfRule>
  </conditionalFormatting>
  <conditionalFormatting sqref="K193">
    <cfRule type="expression" dxfId="323" priority="259">
      <formula>I193="ja"</formula>
    </cfRule>
  </conditionalFormatting>
  <conditionalFormatting sqref="J195:J198">
    <cfRule type="expression" dxfId="322" priority="258">
      <formula>I195="ja"</formula>
    </cfRule>
  </conditionalFormatting>
  <conditionalFormatting sqref="K195:K198">
    <cfRule type="expression" dxfId="321" priority="257">
      <formula>I195="ja"</formula>
    </cfRule>
  </conditionalFormatting>
  <conditionalFormatting sqref="J200:J201">
    <cfRule type="expression" dxfId="320" priority="256">
      <formula>I200="ja"</formula>
    </cfRule>
  </conditionalFormatting>
  <conditionalFormatting sqref="K200:K201">
    <cfRule type="expression" dxfId="319" priority="255">
      <formula>I200="ja"</formula>
    </cfRule>
  </conditionalFormatting>
  <conditionalFormatting sqref="J203">
    <cfRule type="expression" dxfId="318" priority="254">
      <formula>I203="ja"</formula>
    </cfRule>
  </conditionalFormatting>
  <conditionalFormatting sqref="K203">
    <cfRule type="expression" dxfId="317" priority="253">
      <formula>I203="ja"</formula>
    </cfRule>
  </conditionalFormatting>
  <conditionalFormatting sqref="J205">
    <cfRule type="expression" dxfId="316" priority="252">
      <formula>I205="ja"</formula>
    </cfRule>
  </conditionalFormatting>
  <conditionalFormatting sqref="K205">
    <cfRule type="expression" dxfId="315" priority="251">
      <formula>I205="ja"</formula>
    </cfRule>
  </conditionalFormatting>
  <conditionalFormatting sqref="J227">
    <cfRule type="expression" dxfId="314" priority="249">
      <formula>I227="ja"</formula>
    </cfRule>
  </conditionalFormatting>
  <conditionalFormatting sqref="K227">
    <cfRule type="expression" dxfId="313" priority="248">
      <formula>I227="ja"</formula>
    </cfRule>
  </conditionalFormatting>
  <conditionalFormatting sqref="M233:M238">
    <cfRule type="expression" dxfId="312" priority="243">
      <formula>M233="JA"</formula>
    </cfRule>
  </conditionalFormatting>
  <conditionalFormatting sqref="J231">
    <cfRule type="expression" dxfId="311" priority="242">
      <formula>I231="ja"</formula>
    </cfRule>
  </conditionalFormatting>
  <conditionalFormatting sqref="K231">
    <cfRule type="expression" dxfId="310" priority="241">
      <formula>I231="ja"</formula>
    </cfRule>
  </conditionalFormatting>
  <conditionalFormatting sqref="J233:J238">
    <cfRule type="expression" dxfId="309" priority="240">
      <formula>I233="ja"</formula>
    </cfRule>
  </conditionalFormatting>
  <conditionalFormatting sqref="K233:K238">
    <cfRule type="expression" dxfId="308" priority="239">
      <formula>I233="ja"</formula>
    </cfRule>
  </conditionalFormatting>
  <conditionalFormatting sqref="J240">
    <cfRule type="expression" dxfId="307" priority="237">
      <formula>I240="ja"</formula>
    </cfRule>
  </conditionalFormatting>
  <conditionalFormatting sqref="K240">
    <cfRule type="expression" dxfId="306" priority="236">
      <formula>I240="ja"</formula>
    </cfRule>
  </conditionalFormatting>
  <conditionalFormatting sqref="J242:J243">
    <cfRule type="expression" dxfId="305" priority="235">
      <formula>I242="ja"</formula>
    </cfRule>
  </conditionalFormatting>
  <conditionalFormatting sqref="K242:K243">
    <cfRule type="expression" dxfId="304" priority="234">
      <formula>I242="ja"</formula>
    </cfRule>
  </conditionalFormatting>
  <conditionalFormatting sqref="J266">
    <cfRule type="expression" dxfId="303" priority="232">
      <formula>I266="ja"</formula>
    </cfRule>
  </conditionalFormatting>
  <conditionalFormatting sqref="K266">
    <cfRule type="expression" dxfId="302" priority="231">
      <formula>I266="ja"</formula>
    </cfRule>
  </conditionalFormatting>
  <conditionalFormatting sqref="J246:J247">
    <cfRule type="expression" dxfId="301" priority="226">
      <formula>I246="ja"</formula>
    </cfRule>
  </conditionalFormatting>
  <conditionalFormatting sqref="K246:K247">
    <cfRule type="expression" dxfId="300" priority="225">
      <formula>I246="ja"</formula>
    </cfRule>
  </conditionalFormatting>
  <conditionalFormatting sqref="M249:M251">
    <cfRule type="expression" dxfId="299" priority="223">
      <formula>M249="JA"</formula>
    </cfRule>
  </conditionalFormatting>
  <conditionalFormatting sqref="J249:J251">
    <cfRule type="expression" dxfId="298" priority="221">
      <formula>I249="ja"</formula>
    </cfRule>
  </conditionalFormatting>
  <conditionalFormatting sqref="K249:K251">
    <cfRule type="expression" dxfId="297" priority="220">
      <formula>I249="ja"</formula>
    </cfRule>
  </conditionalFormatting>
  <conditionalFormatting sqref="J255">
    <cfRule type="expression" dxfId="296" priority="216">
      <formula>I255="ja"</formula>
    </cfRule>
  </conditionalFormatting>
  <conditionalFormatting sqref="K255">
    <cfRule type="expression" dxfId="295" priority="215">
      <formula>I255="ja"</formula>
    </cfRule>
  </conditionalFormatting>
  <conditionalFormatting sqref="J257:J260">
    <cfRule type="expression" dxfId="294" priority="214">
      <formula>I257="ja"</formula>
    </cfRule>
  </conditionalFormatting>
  <conditionalFormatting sqref="K257:K260">
    <cfRule type="expression" dxfId="293" priority="213">
      <formula>I257="ja"</formula>
    </cfRule>
  </conditionalFormatting>
  <conditionalFormatting sqref="J268:J269">
    <cfRule type="expression" dxfId="292" priority="211">
      <formula>I268="ja"</formula>
    </cfRule>
  </conditionalFormatting>
  <conditionalFormatting sqref="K268:K269">
    <cfRule type="expression" dxfId="291" priority="209">
      <formula>I268="ja"</formula>
    </cfRule>
  </conditionalFormatting>
  <conditionalFormatting sqref="M297:M298">
    <cfRule type="expression" dxfId="290" priority="195">
      <formula>M297="JA"</formula>
    </cfRule>
  </conditionalFormatting>
  <conditionalFormatting sqref="J284:J285">
    <cfRule type="expression" dxfId="289" priority="191">
      <formula>I284="ja"</formula>
    </cfRule>
  </conditionalFormatting>
  <conditionalFormatting sqref="K284:K285">
    <cfRule type="expression" dxfId="288" priority="190">
      <formula>I284="ja"</formula>
    </cfRule>
  </conditionalFormatting>
  <conditionalFormatting sqref="J286:J287">
    <cfRule type="expression" dxfId="287" priority="189">
      <formula>I286="ja"</formula>
    </cfRule>
  </conditionalFormatting>
  <conditionalFormatting sqref="K286:K287">
    <cfRule type="expression" dxfId="286" priority="188">
      <formula>I286="ja"</formula>
    </cfRule>
  </conditionalFormatting>
  <conditionalFormatting sqref="J288">
    <cfRule type="expression" dxfId="285" priority="187">
      <formula>I288="ja"</formula>
    </cfRule>
  </conditionalFormatting>
  <conditionalFormatting sqref="K288">
    <cfRule type="expression" dxfId="284" priority="186">
      <formula>I288="ja"</formula>
    </cfRule>
  </conditionalFormatting>
  <conditionalFormatting sqref="J290">
    <cfRule type="expression" dxfId="283" priority="185">
      <formula>I290="ja"</formula>
    </cfRule>
  </conditionalFormatting>
  <conditionalFormatting sqref="K290">
    <cfRule type="expression" dxfId="282" priority="184">
      <formula>I290="ja"</formula>
    </cfRule>
  </conditionalFormatting>
  <conditionalFormatting sqref="J295">
    <cfRule type="expression" dxfId="281" priority="181">
      <formula>I295="ja"</formula>
    </cfRule>
  </conditionalFormatting>
  <conditionalFormatting sqref="K295">
    <cfRule type="expression" dxfId="280" priority="180">
      <formula>I295="ja"</formula>
    </cfRule>
  </conditionalFormatting>
  <conditionalFormatting sqref="J297:J298">
    <cfRule type="expression" dxfId="279" priority="179">
      <formula>I297="ja"</formula>
    </cfRule>
  </conditionalFormatting>
  <conditionalFormatting sqref="K297:K298">
    <cfRule type="expression" dxfId="278" priority="178">
      <formula>I297="ja"</formula>
    </cfRule>
  </conditionalFormatting>
  <conditionalFormatting sqref="J300">
    <cfRule type="expression" dxfId="277" priority="177">
      <formula>I300="ja"</formula>
    </cfRule>
  </conditionalFormatting>
  <conditionalFormatting sqref="K300">
    <cfRule type="expression" dxfId="276" priority="176">
      <formula>I300="ja"</formula>
    </cfRule>
  </conditionalFormatting>
  <conditionalFormatting sqref="J302">
    <cfRule type="expression" dxfId="275" priority="175">
      <formula>I302="ja"</formula>
    </cfRule>
  </conditionalFormatting>
  <conditionalFormatting sqref="K302">
    <cfRule type="expression" dxfId="274" priority="174">
      <formula>I302="ja"</formula>
    </cfRule>
  </conditionalFormatting>
  <conditionalFormatting sqref="J304">
    <cfRule type="expression" dxfId="273" priority="173">
      <formula>I304="ja"</formula>
    </cfRule>
  </conditionalFormatting>
  <conditionalFormatting sqref="K304">
    <cfRule type="expression" dxfId="272" priority="172">
      <formula>I304="ja"</formula>
    </cfRule>
  </conditionalFormatting>
  <conditionalFormatting sqref="J270">
    <cfRule type="expression" dxfId="271" priority="171">
      <formula>I270="ja"</formula>
    </cfRule>
  </conditionalFormatting>
  <conditionalFormatting sqref="K270">
    <cfRule type="expression" dxfId="270" priority="170">
      <formula>I270="ja"</formula>
    </cfRule>
  </conditionalFormatting>
  <conditionalFormatting sqref="J272">
    <cfRule type="expression" dxfId="269" priority="169">
      <formula>I272="ja"</formula>
    </cfRule>
  </conditionalFormatting>
  <conditionalFormatting sqref="K272">
    <cfRule type="expression" dxfId="268" priority="168">
      <formula>I272="ja"</formula>
    </cfRule>
  </conditionalFormatting>
  <conditionalFormatting sqref="J274">
    <cfRule type="expression" dxfId="267" priority="167">
      <formula>I274="ja"</formula>
    </cfRule>
  </conditionalFormatting>
  <conditionalFormatting sqref="K274">
    <cfRule type="expression" dxfId="266" priority="166">
      <formula>I274="ja"</formula>
    </cfRule>
  </conditionalFormatting>
  <conditionalFormatting sqref="J278:J279">
    <cfRule type="expression" dxfId="265" priority="163">
      <formula>I278="ja"</formula>
    </cfRule>
  </conditionalFormatting>
  <conditionalFormatting sqref="K278:K279">
    <cfRule type="expression" dxfId="264" priority="162">
      <formula>I278="ja"</formula>
    </cfRule>
  </conditionalFormatting>
  <conditionalFormatting sqref="J280">
    <cfRule type="expression" dxfId="263" priority="161">
      <formula>I280="ja"</formula>
    </cfRule>
  </conditionalFormatting>
  <conditionalFormatting sqref="K280">
    <cfRule type="expression" dxfId="262" priority="160">
      <formula>I280="ja"</formula>
    </cfRule>
  </conditionalFormatting>
  <conditionalFormatting sqref="J282">
    <cfRule type="expression" dxfId="261" priority="159">
      <formula>I282="ja"</formula>
    </cfRule>
  </conditionalFormatting>
  <conditionalFormatting sqref="K282">
    <cfRule type="expression" dxfId="260" priority="158">
      <formula>I282="ja"</formula>
    </cfRule>
  </conditionalFormatting>
  <conditionalFormatting sqref="J306">
    <cfRule type="expression" dxfId="259" priority="156">
      <formula>I306="ja"</formula>
    </cfRule>
  </conditionalFormatting>
  <conditionalFormatting sqref="K306">
    <cfRule type="expression" dxfId="258" priority="155">
      <formula>I306="ja"</formula>
    </cfRule>
  </conditionalFormatting>
  <conditionalFormatting sqref="J310">
    <cfRule type="expression" dxfId="257" priority="149">
      <formula>I310="ja"</formula>
    </cfRule>
  </conditionalFormatting>
  <conditionalFormatting sqref="K310">
    <cfRule type="expression" dxfId="256" priority="148">
      <formula>I310="ja"</formula>
    </cfRule>
  </conditionalFormatting>
  <conditionalFormatting sqref="J312">
    <cfRule type="expression" dxfId="255" priority="147">
      <formula>I312="ja"</formula>
    </cfRule>
  </conditionalFormatting>
  <conditionalFormatting sqref="K312">
    <cfRule type="expression" dxfId="254" priority="146">
      <formula>I312="ja"</formula>
    </cfRule>
  </conditionalFormatting>
  <conditionalFormatting sqref="J314">
    <cfRule type="expression" dxfId="253" priority="144">
      <formula>I314="ja"</formula>
    </cfRule>
  </conditionalFormatting>
  <conditionalFormatting sqref="K314">
    <cfRule type="expression" dxfId="252" priority="143">
      <formula>I314="ja"</formula>
    </cfRule>
  </conditionalFormatting>
  <conditionalFormatting sqref="J316:J317">
    <cfRule type="expression" dxfId="251" priority="142">
      <formula>I316="ja"</formula>
    </cfRule>
  </conditionalFormatting>
  <conditionalFormatting sqref="K316:K317">
    <cfRule type="expression" dxfId="250" priority="141">
      <formula>I316="ja"</formula>
    </cfRule>
  </conditionalFormatting>
  <conditionalFormatting sqref="J330">
    <cfRule type="expression" dxfId="249" priority="139">
      <formula>I330="ja"</formula>
    </cfRule>
  </conditionalFormatting>
  <conditionalFormatting sqref="K330">
    <cfRule type="expression" dxfId="248" priority="138">
      <formula>I330="ja"</formula>
    </cfRule>
  </conditionalFormatting>
  <conditionalFormatting sqref="J320">
    <cfRule type="expression" dxfId="247" priority="133">
      <formula>I320="ja"</formula>
    </cfRule>
  </conditionalFormatting>
  <conditionalFormatting sqref="K320">
    <cfRule type="expression" dxfId="246" priority="132">
      <formula>I320="ja"</formula>
    </cfRule>
  </conditionalFormatting>
  <conditionalFormatting sqref="J322">
    <cfRule type="expression" dxfId="245" priority="128">
      <formula>I322="ja"</formula>
    </cfRule>
  </conditionalFormatting>
  <conditionalFormatting sqref="K322">
    <cfRule type="expression" dxfId="244" priority="127">
      <formula>I322="ja"</formula>
    </cfRule>
  </conditionalFormatting>
  <conditionalFormatting sqref="J326">
    <cfRule type="expression" dxfId="243" priority="123">
      <formula>I326="ja"</formula>
    </cfRule>
  </conditionalFormatting>
  <conditionalFormatting sqref="K326">
    <cfRule type="expression" dxfId="242" priority="122">
      <formula>I326="ja"</formula>
    </cfRule>
  </conditionalFormatting>
  <conditionalFormatting sqref="J328">
    <cfRule type="expression" dxfId="241" priority="121">
      <formula>I328="ja"</formula>
    </cfRule>
  </conditionalFormatting>
  <conditionalFormatting sqref="K328">
    <cfRule type="expression" dxfId="240" priority="120">
      <formula>I328="ja"</formula>
    </cfRule>
  </conditionalFormatting>
  <conditionalFormatting sqref="J262">
    <cfRule type="expression" dxfId="239" priority="118">
      <formula>I262="ja"</formula>
    </cfRule>
  </conditionalFormatting>
  <conditionalFormatting sqref="K262">
    <cfRule type="expression" dxfId="238" priority="117">
      <formula>I262="ja"</formula>
    </cfRule>
  </conditionalFormatting>
  <conditionalFormatting sqref="J264">
    <cfRule type="expression" dxfId="237" priority="115">
      <formula>I264="ja"</formula>
    </cfRule>
  </conditionalFormatting>
  <conditionalFormatting sqref="K264">
    <cfRule type="expression" dxfId="236" priority="114">
      <formula>I264="ja"</formula>
    </cfRule>
  </conditionalFormatting>
  <conditionalFormatting sqref="M345:M347">
    <cfRule type="expression" dxfId="235" priority="109">
      <formula>M345="JA"</formula>
    </cfRule>
  </conditionalFormatting>
  <conditionalFormatting sqref="J336:J337">
    <cfRule type="expression" dxfId="234" priority="96">
      <formula>I336="ja"</formula>
    </cfRule>
  </conditionalFormatting>
  <conditionalFormatting sqref="K336:K337">
    <cfRule type="expression" dxfId="233" priority="95">
      <formula>I336="ja"</formula>
    </cfRule>
  </conditionalFormatting>
  <conditionalFormatting sqref="J339:J340">
    <cfRule type="expression" dxfId="232" priority="94">
      <formula>I339="ja"</formula>
    </cfRule>
  </conditionalFormatting>
  <conditionalFormatting sqref="K339:K340">
    <cfRule type="expression" dxfId="231" priority="93">
      <formula>I339="ja"</formula>
    </cfRule>
  </conditionalFormatting>
  <conditionalFormatting sqref="J342:J343">
    <cfRule type="expression" dxfId="230" priority="92">
      <formula>I342="ja"</formula>
    </cfRule>
  </conditionalFormatting>
  <conditionalFormatting sqref="K342:K343">
    <cfRule type="expression" dxfId="229" priority="91">
      <formula>I342="ja"</formula>
    </cfRule>
  </conditionalFormatting>
  <conditionalFormatting sqref="J345:J347">
    <cfRule type="expression" dxfId="228" priority="90">
      <formula>I345="ja"</formula>
    </cfRule>
  </conditionalFormatting>
  <conditionalFormatting sqref="K345:K347">
    <cfRule type="expression" dxfId="227" priority="89">
      <formula>I345="ja"</formula>
    </cfRule>
  </conditionalFormatting>
  <conditionalFormatting sqref="J349">
    <cfRule type="expression" dxfId="226" priority="88">
      <formula>I349="ja"</formula>
    </cfRule>
  </conditionalFormatting>
  <conditionalFormatting sqref="K349">
    <cfRule type="expression" dxfId="225" priority="87">
      <formula>I349="ja"</formula>
    </cfRule>
  </conditionalFormatting>
  <conditionalFormatting sqref="M149">
    <cfRule type="expression" dxfId="224" priority="43">
      <formula>M149="JA"</formula>
    </cfRule>
  </conditionalFormatting>
  <conditionalFormatting sqref="M200:M201">
    <cfRule type="expression" dxfId="223" priority="39">
      <formula>M200="JA"</formula>
    </cfRule>
  </conditionalFormatting>
  <conditionalFormatting sqref="M207:M208">
    <cfRule type="expression" dxfId="222" priority="36">
      <formula>M207="JA"</formula>
    </cfRule>
  </conditionalFormatting>
  <conditionalFormatting sqref="M220:M221">
    <cfRule type="expression" dxfId="221" priority="34">
      <formula>M220="JA"</formula>
    </cfRule>
  </conditionalFormatting>
  <conditionalFormatting sqref="M246:M247">
    <cfRule type="expression" dxfId="220" priority="31">
      <formula>M246="JA"</formula>
    </cfRule>
  </conditionalFormatting>
  <conditionalFormatting sqref="M292:M293">
    <cfRule type="expression" dxfId="219" priority="23">
      <formula>M292="JA"</formula>
    </cfRule>
  </conditionalFormatting>
  <conditionalFormatting sqref="M336:M337">
    <cfRule type="expression" dxfId="218" priority="22">
      <formula>M336="JA"</formula>
    </cfRule>
  </conditionalFormatting>
  <conditionalFormatting sqref="M339:M340">
    <cfRule type="expression" dxfId="217" priority="21">
      <formula>M339="JA"</formula>
    </cfRule>
  </conditionalFormatting>
  <conditionalFormatting sqref="M342:M343">
    <cfRule type="expression" dxfId="216" priority="20">
      <formula>M342="JA"</formula>
    </cfRule>
  </conditionalFormatting>
  <conditionalFormatting sqref="M74 M76 M78 M80 M82 M84 M86 M88 M90 M92 M94 M96 M98 M100 M102 M104 M106 M108 M110 M112 M114">
    <cfRule type="expression" dxfId="215" priority="18">
      <formula>M74="JA"</formula>
    </cfRule>
  </conditionalFormatting>
  <conditionalFormatting sqref="M137 M139 M141 M143">
    <cfRule type="expression" dxfId="214" priority="17">
      <formula>M137="JA"</formula>
    </cfRule>
  </conditionalFormatting>
  <conditionalFormatting sqref="M152 M154 M156 M158 M160 M162">
    <cfRule type="expression" dxfId="213" priority="16">
      <formula>M152="JA"</formula>
    </cfRule>
  </conditionalFormatting>
  <conditionalFormatting sqref="M172 M174 M176 M178 M180">
    <cfRule type="expression" dxfId="212" priority="15">
      <formula>M172="JA"</formula>
    </cfRule>
  </conditionalFormatting>
  <conditionalFormatting sqref="M189 M191 M193">
    <cfRule type="expression" dxfId="211" priority="14">
      <formula>M189="JA"</formula>
    </cfRule>
  </conditionalFormatting>
  <conditionalFormatting sqref="M203">
    <cfRule type="expression" dxfId="210" priority="13">
      <formula>M203="JA"</formula>
    </cfRule>
  </conditionalFormatting>
  <conditionalFormatting sqref="M205">
    <cfRule type="expression" dxfId="209" priority="12">
      <formula>M205="JA"</formula>
    </cfRule>
  </conditionalFormatting>
  <conditionalFormatting sqref="M210 M212 M214 M216 M218">
    <cfRule type="expression" dxfId="208" priority="11">
      <formula>M210="JA"</formula>
    </cfRule>
  </conditionalFormatting>
  <conditionalFormatting sqref="M223 M225 M227 M229 M231">
    <cfRule type="expression" dxfId="207" priority="10">
      <formula>M223="JA"</formula>
    </cfRule>
  </conditionalFormatting>
  <conditionalFormatting sqref="M240 M242 M244">
    <cfRule type="expression" dxfId="206" priority="9">
      <formula>M240="JA"</formula>
    </cfRule>
  </conditionalFormatting>
  <conditionalFormatting sqref="M253">
    <cfRule type="expression" dxfId="205" priority="8">
      <formula>M253="JA"</formula>
    </cfRule>
  </conditionalFormatting>
  <conditionalFormatting sqref="M255">
    <cfRule type="expression" dxfId="204" priority="7">
      <formula>M255="JA"</formula>
    </cfRule>
  </conditionalFormatting>
  <conditionalFormatting sqref="M262 M264 M266 M268 M270 M272 M274 M276 M278 M280 M282 M284 M286 M288 M290">
    <cfRule type="expression" dxfId="203" priority="6">
      <formula>M262="JA"</formula>
    </cfRule>
  </conditionalFormatting>
  <conditionalFormatting sqref="M295">
    <cfRule type="expression" dxfId="202" priority="5">
      <formula>M295="JA"</formula>
    </cfRule>
  </conditionalFormatting>
  <conditionalFormatting sqref="M300 M302 M304 M306 M308 M310 M312 M314 M316 M318 M320 M322 M324 M326 M328 M330">
    <cfRule type="expression" dxfId="201" priority="4">
      <formula>M300="JA"</formula>
    </cfRule>
  </conditionalFormatting>
  <conditionalFormatting sqref="M349">
    <cfRule type="expression" dxfId="200" priority="3">
      <formula>M349="JA"</formula>
    </cfRule>
  </conditionalFormatting>
  <conditionalFormatting sqref="J62">
    <cfRule type="expression" dxfId="199" priority="2">
      <formula>I62="ja"</formula>
    </cfRule>
  </conditionalFormatting>
  <conditionalFormatting sqref="K62">
    <cfRule type="expression" dxfId="198" priority="1">
      <formula>I62="ja"</formula>
    </cfRule>
  </conditionalFormatting>
  <dataValidations count="4">
    <dataValidation type="list" allowBlank="1" showInputMessage="1" showErrorMessage="1" sqref="I116" xr:uid="{8CFD1084-04FB-4866-8110-FA59E0DEF82F}">
      <formula1>$Y$4:$Y$4</formula1>
    </dataValidation>
    <dataValidation type="list" allowBlank="1" showInputMessage="1" showErrorMessage="1" sqref="L5:L7 L71:L73 L117:L119 L134:L136 L146:L148 L183:L185 L333:L335" xr:uid="{18D9F842-E65A-4457-9F0E-394172633899}">
      <formula1>$T$1:$T$2</formula1>
    </dataValidation>
    <dataValidation type="list" allowBlank="1" showInputMessage="1" showErrorMessage="1" sqref="I345:I347" xr:uid="{1528DF96-0D52-4674-AA06-AC81664C2C9A}">
      <formula1>$N$1:$N$2</formula1>
    </dataValidation>
    <dataValidation type="list" allowBlank="1" showInputMessage="1" showErrorMessage="1" sqref="I8:I69 I74:I115 I137:I144 I168:I181 I120:I132 I149:I163 I186:I331 I336:I344 I349:I350" xr:uid="{69AEE670-5FF3-4E9D-8AD3-EC95FEDD5310}">
      <formula1>$O$1:$O$2</formula1>
    </dataValidation>
  </dataValidations>
  <pageMargins left="0.25" right="0.25" top="0.75" bottom="0.63446969696969702" header="0.3" footer="0.3"/>
  <pageSetup paperSize="9" scale="50" fitToHeight="0" orientation="portrait" r:id="rId1"/>
  <headerFooter>
    <oddFooter>&amp;LVersions-Nr.: 29.08.2016&amp;CDruckdatum: &amp;D&amp;RSeite &amp;P von &amp;N</oddFooter>
  </headerFooter>
  <rowBreaks count="3" manualBreakCount="3">
    <brk id="105" max="16383" man="1"/>
    <brk id="211" max="16383" man="1"/>
    <brk id="317" max="16383" man="1"/>
  </rowBreaks>
  <ignoredErrors>
    <ignoredError sqref="L9:L10 L8 L11:L44 L120 L114:L115 L141:L142 L46 L74:L103 L121:L122 L143:L144 L162:L163 L129:L132 L149:L155" unlockedFormula="1"/>
    <ignoredError sqref="Z162:AA164 Z133:AA136 Z141:AA155" evalErro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143E07DE-1586-4806-B9F9-262005F759D7}">
          <x14:formula1>
            <xm:f>'Berechnung - Hochbau'!$B$131:$B$138</xm:f>
          </x14:formula1>
          <xm:sqref>N133 N116 N145 N70 N164</xm:sqref>
        </x14:dataValidation>
        <x14:dataValidation type="list" allowBlank="1" showInputMessage="1" showErrorMessage="1" xr:uid="{32DB7DB9-6E0E-4EB1-9468-B9C0C8AA7095}">
          <x14:formula1>
            <xm:f>'Berechnung - Hochbau'!$B$131:$B$139</xm:f>
          </x14:formula1>
          <xm:sqref>O116</xm:sqref>
        </x14:dataValidation>
        <x14:dataValidation type="list" allowBlank="1" showInputMessage="1" showErrorMessage="1" xr:uid="{A8737DEA-3849-4BBC-95B8-3D3DAF8E6227}">
          <x14:formula1>
            <xm:f>'Berechnung - Hochbau'!$B$131:$B$140</xm:f>
          </x14:formula1>
          <xm:sqref>N8:N69 N74:N115 N120:N132 N137:N144 N149:N163 N168:N181 N186:N331 N336:N350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F37DA-E28A-4BC4-BC8A-5BBBCF074E50}">
  <sheetPr>
    <tabColor rgb="FF00B0F0"/>
  </sheetPr>
  <dimension ref="A1:XFD594"/>
  <sheetViews>
    <sheetView workbookViewId="0"/>
  </sheetViews>
  <sheetFormatPr baseColWidth="10" defaultColWidth="11.44140625" defaultRowHeight="13.9" x14ac:dyDescent="0.25"/>
  <cols>
    <col min="1" max="1" width="10.21875" style="1" customWidth="1"/>
    <col min="2" max="2" width="6.77734375" style="1" bestFit="1" customWidth="1"/>
    <col min="3" max="3" width="19.77734375" style="1" customWidth="1"/>
    <col min="4" max="5" width="15.77734375" style="1" customWidth="1"/>
    <col min="6" max="6" width="11.44140625" style="1" customWidth="1"/>
    <col min="7" max="7" width="17" style="1" customWidth="1"/>
    <col min="8" max="8" width="15.77734375" style="1" customWidth="1"/>
    <col min="9" max="9" width="11.44140625" style="1" customWidth="1"/>
    <col min="10" max="11" width="15.77734375" style="1" customWidth="1"/>
    <col min="12" max="12" width="10.5546875" style="1" bestFit="1" customWidth="1"/>
    <col min="13" max="14" width="15.77734375" style="1" customWidth="1"/>
    <col min="15" max="15" width="10.5546875" style="1" bestFit="1" customWidth="1"/>
    <col min="16" max="16" width="10.5546875" style="1" customWidth="1"/>
    <col min="17" max="17" width="12.21875" style="1" customWidth="1"/>
    <col min="18" max="19" width="10.5546875" style="1" customWidth="1"/>
    <col min="20" max="21" width="15.77734375" style="1" customWidth="1"/>
    <col min="22" max="22" width="16.44140625" style="1" bestFit="1" customWidth="1"/>
    <col min="23" max="23" width="11.44140625" style="1"/>
    <col min="24" max="24" width="49" style="1" bestFit="1" customWidth="1"/>
    <col min="25" max="25" width="27.44140625" style="1" bestFit="1" customWidth="1"/>
    <col min="26" max="26" width="98.77734375" style="1" customWidth="1"/>
    <col min="27" max="16384" width="11.44140625" style="1"/>
  </cols>
  <sheetData>
    <row r="1" spans="2:26" ht="15" customHeight="1" x14ac:dyDescent="0.25">
      <c r="B1" s="2159" t="s">
        <v>821</v>
      </c>
      <c r="C1" s="2160"/>
      <c r="E1" s="2159" t="s">
        <v>822</v>
      </c>
      <c r="F1" s="2160"/>
      <c r="H1" s="2159" t="s">
        <v>823</v>
      </c>
      <c r="I1" s="2160"/>
      <c r="K1" s="2159" t="s">
        <v>824</v>
      </c>
      <c r="L1" s="2160"/>
      <c r="N1" s="2159" t="s">
        <v>824</v>
      </c>
      <c r="O1" s="2160"/>
      <c r="P1" s="402"/>
      <c r="Q1" s="2139" t="s">
        <v>825</v>
      </c>
      <c r="R1" s="2140"/>
      <c r="S1" s="402"/>
      <c r="T1" s="2139" t="s">
        <v>826</v>
      </c>
      <c r="U1" s="2140"/>
    </row>
    <row r="2" spans="2:26" ht="15" customHeight="1" x14ac:dyDescent="0.25">
      <c r="B2" s="2161"/>
      <c r="C2" s="2162"/>
      <c r="E2" s="2161"/>
      <c r="F2" s="2162"/>
      <c r="H2" s="2161"/>
      <c r="I2" s="2162"/>
      <c r="K2" s="2161"/>
      <c r="L2" s="2162"/>
      <c r="N2" s="2161"/>
      <c r="O2" s="2162"/>
      <c r="P2" s="402"/>
      <c r="Q2" s="2141"/>
      <c r="R2" s="2142"/>
      <c r="S2" s="402"/>
      <c r="T2" s="2141"/>
      <c r="U2" s="2142"/>
    </row>
    <row r="3" spans="2:26" ht="15" customHeight="1" x14ac:dyDescent="0.25">
      <c r="B3" s="2161"/>
      <c r="C3" s="2162"/>
      <c r="E3" s="2161"/>
      <c r="F3" s="2162"/>
      <c r="H3" s="2161"/>
      <c r="I3" s="2162"/>
      <c r="K3" s="2161"/>
      <c r="L3" s="2162"/>
      <c r="M3" s="109"/>
      <c r="N3" s="2161"/>
      <c r="O3" s="2162"/>
      <c r="P3" s="402"/>
      <c r="Q3" s="2141"/>
      <c r="R3" s="2142"/>
      <c r="S3" s="402"/>
      <c r="T3" s="2141"/>
      <c r="U3" s="2142"/>
    </row>
    <row r="4" spans="2:26" ht="15" customHeight="1" x14ac:dyDescent="0.25">
      <c r="B4" s="2161"/>
      <c r="C4" s="2162"/>
      <c r="E4" s="2161"/>
      <c r="F4" s="2162"/>
      <c r="H4" s="2161"/>
      <c r="I4" s="2162"/>
      <c r="K4" s="2161"/>
      <c r="L4" s="2162"/>
      <c r="M4" s="109"/>
      <c r="N4" s="2161"/>
      <c r="O4" s="2162"/>
      <c r="P4" s="402"/>
      <c r="Q4" s="2141"/>
      <c r="R4" s="2142"/>
      <c r="S4" s="402"/>
      <c r="T4" s="2141"/>
      <c r="U4" s="2142"/>
    </row>
    <row r="5" spans="2:26" ht="15.95" customHeight="1" x14ac:dyDescent="0.25">
      <c r="B5" s="2161"/>
      <c r="C5" s="2162"/>
      <c r="E5" s="2161"/>
      <c r="F5" s="2162"/>
      <c r="H5" s="2161"/>
      <c r="I5" s="2162"/>
      <c r="K5" s="2161"/>
      <c r="L5" s="2162"/>
      <c r="M5" s="83"/>
      <c r="N5" s="2161"/>
      <c r="O5" s="2162"/>
      <c r="P5" s="402"/>
      <c r="Q5" s="2141"/>
      <c r="R5" s="2142"/>
      <c r="S5" s="402"/>
      <c r="T5" s="2141"/>
      <c r="U5" s="2142"/>
      <c r="X5" s="9"/>
      <c r="Y5" s="9"/>
      <c r="Z5" s="9"/>
    </row>
    <row r="6" spans="2:26" ht="15.2" thickBot="1" x14ac:dyDescent="0.35">
      <c r="B6" s="2163" t="s">
        <v>346</v>
      </c>
      <c r="C6" s="2007"/>
      <c r="E6" s="2163" t="s">
        <v>346</v>
      </c>
      <c r="F6" s="2007"/>
      <c r="H6" s="2155" t="s">
        <v>346</v>
      </c>
      <c r="I6" s="2156"/>
      <c r="K6" s="2155" t="s">
        <v>346</v>
      </c>
      <c r="L6" s="2156"/>
      <c r="M6" s="83"/>
      <c r="N6" s="2155" t="s">
        <v>346</v>
      </c>
      <c r="O6" s="2156"/>
      <c r="P6" s="83"/>
      <c r="Q6" s="2155" t="s">
        <v>346</v>
      </c>
      <c r="R6" s="2156"/>
      <c r="S6" s="83"/>
      <c r="T6" s="2155" t="s">
        <v>346</v>
      </c>
      <c r="U6" s="2156"/>
      <c r="X6"/>
      <c r="Y6"/>
      <c r="Z6"/>
    </row>
    <row r="7" spans="2:26" ht="14.55" x14ac:dyDescent="0.3">
      <c r="B7" s="2133">
        <f>IF('weitere Besondere Leistungen'!M8="ja",'weitere Besondere Leistungen'!L8,0)</f>
        <v>0</v>
      </c>
      <c r="C7" s="2134"/>
      <c r="E7" s="2137">
        <f>IF('weitere Besondere Leistungen'!M74="ja",'weitere Besondere Leistungen'!L74,0)</f>
        <v>0</v>
      </c>
      <c r="F7" s="2138"/>
      <c r="H7" s="2157">
        <f>IF('weitere Besondere Leistungen'!M120="ja",'weitere Besondere Leistungen'!L120,0)</f>
        <v>0</v>
      </c>
      <c r="I7" s="2158"/>
      <c r="J7" s="249"/>
      <c r="K7" s="2157">
        <f>IF('weitere Besondere Leistungen'!M137="ja",'weitere Besondere Leistungen'!L137,0)</f>
        <v>0</v>
      </c>
      <c r="L7" s="2158"/>
      <c r="M7" s="250"/>
      <c r="N7" s="2157">
        <f>IF('weitere Besondere Leistungen'!M149="ja",'weitere Besondere Leistungen'!L149,0)</f>
        <v>0</v>
      </c>
      <c r="O7" s="2158"/>
      <c r="P7" s="250"/>
      <c r="Q7" s="2157">
        <f>IF('weitere Besondere Leistungen'!M168="ja",'weitere Besondere Leistungen'!L168,0)</f>
        <v>0</v>
      </c>
      <c r="R7" s="2158"/>
      <c r="S7" s="250"/>
      <c r="T7" s="2171">
        <f>IF('weitere Besondere Leistungen'!M186="ja",'weitere Besondere Leistungen'!L186,0)</f>
        <v>0</v>
      </c>
      <c r="U7" s="2172"/>
      <c r="X7" s="14"/>
      <c r="Y7" s="13"/>
      <c r="Z7" s="15"/>
    </row>
    <row r="8" spans="2:26" ht="14.55" x14ac:dyDescent="0.3">
      <c r="B8" s="2133">
        <f>IF('weitere Besondere Leistungen'!M10="ja",'weitere Besondere Leistungen'!L10,0)</f>
        <v>0</v>
      </c>
      <c r="C8" s="2134"/>
      <c r="E8" s="2137">
        <f>IF('weitere Besondere Leistungen'!M76="ja",'weitere Besondere Leistungen'!L76,0)</f>
        <v>0</v>
      </c>
      <c r="F8" s="2138"/>
      <c r="H8" s="2133">
        <f>IF('weitere Besondere Leistungen'!M123="ja",'weitere Besondere Leistungen'!L123,0)</f>
        <v>0</v>
      </c>
      <c r="I8" s="2134"/>
      <c r="J8" s="249"/>
      <c r="K8" s="2133">
        <f>IF('weitere Besondere Leistungen'!M139="ja",'weitere Besondere Leistungen'!L139,0)</f>
        <v>0</v>
      </c>
      <c r="L8" s="2134"/>
      <c r="M8" s="250"/>
      <c r="N8" s="2133">
        <f>IF('weitere Besondere Leistungen'!M152="ja",'weitere Besondere Leistungen'!L152,0)</f>
        <v>0</v>
      </c>
      <c r="O8" s="2134"/>
      <c r="P8" s="250"/>
      <c r="Q8" s="2133">
        <f>IF('weitere Besondere Leistungen'!M172="ja",'weitere Besondere Leistungen'!L172,0)</f>
        <v>0</v>
      </c>
      <c r="R8" s="2134"/>
      <c r="S8" s="250"/>
      <c r="T8" s="2169">
        <f>IF('weitere Besondere Leistungen'!M189="ja",'weitere Besondere Leistungen'!L189,0)</f>
        <v>0</v>
      </c>
      <c r="U8" s="2170"/>
      <c r="X8" s="14"/>
      <c r="Y8" s="13"/>
      <c r="Z8" s="15"/>
    </row>
    <row r="9" spans="2:26" ht="14.55" x14ac:dyDescent="0.3">
      <c r="B9" s="2133">
        <f>IF('weitere Besondere Leistungen'!M12="ja",'weitere Besondere Leistungen'!L12,0)</f>
        <v>0</v>
      </c>
      <c r="C9" s="2134"/>
      <c r="E9" s="2137">
        <f>IF('weitere Besondere Leistungen'!M78="ja",'weitere Besondere Leistungen'!L78,0)</f>
        <v>0</v>
      </c>
      <c r="F9" s="2138"/>
      <c r="H9" s="2133">
        <f>IF('weitere Besondere Leistungen'!M125="ja",'weitere Besondere Leistungen'!L125,0)</f>
        <v>0</v>
      </c>
      <c r="I9" s="2134"/>
      <c r="J9" s="249"/>
      <c r="K9" s="2133">
        <f>IF('weitere Besondere Leistungen'!M141="ja",'weitere Besondere Leistungen'!L141,0)</f>
        <v>0</v>
      </c>
      <c r="L9" s="2134"/>
      <c r="M9" s="250"/>
      <c r="N9" s="2133">
        <f>IF('weitere Besondere Leistungen'!M154="ja",'weitere Besondere Leistungen'!L154,0)</f>
        <v>0</v>
      </c>
      <c r="O9" s="2134"/>
      <c r="P9" s="250"/>
      <c r="Q9" s="2133">
        <f>IF('weitere Besondere Leistungen'!M174="ja",'weitere Besondere Leistungen'!L174,0)</f>
        <v>0</v>
      </c>
      <c r="R9" s="2134"/>
      <c r="S9" s="250"/>
      <c r="T9" s="2169">
        <f>IF('weitere Besondere Leistungen'!M191="ja",'weitere Besondere Leistungen'!L191,0)</f>
        <v>0</v>
      </c>
      <c r="U9" s="2170"/>
      <c r="X9" s="14"/>
      <c r="Y9" s="13"/>
      <c r="Z9" s="15"/>
    </row>
    <row r="10" spans="2:26" ht="15.2" thickBot="1" x14ac:dyDescent="0.35">
      <c r="B10" s="2133">
        <f>IF('weitere Besondere Leistungen'!M14="ja",'weitere Besondere Leistungen'!L14,0)</f>
        <v>0</v>
      </c>
      <c r="C10" s="2134"/>
      <c r="E10" s="2137">
        <f>IF('weitere Besondere Leistungen'!M80="ja",'weitere Besondere Leistungen'!L80,0)</f>
        <v>0</v>
      </c>
      <c r="F10" s="2138"/>
      <c r="H10" s="2133">
        <f>IF('weitere Besondere Leistungen'!M127="ja",'weitere Besondere Leistungen'!L127,0)</f>
        <v>0</v>
      </c>
      <c r="I10" s="2134"/>
      <c r="J10" s="249"/>
      <c r="K10" s="2135">
        <f>IF('weitere Besondere Leistungen'!M143="ja",'weitere Besondere Leistungen'!L143,0)</f>
        <v>0</v>
      </c>
      <c r="L10" s="2136"/>
      <c r="M10" s="250"/>
      <c r="N10" s="2133">
        <f>IF('weitere Besondere Leistungen'!M156="ja",'weitere Besondere Leistungen'!L156,0)</f>
        <v>0</v>
      </c>
      <c r="O10" s="2134"/>
      <c r="P10" s="250"/>
      <c r="Q10" s="2133">
        <f>IF('weitere Besondere Leistungen'!M176="ja",'weitere Besondere Leistungen'!L176,0)</f>
        <v>0</v>
      </c>
      <c r="R10" s="2134"/>
      <c r="S10" s="250"/>
      <c r="T10" s="2169">
        <f>IF('weitere Besondere Leistungen'!M193="ja",'weitere Besondere Leistungen'!L193,0)</f>
        <v>0</v>
      </c>
      <c r="U10" s="2170"/>
      <c r="X10" s="14"/>
      <c r="Y10" s="13"/>
      <c r="Z10" s="15"/>
    </row>
    <row r="11" spans="2:26" ht="14.55" x14ac:dyDescent="0.3">
      <c r="B11" s="2133">
        <f>IF('weitere Besondere Leistungen'!M16="ja",'weitere Besondere Leistungen'!L16,0)</f>
        <v>0</v>
      </c>
      <c r="C11" s="2134"/>
      <c r="E11" s="2137">
        <f>IF('weitere Besondere Leistungen'!M82="ja",'weitere Besondere Leistungen'!L82,0)</f>
        <v>0</v>
      </c>
      <c r="F11" s="2138"/>
      <c r="H11" s="2133">
        <f>IF('weitere Besondere Leistungen'!M129="ja",'weitere Besondere Leistungen'!L129,0)</f>
        <v>0</v>
      </c>
      <c r="I11" s="2134"/>
      <c r="L11" s="83"/>
      <c r="M11" s="83"/>
      <c r="N11" s="2133">
        <f>IF('weitere Besondere Leistungen'!M158="ja",'weitere Besondere Leistungen'!L158,0)</f>
        <v>0</v>
      </c>
      <c r="O11" s="2134"/>
      <c r="Q11" s="2133">
        <f>IF('weitere Besondere Leistungen'!M178="ja",'weitere Besondere Leistungen'!L178,0)</f>
        <v>0</v>
      </c>
      <c r="R11" s="2134"/>
      <c r="S11" s="250"/>
      <c r="T11" s="2169">
        <f>IF('weitere Besondere Leistungen'!M195="ja",'weitere Besondere Leistungen'!L195,0)</f>
        <v>0</v>
      </c>
      <c r="U11" s="2170"/>
      <c r="X11" s="14"/>
      <c r="Y11" s="13"/>
      <c r="Z11" s="15"/>
    </row>
    <row r="12" spans="2:26" ht="15.2" thickBot="1" x14ac:dyDescent="0.35">
      <c r="B12" s="2133">
        <f>IF('weitere Besondere Leistungen'!M18="ja",'weitere Besondere Leistungen'!L18,0)</f>
        <v>0</v>
      </c>
      <c r="C12" s="2134"/>
      <c r="E12" s="2137">
        <f>IF('weitere Besondere Leistungen'!M84="ja",'weitere Besondere Leistungen'!L84,0)</f>
        <v>0</v>
      </c>
      <c r="F12" s="2138"/>
      <c r="H12" s="2135">
        <f>IF('weitere Besondere Leistungen'!M131="ja",'weitere Besondere Leistungen'!L131,0)</f>
        <v>0</v>
      </c>
      <c r="I12" s="2136"/>
      <c r="L12" s="83"/>
      <c r="M12" s="83"/>
      <c r="N12" s="2133">
        <f>IF('weitere Besondere Leistungen'!M160="ja",'weitere Besondere Leistungen'!L160,0)</f>
        <v>0</v>
      </c>
      <c r="O12" s="2134"/>
      <c r="Q12" s="2135">
        <f>IF('weitere Besondere Leistungen'!M180="ja",'weitere Besondere Leistungen'!L180,0)</f>
        <v>0</v>
      </c>
      <c r="R12" s="2136"/>
      <c r="S12" s="250"/>
      <c r="T12" s="2169">
        <f>IF('weitere Besondere Leistungen'!M200="ja",'weitere Besondere Leistungen'!L200,0)</f>
        <v>0</v>
      </c>
      <c r="U12" s="2170"/>
      <c r="X12" s="14"/>
      <c r="Y12" s="13"/>
      <c r="Z12" s="15"/>
    </row>
    <row r="13" spans="2:26" ht="15.2" thickBot="1" x14ac:dyDescent="0.35">
      <c r="B13" s="2133">
        <f>IF('weitere Besondere Leistungen'!M20="ja",'weitere Besondere Leistungen'!L20,0)</f>
        <v>0</v>
      </c>
      <c r="C13" s="2134"/>
      <c r="E13" s="2137">
        <f>IF('weitere Besondere Leistungen'!M86="ja",'weitere Besondere Leistungen'!L86,0)</f>
        <v>0</v>
      </c>
      <c r="F13" s="2138"/>
      <c r="H13" s="2168"/>
      <c r="I13" s="2168"/>
      <c r="L13" s="83"/>
      <c r="M13" s="83"/>
      <c r="N13" s="2135">
        <f>IF('weitere Besondere Leistungen'!M162="ja",'weitere Besondere Leistungen'!L162,0)</f>
        <v>0</v>
      </c>
      <c r="O13" s="2136"/>
      <c r="S13" s="250"/>
      <c r="T13" s="2169">
        <f>IF('weitere Besondere Leistungen'!M203="ja",'weitere Besondere Leistungen'!L203,0)</f>
        <v>0</v>
      </c>
      <c r="U13" s="2170"/>
      <c r="X13" s="14"/>
      <c r="Y13" s="13"/>
      <c r="Z13" s="15"/>
    </row>
    <row r="14" spans="2:26" ht="14.55" x14ac:dyDescent="0.3">
      <c r="B14" s="2133">
        <f>IF('weitere Besondere Leistungen'!M22="ja",'weitere Besondere Leistungen'!L22,0)</f>
        <v>0</v>
      </c>
      <c r="C14" s="2134"/>
      <c r="E14" s="2137">
        <f>IF('weitere Besondere Leistungen'!M88="ja",'weitere Besondere Leistungen'!L88,0)</f>
        <v>0</v>
      </c>
      <c r="F14" s="2138"/>
      <c r="L14" s="83"/>
      <c r="M14" s="83"/>
      <c r="S14" s="250"/>
      <c r="T14" s="2169">
        <f>IF('weitere Besondere Leistungen'!M205="ja",'weitere Besondere Leistungen'!L205,0)</f>
        <v>0</v>
      </c>
      <c r="U14" s="2170"/>
      <c r="X14" s="14"/>
      <c r="Y14" s="13"/>
      <c r="Z14" s="15"/>
    </row>
    <row r="15" spans="2:26" ht="14.55" x14ac:dyDescent="0.3">
      <c r="B15" s="2133">
        <f>IF('weitere Besondere Leistungen'!M24="ja",'weitere Besondere Leistungen'!L24,0)</f>
        <v>0</v>
      </c>
      <c r="C15" s="2134"/>
      <c r="E15" s="2137">
        <f>IF('weitere Besondere Leistungen'!M90="ja",'weitere Besondere Leistungen'!L90,0)</f>
        <v>0</v>
      </c>
      <c r="F15" s="2138"/>
      <c r="L15" s="83"/>
      <c r="M15" s="83"/>
      <c r="S15" s="250"/>
      <c r="T15" s="2169">
        <f>IF('weitere Besondere Leistungen'!M207="ja",'weitere Besondere Leistungen'!L207,0)</f>
        <v>0</v>
      </c>
      <c r="U15" s="2170"/>
      <c r="X15" s="14"/>
      <c r="Y15" s="13"/>
      <c r="Z15" s="15"/>
    </row>
    <row r="16" spans="2:26" ht="14.55" x14ac:dyDescent="0.3">
      <c r="B16" s="2133">
        <f>IF('weitere Besondere Leistungen'!M26="ja",'weitere Besondere Leistungen'!L26,0)</f>
        <v>0</v>
      </c>
      <c r="C16" s="2134"/>
      <c r="E16" s="2137">
        <f>IF('weitere Besondere Leistungen'!M92="ja",'weitere Besondere Leistungen'!L92,0)</f>
        <v>0</v>
      </c>
      <c r="F16" s="2138"/>
      <c r="L16" s="83"/>
      <c r="M16" s="83"/>
      <c r="S16" s="250"/>
      <c r="T16" s="2169">
        <f>IF('weitere Besondere Leistungen'!M210="ja",'weitere Besondere Leistungen'!L210,0)</f>
        <v>0</v>
      </c>
      <c r="U16" s="2170"/>
      <c r="X16" s="14"/>
      <c r="Y16" s="13"/>
      <c r="Z16" s="15"/>
    </row>
    <row r="17" spans="2:26" ht="14.55" x14ac:dyDescent="0.3">
      <c r="B17" s="2133">
        <f>IF('weitere Besondere Leistungen'!M28="ja",'weitere Besondere Leistungen'!L28,0)</f>
        <v>0</v>
      </c>
      <c r="C17" s="2134"/>
      <c r="E17" s="2137">
        <f>IF('weitere Besondere Leistungen'!M94="ja",'weitere Besondere Leistungen'!L94,0)</f>
        <v>0</v>
      </c>
      <c r="F17" s="2138"/>
      <c r="L17" s="83"/>
      <c r="M17" s="83"/>
      <c r="S17" s="250"/>
      <c r="T17" s="2169">
        <f>IF('weitere Besondere Leistungen'!M212="ja",'weitere Besondere Leistungen'!L212,0)</f>
        <v>0</v>
      </c>
      <c r="U17" s="2170"/>
      <c r="X17" s="14"/>
      <c r="Y17" s="13"/>
      <c r="Z17" s="15"/>
    </row>
    <row r="18" spans="2:26" ht="14.55" x14ac:dyDescent="0.3">
      <c r="B18" s="2133">
        <f>IF('weitere Besondere Leistungen'!M30="ja",'weitere Besondere Leistungen'!L30,0)</f>
        <v>0</v>
      </c>
      <c r="C18" s="2134"/>
      <c r="E18" s="2137">
        <f>IF('weitere Besondere Leistungen'!M96="ja",'weitere Besondere Leistungen'!L96,0)</f>
        <v>0</v>
      </c>
      <c r="F18" s="2138"/>
      <c r="L18" s="83"/>
      <c r="M18" s="83"/>
      <c r="S18" s="250"/>
      <c r="T18" s="2169">
        <f>IF('weitere Besondere Leistungen'!M214="ja",'weitere Besondere Leistungen'!L214,0)</f>
        <v>0</v>
      </c>
      <c r="U18" s="2170"/>
      <c r="X18" s="14"/>
      <c r="Y18" s="13"/>
      <c r="Z18" s="15"/>
    </row>
    <row r="19" spans="2:26" ht="14.55" x14ac:dyDescent="0.3">
      <c r="B19" s="2133">
        <f>IF('weitere Besondere Leistungen'!M32="ja",'weitere Besondere Leistungen'!L32,0)</f>
        <v>0</v>
      </c>
      <c r="C19" s="2134"/>
      <c r="D19" s="224"/>
      <c r="E19" s="2137">
        <f>IF('weitere Besondere Leistungen'!M98="ja",'weitere Besondere Leistungen'!L98,0)</f>
        <v>0</v>
      </c>
      <c r="F19" s="2138"/>
      <c r="G19" s="223"/>
      <c r="H19" s="84"/>
      <c r="I19" s="84"/>
      <c r="J19" s="84"/>
      <c r="K19" s="84"/>
      <c r="L19" s="84"/>
      <c r="M19" s="84"/>
      <c r="S19" s="250"/>
      <c r="T19" s="2169">
        <f>IF('weitere Besondere Leistungen'!M216="ja",'weitere Besondere Leistungen'!L216,0)</f>
        <v>0</v>
      </c>
      <c r="U19" s="2170"/>
      <c r="X19" s="14"/>
      <c r="Y19" s="13"/>
      <c r="Z19" s="15"/>
    </row>
    <row r="20" spans="2:26" ht="14.55" x14ac:dyDescent="0.3">
      <c r="B20" s="2133">
        <f>IF('weitere Besondere Leistungen'!M34="ja",'weitere Besondere Leistungen'!L34,0)</f>
        <v>0</v>
      </c>
      <c r="C20" s="2134"/>
      <c r="D20" s="224"/>
      <c r="E20" s="2137">
        <f>IF('weitere Besondere Leistungen'!M100="ja",'weitere Besondere Leistungen'!L100,0)</f>
        <v>0</v>
      </c>
      <c r="F20" s="2138"/>
      <c r="G20" s="223"/>
      <c r="H20" s="84"/>
      <c r="I20" s="84"/>
      <c r="J20" s="84"/>
      <c r="K20" s="84"/>
      <c r="L20" s="84"/>
      <c r="M20" s="84"/>
      <c r="S20" s="250"/>
      <c r="T20" s="2169">
        <f>IF('weitere Besondere Leistungen'!M218="ja",'weitere Besondere Leistungen'!L218,0)</f>
        <v>0</v>
      </c>
      <c r="U20" s="2170"/>
      <c r="X20" s="14"/>
      <c r="Y20" s="13"/>
      <c r="Z20" s="15"/>
    </row>
    <row r="21" spans="2:26" ht="14.55" x14ac:dyDescent="0.3">
      <c r="B21" s="2133">
        <f>IF('weitere Besondere Leistungen'!M36="ja",'weitere Besondere Leistungen'!L36,0)</f>
        <v>0</v>
      </c>
      <c r="C21" s="2134"/>
      <c r="D21" s="224"/>
      <c r="E21" s="2137">
        <f>IF('weitere Besondere Leistungen'!M102="ja",'weitere Besondere Leistungen'!L102,0)</f>
        <v>0</v>
      </c>
      <c r="F21" s="2138"/>
      <c r="G21" s="223"/>
      <c r="H21" s="84"/>
      <c r="I21" s="84"/>
      <c r="J21" s="84"/>
      <c r="K21" s="84"/>
      <c r="L21" s="84"/>
      <c r="M21" s="84"/>
      <c r="S21" s="250"/>
      <c r="T21" s="2169">
        <f>IF('weitere Besondere Leistungen'!M220="ja",'weitere Besondere Leistungen'!L220,0)</f>
        <v>0</v>
      </c>
      <c r="U21" s="2170"/>
      <c r="X21" s="14"/>
      <c r="Y21" s="13"/>
      <c r="Z21" s="15"/>
    </row>
    <row r="22" spans="2:26" ht="14.55" x14ac:dyDescent="0.3">
      <c r="B22" s="2133">
        <f>IF('weitere Besondere Leistungen'!M38="ja",'weitere Besondere Leistungen'!L38,0)</f>
        <v>0</v>
      </c>
      <c r="C22" s="2134"/>
      <c r="E22" s="2137">
        <f>IF('weitere Besondere Leistungen'!M104="ja",'weitere Besondere Leistungen'!L104,0)</f>
        <v>0</v>
      </c>
      <c r="F22" s="2138"/>
      <c r="K22" s="83"/>
      <c r="S22" s="250"/>
      <c r="T22" s="2169">
        <f>IF('weitere Besondere Leistungen'!M223="ja",'weitere Besondere Leistungen'!L223,0)</f>
        <v>0</v>
      </c>
      <c r="U22" s="2170"/>
      <c r="X22" s="14"/>
      <c r="Y22" s="13"/>
      <c r="Z22" s="15"/>
    </row>
    <row r="23" spans="2:26" ht="14.55" x14ac:dyDescent="0.3">
      <c r="B23" s="2133">
        <f>IF('weitere Besondere Leistungen'!M40="ja",'weitere Besondere Leistungen'!L40,0)</f>
        <v>0</v>
      </c>
      <c r="C23" s="2134"/>
      <c r="E23" s="2137">
        <f>IF('weitere Besondere Leistungen'!M106="ja",'weitere Besondere Leistungen'!L106,0)</f>
        <v>0</v>
      </c>
      <c r="F23" s="2138"/>
      <c r="K23" s="83"/>
      <c r="S23" s="250"/>
      <c r="T23" s="2169">
        <f>IF('weitere Besondere Leistungen'!M225="ja",'weitere Besondere Leistungen'!L225,0)</f>
        <v>0</v>
      </c>
      <c r="U23" s="2170"/>
      <c r="X23" s="14"/>
      <c r="Y23" s="13"/>
      <c r="Z23" s="15"/>
    </row>
    <row r="24" spans="2:26" ht="14.55" x14ac:dyDescent="0.3">
      <c r="B24" s="2166">
        <f>IF('weitere Besondere Leistungen'!M42="ja",'weitere Besondere Leistungen'!L42,0)</f>
        <v>0</v>
      </c>
      <c r="C24" s="2167"/>
      <c r="E24" s="2137">
        <f>IF('weitere Besondere Leistungen'!M108="ja",'weitere Besondere Leistungen'!L108,0)</f>
        <v>0</v>
      </c>
      <c r="F24" s="2138"/>
      <c r="K24" s="83"/>
      <c r="S24" s="250"/>
      <c r="T24" s="2169">
        <f>IF('weitere Besondere Leistungen'!M227="ja",'weitere Besondere Leistungen'!L227,0)</f>
        <v>0</v>
      </c>
      <c r="U24" s="2170"/>
      <c r="X24" s="14"/>
      <c r="Y24" s="13"/>
      <c r="Z24" s="15"/>
    </row>
    <row r="25" spans="2:26" ht="14.55" x14ac:dyDescent="0.3">
      <c r="B25" s="2166">
        <f>IF('weitere Besondere Leistungen'!M44="ja",'weitere Besondere Leistungen'!L44,0)</f>
        <v>0</v>
      </c>
      <c r="C25" s="2167"/>
      <c r="E25" s="2137">
        <f>IF('weitere Besondere Leistungen'!M110="ja",'weitere Besondere Leistungen'!L110,0)</f>
        <v>0</v>
      </c>
      <c r="F25" s="2138"/>
      <c r="K25" s="83"/>
      <c r="S25" s="250"/>
      <c r="T25" s="2169">
        <f>IF('weitere Besondere Leistungen'!M229="ja",'weitere Besondere Leistungen'!L229,0)</f>
        <v>0</v>
      </c>
      <c r="U25" s="2170"/>
      <c r="X25" s="14"/>
      <c r="Y25" s="13"/>
      <c r="Z25" s="15"/>
    </row>
    <row r="26" spans="2:26" ht="14.55" x14ac:dyDescent="0.3">
      <c r="B26" s="2166">
        <f>IF('weitere Besondere Leistungen'!M46="ja",'weitere Besondere Leistungen'!L46,0)</f>
        <v>0</v>
      </c>
      <c r="C26" s="2167"/>
      <c r="E26" s="2137">
        <f>IF('weitere Besondere Leistungen'!M112="ja",'weitere Besondere Leistungen'!L112,0)</f>
        <v>0</v>
      </c>
      <c r="F26" s="2138"/>
      <c r="K26" s="83"/>
      <c r="S26" s="250"/>
      <c r="T26" s="2169">
        <f>IF('weitere Besondere Leistungen'!M231="ja",'weitere Besondere Leistungen'!L231,0)</f>
        <v>0</v>
      </c>
      <c r="U26" s="2170"/>
      <c r="X26" s="14"/>
      <c r="Y26" s="13"/>
      <c r="Z26" s="15"/>
    </row>
    <row r="27" spans="2:26" ht="15.2" thickBot="1" x14ac:dyDescent="0.35">
      <c r="B27" s="2166">
        <f>IF('weitere Besondere Leistungen'!M48="ja",'weitere Besondere Leistungen'!L48,0)</f>
        <v>0</v>
      </c>
      <c r="C27" s="2167"/>
      <c r="E27" s="2164">
        <f>IF('weitere Besondere Leistungen'!M114="ja",'weitere Besondere Leistungen'!L114,0)</f>
        <v>0</v>
      </c>
      <c r="F27" s="2165"/>
      <c r="K27" s="83"/>
      <c r="S27" s="250"/>
      <c r="T27" s="2169">
        <f>IF('weitere Besondere Leistungen'!M233="ja",'weitere Besondere Leistungen'!L233,0)</f>
        <v>0</v>
      </c>
      <c r="U27" s="2170"/>
      <c r="X27" s="14"/>
      <c r="Y27" s="13"/>
      <c r="Z27" s="15"/>
    </row>
    <row r="28" spans="2:26" ht="14.55" x14ac:dyDescent="0.3">
      <c r="B28" s="2166">
        <f>IF('weitere Besondere Leistungen'!M50="ja",'weitere Besondere Leistungen'!L50,0)</f>
        <v>0</v>
      </c>
      <c r="C28" s="2167"/>
      <c r="E28" s="83"/>
      <c r="F28" s="245"/>
      <c r="K28" s="83"/>
      <c r="S28" s="250"/>
      <c r="T28" s="2169">
        <f>IF('weitere Besondere Leistungen'!M240="ja",'weitere Besondere Leistungen'!L240,0)</f>
        <v>0</v>
      </c>
      <c r="U28" s="2170"/>
      <c r="X28" s="14"/>
      <c r="Y28" s="13"/>
      <c r="Z28" s="15"/>
    </row>
    <row r="29" spans="2:26" ht="14.55" x14ac:dyDescent="0.3">
      <c r="B29" s="2166">
        <f>IF('weitere Besondere Leistungen'!M52="ja",'weitere Besondere Leistungen'!L52,0)</f>
        <v>0</v>
      </c>
      <c r="C29" s="2167"/>
      <c r="E29" s="83"/>
      <c r="F29" s="245"/>
      <c r="K29" s="83"/>
      <c r="S29" s="250"/>
      <c r="T29" s="2169">
        <f>IF('weitere Besondere Leistungen'!M242="ja",'weitere Besondere Leistungen'!L242,0)</f>
        <v>0</v>
      </c>
      <c r="U29" s="2170"/>
      <c r="X29" s="14"/>
      <c r="Y29" s="13"/>
      <c r="Z29" s="15"/>
    </row>
    <row r="30" spans="2:26" ht="14.55" x14ac:dyDescent="0.3">
      <c r="B30" s="2166">
        <f>IF('weitere Besondere Leistungen'!M54="ja",'weitere Besondere Leistungen'!L54,0)</f>
        <v>0</v>
      </c>
      <c r="C30" s="2167"/>
      <c r="E30" s="83"/>
      <c r="F30" s="245"/>
      <c r="K30" s="83"/>
      <c r="S30" s="250"/>
      <c r="T30" s="2169">
        <f>IF('weitere Besondere Leistungen'!M244="ja",'weitere Besondere Leistungen'!L244,0)</f>
        <v>0</v>
      </c>
      <c r="U30" s="2170"/>
      <c r="X30" s="14"/>
      <c r="Y30" s="13"/>
      <c r="Z30" s="15"/>
    </row>
    <row r="31" spans="2:26" ht="15.2" thickBot="1" x14ac:dyDescent="0.35">
      <c r="B31" s="2135">
        <f>IF('weitere Besondere Leistungen'!M60="ja",'weitere Besondere Leistungen'!L60,0)</f>
        <v>0</v>
      </c>
      <c r="C31" s="2136"/>
      <c r="E31" s="83"/>
      <c r="F31" s="245"/>
      <c r="K31" s="83"/>
      <c r="S31" s="250"/>
      <c r="T31" s="2169">
        <f>IF('weitere Besondere Leistungen'!M246="ja",'weitere Besondere Leistungen'!L246,0)</f>
        <v>0</v>
      </c>
      <c r="U31" s="2170"/>
      <c r="X31" s="14"/>
      <c r="Y31" s="13"/>
      <c r="Z31" s="15"/>
    </row>
    <row r="32" spans="2:26" ht="14.55" x14ac:dyDescent="0.3">
      <c r="B32" s="250"/>
      <c r="C32" s="250"/>
      <c r="E32" s="83"/>
      <c r="F32" s="245"/>
      <c r="K32" s="83"/>
      <c r="S32" s="250"/>
      <c r="T32" s="2169">
        <f>IF('weitere Besondere Leistungen'!M249="ja",'weitere Besondere Leistungen'!L249,0)</f>
        <v>0</v>
      </c>
      <c r="U32" s="2170"/>
      <c r="X32" s="14"/>
      <c r="Y32" s="13"/>
      <c r="Z32" s="15"/>
    </row>
    <row r="33" spans="2:26" ht="14.55" x14ac:dyDescent="0.3">
      <c r="B33" s="250"/>
      <c r="C33" s="250"/>
      <c r="E33" s="83"/>
      <c r="F33" s="245"/>
      <c r="K33" s="83"/>
      <c r="S33" s="250"/>
      <c r="T33" s="2169">
        <f>IF('weitere Besondere Leistungen'!M253="ja",'weitere Besondere Leistungen'!L253,0)</f>
        <v>0</v>
      </c>
      <c r="U33" s="2170"/>
      <c r="X33" s="14"/>
      <c r="Y33" s="13"/>
      <c r="Z33" s="15"/>
    </row>
    <row r="34" spans="2:26" ht="14.55" x14ac:dyDescent="0.3">
      <c r="B34" s="250"/>
      <c r="C34" s="250"/>
      <c r="E34" s="83"/>
      <c r="F34" s="245"/>
      <c r="K34" s="83"/>
      <c r="S34" s="250"/>
      <c r="T34" s="2169">
        <f>IF('weitere Besondere Leistungen'!M255="ja",'weitere Besondere Leistungen'!L255,0)</f>
        <v>0</v>
      </c>
      <c r="U34" s="2170"/>
      <c r="X34" s="14"/>
      <c r="Y34" s="13"/>
      <c r="Z34" s="15"/>
    </row>
    <row r="35" spans="2:26" ht="14.55" x14ac:dyDescent="0.3">
      <c r="B35" s="250"/>
      <c r="C35" s="250"/>
      <c r="E35" s="83"/>
      <c r="F35" s="245"/>
      <c r="K35" s="83"/>
      <c r="S35" s="250"/>
      <c r="T35" s="2169">
        <f>IF('weitere Besondere Leistungen'!M257="ja",'weitere Besondere Leistungen'!L257,0)</f>
        <v>0</v>
      </c>
      <c r="U35" s="2170"/>
      <c r="X35" s="14"/>
      <c r="Y35" s="13"/>
      <c r="Z35" s="15"/>
    </row>
    <row r="36" spans="2:26" ht="14.55" x14ac:dyDescent="0.3">
      <c r="B36" s="250"/>
      <c r="C36" s="250"/>
      <c r="E36" s="83"/>
      <c r="F36" s="245"/>
      <c r="K36" s="83"/>
      <c r="S36" s="250"/>
      <c r="T36" s="2169">
        <f>IF('weitere Besondere Leistungen'!M262="ja",'weitere Besondere Leistungen'!L262,0)</f>
        <v>0</v>
      </c>
      <c r="U36" s="2170"/>
      <c r="X36" s="14"/>
      <c r="Y36" s="13"/>
      <c r="Z36" s="15"/>
    </row>
    <row r="37" spans="2:26" ht="14.55" x14ac:dyDescent="0.3">
      <c r="B37" s="250"/>
      <c r="C37" s="250"/>
      <c r="E37" s="83"/>
      <c r="F37" s="245"/>
      <c r="K37" s="83"/>
      <c r="S37" s="250"/>
      <c r="T37" s="2169">
        <f>IF('weitere Besondere Leistungen'!M264="ja",'weitere Besondere Leistungen'!L264,0)</f>
        <v>0</v>
      </c>
      <c r="U37" s="2170"/>
      <c r="X37" s="14"/>
      <c r="Y37" s="13"/>
      <c r="Z37" s="15"/>
    </row>
    <row r="38" spans="2:26" ht="14.55" x14ac:dyDescent="0.3">
      <c r="B38" s="250"/>
      <c r="C38" s="250"/>
      <c r="E38" s="83"/>
      <c r="F38" s="245"/>
      <c r="K38" s="83"/>
      <c r="S38" s="250"/>
      <c r="T38" s="2169">
        <f>IF('weitere Besondere Leistungen'!M266="ja",'weitere Besondere Leistungen'!L266,0)</f>
        <v>0</v>
      </c>
      <c r="U38" s="2170"/>
      <c r="X38" s="14"/>
      <c r="Y38" s="13"/>
      <c r="Z38" s="15"/>
    </row>
    <row r="39" spans="2:26" ht="14.55" x14ac:dyDescent="0.3">
      <c r="B39" s="250"/>
      <c r="C39" s="250"/>
      <c r="E39" s="83"/>
      <c r="F39" s="245"/>
      <c r="K39" s="83"/>
      <c r="S39" s="250"/>
      <c r="T39" s="2169">
        <f>IF('weitere Besondere Leistungen'!M268="ja",'weitere Besondere Leistungen'!L268,0)</f>
        <v>0</v>
      </c>
      <c r="U39" s="2170"/>
      <c r="X39" s="14"/>
      <c r="Y39" s="13"/>
      <c r="Z39" s="15"/>
    </row>
    <row r="40" spans="2:26" ht="14.55" x14ac:dyDescent="0.3">
      <c r="B40" s="250"/>
      <c r="C40" s="250"/>
      <c r="E40" s="83"/>
      <c r="F40" s="245"/>
      <c r="K40" s="83"/>
      <c r="S40" s="250"/>
      <c r="T40" s="2169">
        <f>IF('weitere Besondere Leistungen'!M270="ja",'weitere Besondere Leistungen'!L270,0)</f>
        <v>0</v>
      </c>
      <c r="U40" s="2170"/>
      <c r="X40" s="14"/>
      <c r="Y40" s="13"/>
      <c r="Z40" s="15"/>
    </row>
    <row r="41" spans="2:26" ht="14.55" x14ac:dyDescent="0.3">
      <c r="B41" s="250"/>
      <c r="C41" s="250"/>
      <c r="E41" s="83"/>
      <c r="F41" s="245"/>
      <c r="K41" s="83"/>
      <c r="S41" s="250"/>
      <c r="T41" s="2169">
        <f>IF('weitere Besondere Leistungen'!M272="ja",'weitere Besondere Leistungen'!L272,0)</f>
        <v>0</v>
      </c>
      <c r="U41" s="2170"/>
      <c r="X41" s="14"/>
      <c r="Y41" s="13"/>
      <c r="Z41" s="15"/>
    </row>
    <row r="42" spans="2:26" ht="14.55" x14ac:dyDescent="0.3">
      <c r="B42" s="250"/>
      <c r="C42" s="250"/>
      <c r="E42" s="83"/>
      <c r="F42" s="245"/>
      <c r="K42" s="83"/>
      <c r="S42" s="250"/>
      <c r="T42" s="2169">
        <f>IF('weitere Besondere Leistungen'!M274="ja",'weitere Besondere Leistungen'!L274,0)</f>
        <v>0</v>
      </c>
      <c r="U42" s="2170"/>
      <c r="X42" s="14"/>
      <c r="Y42" s="13"/>
      <c r="Z42" s="15"/>
    </row>
    <row r="43" spans="2:26" ht="14.55" x14ac:dyDescent="0.3">
      <c r="B43" s="250"/>
      <c r="C43" s="250"/>
      <c r="E43" s="83"/>
      <c r="F43" s="245"/>
      <c r="K43" s="83"/>
      <c r="S43" s="250"/>
      <c r="T43" s="2169">
        <f>IF('weitere Besondere Leistungen'!M276="ja",'weitere Besondere Leistungen'!L276,0)</f>
        <v>0</v>
      </c>
      <c r="U43" s="2170"/>
      <c r="X43" s="14"/>
      <c r="Y43" s="13"/>
      <c r="Z43" s="15"/>
    </row>
    <row r="44" spans="2:26" ht="14.55" x14ac:dyDescent="0.3">
      <c r="B44" s="250"/>
      <c r="C44" s="250"/>
      <c r="E44" s="83"/>
      <c r="F44" s="245"/>
      <c r="K44" s="83"/>
      <c r="S44" s="250"/>
      <c r="T44" s="2169">
        <f>IF('weitere Besondere Leistungen'!M278="ja",'weitere Besondere Leistungen'!L278,0)</f>
        <v>0</v>
      </c>
      <c r="U44" s="2170"/>
      <c r="X44" s="14"/>
      <c r="Y44" s="13"/>
      <c r="Z44" s="15"/>
    </row>
    <row r="45" spans="2:26" ht="14.55" x14ac:dyDescent="0.3">
      <c r="B45" s="250"/>
      <c r="C45" s="250"/>
      <c r="E45" s="83"/>
      <c r="F45" s="245"/>
      <c r="K45" s="83"/>
      <c r="S45" s="250"/>
      <c r="T45" s="2169">
        <f>IF('weitere Besondere Leistungen'!M280="ja",'weitere Besondere Leistungen'!L280,0)</f>
        <v>0</v>
      </c>
      <c r="U45" s="2170"/>
      <c r="X45" s="14"/>
      <c r="Y45" s="13"/>
      <c r="Z45" s="15"/>
    </row>
    <row r="46" spans="2:26" ht="14.55" x14ac:dyDescent="0.3">
      <c r="B46" s="250"/>
      <c r="C46" s="250"/>
      <c r="E46" s="83"/>
      <c r="F46" s="245"/>
      <c r="K46" s="83"/>
      <c r="S46" s="250"/>
      <c r="T46" s="2169">
        <f>IF('weitere Besondere Leistungen'!M282="ja",'weitere Besondere Leistungen'!L282,0)</f>
        <v>0</v>
      </c>
      <c r="U46" s="2170"/>
      <c r="X46" s="14"/>
      <c r="Y46" s="13"/>
      <c r="Z46" s="15"/>
    </row>
    <row r="47" spans="2:26" ht="14.55" x14ac:dyDescent="0.3">
      <c r="B47" s="250"/>
      <c r="C47" s="250"/>
      <c r="E47" s="83"/>
      <c r="F47" s="245"/>
      <c r="K47" s="83"/>
      <c r="S47" s="250"/>
      <c r="T47" s="2169">
        <f>IF('weitere Besondere Leistungen'!M284="ja",'weitere Besondere Leistungen'!L284,0)</f>
        <v>0</v>
      </c>
      <c r="U47" s="2170"/>
      <c r="X47" s="14"/>
      <c r="Y47" s="13"/>
      <c r="Z47" s="15"/>
    </row>
    <row r="48" spans="2:26" ht="14.55" x14ac:dyDescent="0.3">
      <c r="B48" s="250"/>
      <c r="C48" s="250"/>
      <c r="E48" s="83"/>
      <c r="F48" s="245"/>
      <c r="K48" s="83"/>
      <c r="S48" s="250"/>
      <c r="T48" s="2169">
        <f>IF('weitere Besondere Leistungen'!M286="ja",'weitere Besondere Leistungen'!L286,0)</f>
        <v>0</v>
      </c>
      <c r="U48" s="2170"/>
      <c r="X48" s="14"/>
      <c r="Y48" s="13"/>
      <c r="Z48" s="15"/>
    </row>
    <row r="49" spans="2:26" ht="14.55" x14ac:dyDescent="0.3">
      <c r="B49" s="250"/>
      <c r="C49" s="250"/>
      <c r="E49" s="83"/>
      <c r="F49" s="245"/>
      <c r="K49" s="83"/>
      <c r="S49" s="250"/>
      <c r="T49" s="2169">
        <f>IF('weitere Besondere Leistungen'!M288="ja",'weitere Besondere Leistungen'!L288,0)</f>
        <v>0</v>
      </c>
      <c r="U49" s="2170"/>
      <c r="X49" s="14"/>
      <c r="Y49" s="13"/>
      <c r="Z49" s="15"/>
    </row>
    <row r="50" spans="2:26" ht="14.55" x14ac:dyDescent="0.3">
      <c r="B50" s="250"/>
      <c r="C50" s="250"/>
      <c r="E50" s="83"/>
      <c r="F50" s="245"/>
      <c r="K50" s="83"/>
      <c r="S50" s="250"/>
      <c r="T50" s="2169">
        <f>IF('weitere Besondere Leistungen'!M290="ja",'weitere Besondere Leistungen'!L290,0)</f>
        <v>0</v>
      </c>
      <c r="U50" s="2170"/>
      <c r="X50" s="14"/>
      <c r="Y50" s="13"/>
      <c r="Z50" s="15"/>
    </row>
    <row r="51" spans="2:26" ht="14.55" x14ac:dyDescent="0.3">
      <c r="B51" s="250"/>
      <c r="C51" s="250"/>
      <c r="E51" s="83"/>
      <c r="F51" s="245"/>
      <c r="K51" s="83"/>
      <c r="S51" s="250"/>
      <c r="T51" s="2169">
        <f>IF('weitere Besondere Leistungen'!M292="ja",'weitere Besondere Leistungen'!L292,0)</f>
        <v>0</v>
      </c>
      <c r="U51" s="2170"/>
      <c r="X51" s="14"/>
      <c r="Y51" s="13"/>
      <c r="Z51" s="15"/>
    </row>
    <row r="52" spans="2:26" ht="14.55" x14ac:dyDescent="0.3">
      <c r="B52" s="250"/>
      <c r="C52" s="250"/>
      <c r="E52" s="83"/>
      <c r="F52" s="245"/>
      <c r="K52" s="83"/>
      <c r="S52" s="250"/>
      <c r="T52" s="2169">
        <f>IF('weitere Besondere Leistungen'!M295="ja",'weitere Besondere Leistungen'!L295,0)</f>
        <v>0</v>
      </c>
      <c r="U52" s="2170"/>
      <c r="X52" s="14"/>
      <c r="Y52" s="13"/>
      <c r="Z52" s="15"/>
    </row>
    <row r="53" spans="2:26" ht="14.55" x14ac:dyDescent="0.3">
      <c r="B53" s="250"/>
      <c r="C53" s="250"/>
      <c r="E53" s="83"/>
      <c r="F53" s="245"/>
      <c r="K53" s="83"/>
      <c r="S53" s="250"/>
      <c r="T53" s="2169">
        <f>IF('weitere Besondere Leistungen'!M297="ja",'weitere Besondere Leistungen'!L297,0)</f>
        <v>0</v>
      </c>
      <c r="U53" s="2170"/>
      <c r="X53" s="14"/>
      <c r="Y53" s="13"/>
      <c r="Z53" s="15"/>
    </row>
    <row r="54" spans="2:26" ht="14.55" x14ac:dyDescent="0.3">
      <c r="B54" s="250"/>
      <c r="C54" s="250"/>
      <c r="E54" s="83"/>
      <c r="F54" s="245"/>
      <c r="K54" s="83"/>
      <c r="S54" s="250"/>
      <c r="T54" s="2169">
        <f>IF('weitere Besondere Leistungen'!M300="ja",'weitere Besondere Leistungen'!L300,0)</f>
        <v>0</v>
      </c>
      <c r="U54" s="2170"/>
      <c r="X54" s="14"/>
      <c r="Y54" s="13"/>
      <c r="Z54" s="15"/>
    </row>
    <row r="55" spans="2:26" ht="14.55" x14ac:dyDescent="0.3">
      <c r="B55" s="250"/>
      <c r="C55" s="250"/>
      <c r="E55" s="83"/>
      <c r="F55" s="245"/>
      <c r="K55" s="83"/>
      <c r="S55" s="250"/>
      <c r="T55" s="2169">
        <f>IF('weitere Besondere Leistungen'!M302="ja",'weitere Besondere Leistungen'!L302,0)</f>
        <v>0</v>
      </c>
      <c r="U55" s="2170"/>
      <c r="X55" s="14"/>
      <c r="Y55" s="13"/>
      <c r="Z55" s="15"/>
    </row>
    <row r="56" spans="2:26" ht="14.55" x14ac:dyDescent="0.3">
      <c r="B56" s="250"/>
      <c r="C56" s="250"/>
      <c r="E56" s="83"/>
      <c r="F56" s="245"/>
      <c r="K56" s="83"/>
      <c r="S56" s="250"/>
      <c r="T56" s="2169">
        <f>IF('weitere Besondere Leistungen'!M304="ja",'weitere Besondere Leistungen'!L304,0)</f>
        <v>0</v>
      </c>
      <c r="U56" s="2170"/>
      <c r="X56" s="14"/>
      <c r="Y56" s="13"/>
      <c r="Z56" s="15"/>
    </row>
    <row r="57" spans="2:26" ht="14.55" x14ac:dyDescent="0.3">
      <c r="B57" s="250"/>
      <c r="C57" s="250"/>
      <c r="E57" s="83"/>
      <c r="F57" s="245"/>
      <c r="K57" s="83"/>
      <c r="S57" s="250"/>
      <c r="T57" s="2169">
        <f>IF('weitere Besondere Leistungen'!M306="ja",'weitere Besondere Leistungen'!L306,0)</f>
        <v>0</v>
      </c>
      <c r="U57" s="2170"/>
      <c r="X57" s="14"/>
      <c r="Y57" s="13"/>
      <c r="Z57" s="15"/>
    </row>
    <row r="58" spans="2:26" ht="14.55" x14ac:dyDescent="0.3">
      <c r="B58" s="250"/>
      <c r="C58" s="250"/>
      <c r="E58" s="83"/>
      <c r="F58" s="245"/>
      <c r="K58" s="83"/>
      <c r="S58" s="250"/>
      <c r="T58" s="2169">
        <f>IF('weitere Besondere Leistungen'!M308="ja",'weitere Besondere Leistungen'!L308,0)</f>
        <v>0</v>
      </c>
      <c r="U58" s="2170"/>
      <c r="X58" s="14"/>
      <c r="Y58" s="13"/>
      <c r="Z58" s="15"/>
    </row>
    <row r="59" spans="2:26" ht="14.55" x14ac:dyDescent="0.3">
      <c r="B59" s="250"/>
      <c r="C59" s="250"/>
      <c r="E59" s="83"/>
      <c r="F59" s="245"/>
      <c r="K59" s="83"/>
      <c r="S59" s="250"/>
      <c r="T59" s="2169">
        <f>IF('weitere Besondere Leistungen'!M310="ja",'weitere Besondere Leistungen'!L310,0)</f>
        <v>0</v>
      </c>
      <c r="U59" s="2170"/>
      <c r="X59" s="14"/>
      <c r="Y59" s="13"/>
      <c r="Z59" s="15"/>
    </row>
    <row r="60" spans="2:26" ht="14.55" x14ac:dyDescent="0.3">
      <c r="B60" s="250"/>
      <c r="C60" s="250"/>
      <c r="E60" s="83"/>
      <c r="F60" s="245"/>
      <c r="K60" s="83"/>
      <c r="S60" s="250"/>
      <c r="T60" s="2169">
        <f>IF('weitere Besondere Leistungen'!M312="ja",'weitere Besondere Leistungen'!L312,0)</f>
        <v>0</v>
      </c>
      <c r="U60" s="2170"/>
      <c r="X60" s="14"/>
      <c r="Y60" s="13"/>
      <c r="Z60" s="15"/>
    </row>
    <row r="61" spans="2:26" ht="14.55" x14ac:dyDescent="0.3">
      <c r="B61" s="250"/>
      <c r="C61" s="250"/>
      <c r="E61" s="83"/>
      <c r="F61" s="245"/>
      <c r="K61" s="83"/>
      <c r="S61" s="250"/>
      <c r="T61" s="2169">
        <f>IF('weitere Besondere Leistungen'!M314="ja",'weitere Besondere Leistungen'!L314,0)</f>
        <v>0</v>
      </c>
      <c r="U61" s="2170"/>
      <c r="X61" s="14"/>
      <c r="Y61" s="13"/>
      <c r="Z61" s="15"/>
    </row>
    <row r="62" spans="2:26" ht="14.55" x14ac:dyDescent="0.3">
      <c r="B62" s="250"/>
      <c r="C62" s="250"/>
      <c r="E62" s="83"/>
      <c r="F62" s="245"/>
      <c r="K62" s="83"/>
      <c r="S62" s="250"/>
      <c r="T62" s="2169">
        <f>IF('weitere Besondere Leistungen'!M316="ja",'weitere Besondere Leistungen'!L316,0)</f>
        <v>0</v>
      </c>
      <c r="U62" s="2170"/>
      <c r="X62" s="14"/>
      <c r="Y62" s="13"/>
      <c r="Z62" s="15"/>
    </row>
    <row r="63" spans="2:26" ht="14.55" x14ac:dyDescent="0.3">
      <c r="B63" s="250"/>
      <c r="C63" s="250"/>
      <c r="E63" s="83"/>
      <c r="F63" s="245"/>
      <c r="K63" s="83"/>
      <c r="S63" s="250"/>
      <c r="T63" s="2169">
        <f>IF('weitere Besondere Leistungen'!M318="ja",'weitere Besondere Leistungen'!L318,0)</f>
        <v>0</v>
      </c>
      <c r="U63" s="2170"/>
      <c r="X63" s="14"/>
      <c r="Y63" s="13"/>
      <c r="Z63" s="15"/>
    </row>
    <row r="64" spans="2:26" ht="14.55" x14ac:dyDescent="0.3">
      <c r="B64" s="250"/>
      <c r="C64" s="250"/>
      <c r="E64" s="83"/>
      <c r="F64" s="245"/>
      <c r="K64" s="83"/>
      <c r="S64" s="250"/>
      <c r="T64" s="2169">
        <f>IF('weitere Besondere Leistungen'!M320="ja",'weitere Besondere Leistungen'!L320,0)</f>
        <v>0</v>
      </c>
      <c r="U64" s="2170"/>
      <c r="X64" s="14"/>
      <c r="Y64" s="13"/>
      <c r="Z64" s="15"/>
    </row>
    <row r="65" spans="1:26" ht="14.55" x14ac:dyDescent="0.3">
      <c r="B65" s="250"/>
      <c r="C65" s="250"/>
      <c r="E65" s="83"/>
      <c r="F65" s="245"/>
      <c r="K65" s="83"/>
      <c r="S65" s="250"/>
      <c r="T65" s="2169">
        <f>IF('weitere Besondere Leistungen'!M322="ja",'weitere Besondere Leistungen'!L322,0)</f>
        <v>0</v>
      </c>
      <c r="U65" s="2170"/>
      <c r="X65" s="14"/>
      <c r="Y65" s="13"/>
      <c r="Z65" s="15"/>
    </row>
    <row r="66" spans="1:26" ht="14.55" x14ac:dyDescent="0.3">
      <c r="B66" s="250"/>
      <c r="C66" s="250"/>
      <c r="E66" s="83"/>
      <c r="F66" s="245"/>
      <c r="K66" s="83"/>
      <c r="S66" s="250"/>
      <c r="T66" s="2169">
        <f>IF('weitere Besondere Leistungen'!M324="ja",'weitere Besondere Leistungen'!L324,0)</f>
        <v>0</v>
      </c>
      <c r="U66" s="2170"/>
      <c r="X66" s="14"/>
      <c r="Y66" s="13"/>
      <c r="Z66" s="15"/>
    </row>
    <row r="67" spans="1:26" ht="14.55" x14ac:dyDescent="0.3">
      <c r="B67" s="250"/>
      <c r="C67" s="250"/>
      <c r="E67" s="83"/>
      <c r="F67" s="245"/>
      <c r="K67" s="83"/>
      <c r="S67" s="250"/>
      <c r="T67" s="2169">
        <f>IF('weitere Besondere Leistungen'!M326="ja",'weitere Besondere Leistungen'!L326,0)</f>
        <v>0</v>
      </c>
      <c r="U67" s="2170"/>
      <c r="X67" s="14"/>
      <c r="Y67" s="13"/>
      <c r="Z67" s="15"/>
    </row>
    <row r="68" spans="1:26" ht="14.55" x14ac:dyDescent="0.3">
      <c r="B68" s="250"/>
      <c r="C68" s="250"/>
      <c r="E68" s="83"/>
      <c r="F68" s="245"/>
      <c r="K68" s="83"/>
      <c r="S68" s="250"/>
      <c r="T68" s="2169">
        <f>IF('weitere Besondere Leistungen'!M328="ja",'weitere Besondere Leistungen'!L328,0)</f>
        <v>0</v>
      </c>
      <c r="U68" s="2170"/>
      <c r="X68" s="14"/>
      <c r="Y68" s="13"/>
      <c r="Z68" s="15"/>
    </row>
    <row r="69" spans="1:26" ht="15.2" thickBot="1" x14ac:dyDescent="0.35">
      <c r="B69" s="250"/>
      <c r="C69" s="250"/>
      <c r="E69" s="83"/>
      <c r="F69" s="245"/>
      <c r="K69" s="83"/>
      <c r="S69" s="250"/>
      <c r="T69" s="2173">
        <f>IF('weitere Besondere Leistungen'!M330="ja",'weitere Besondere Leistungen'!L330,0)</f>
        <v>0</v>
      </c>
      <c r="U69" s="2174"/>
      <c r="X69" s="14"/>
      <c r="Y69" s="13"/>
      <c r="Z69" s="15"/>
    </row>
    <row r="70" spans="1:26" ht="15.2" thickBot="1" x14ac:dyDescent="0.35">
      <c r="B70" s="287"/>
      <c r="C70" s="287"/>
      <c r="E70" s="252"/>
      <c r="F70" s="253"/>
      <c r="K70" s="83"/>
      <c r="X70" s="14"/>
      <c r="Y70" s="13"/>
      <c r="Z70" s="15"/>
    </row>
    <row r="71" spans="1:26" ht="15.2" thickBot="1" x14ac:dyDescent="0.35">
      <c r="A71" s="1" t="s">
        <v>827</v>
      </c>
      <c r="B71" s="2153">
        <f>SUM(B7:C31)</f>
        <v>0</v>
      </c>
      <c r="C71" s="2154"/>
      <c r="E71" s="2153">
        <f>SUM(E7:F27)</f>
        <v>0</v>
      </c>
      <c r="F71" s="2154"/>
      <c r="H71" s="2144">
        <f>SUM(H7:I23)</f>
        <v>0</v>
      </c>
      <c r="I71" s="2145"/>
      <c r="K71" s="2144">
        <f>SUM(K7:L23)</f>
        <v>0</v>
      </c>
      <c r="L71" s="2145"/>
      <c r="N71" s="2144">
        <f>SUM(N7:O23)</f>
        <v>0</v>
      </c>
      <c r="O71" s="2145"/>
      <c r="P71" s="403"/>
      <c r="Q71" s="2144">
        <f>SUM(Q7:R12)</f>
        <v>0</v>
      </c>
      <c r="R71" s="2145"/>
      <c r="S71" s="403"/>
      <c r="T71" s="2144">
        <f>SUM(T7:U69)</f>
        <v>0</v>
      </c>
      <c r="U71" s="2145"/>
      <c r="V71" s="396" t="s">
        <v>828</v>
      </c>
      <c r="W71" s="397">
        <f>SUM(B71:U71)</f>
        <v>0</v>
      </c>
      <c r="X71" s="14"/>
      <c r="Y71" s="13"/>
      <c r="Z71" s="15"/>
    </row>
    <row r="72" spans="1:26" ht="14.55" x14ac:dyDescent="0.3">
      <c r="X72" s="14"/>
      <c r="Y72" s="13"/>
      <c r="Z72" s="15"/>
    </row>
    <row r="73" spans="1:26" ht="15.8" x14ac:dyDescent="0.3">
      <c r="A73" s="2147" t="s">
        <v>829</v>
      </c>
      <c r="B73" s="2147"/>
      <c r="C73" s="2147"/>
      <c r="D73" s="2147"/>
      <c r="E73" s="2147"/>
      <c r="F73" s="2147"/>
      <c r="G73" s="2147"/>
      <c r="H73" s="2147"/>
      <c r="I73" s="2147"/>
      <c r="J73" s="2147"/>
      <c r="X73" s="14"/>
      <c r="Y73" s="13"/>
      <c r="Z73" s="15"/>
    </row>
    <row r="74" spans="1:26" ht="15.2" thickBot="1" x14ac:dyDescent="0.35">
      <c r="X74" s="14"/>
      <c r="Y74" s="13"/>
      <c r="Z74" s="15"/>
    </row>
    <row r="75" spans="1:26" ht="15.2" thickBot="1" x14ac:dyDescent="0.35">
      <c r="B75" s="2150" t="str">
        <f>'weitere Besondere Leistungen'!B5</f>
        <v xml:space="preserve"> Besondere Leistungen im Zusammenhang mit Instandsetzungen und Modernisierungen</v>
      </c>
      <c r="C75" s="2151"/>
      <c r="D75" s="2151"/>
      <c r="E75" s="2151"/>
      <c r="F75" s="2151"/>
      <c r="G75" s="2151"/>
      <c r="H75" s="2151"/>
      <c r="I75" s="2151"/>
      <c r="J75" s="2151"/>
      <c r="K75" s="2152"/>
      <c r="X75" s="14"/>
      <c r="Y75" s="13"/>
      <c r="Z75" s="15"/>
    </row>
    <row r="76" spans="1:26" ht="15.2" thickBot="1" x14ac:dyDescent="0.35">
      <c r="B76" s="155" t="s">
        <v>105</v>
      </c>
      <c r="C76" s="227">
        <v>1</v>
      </c>
      <c r="D76" s="228">
        <v>2</v>
      </c>
      <c r="E76" s="228">
        <v>3</v>
      </c>
      <c r="F76" s="228">
        <v>4</v>
      </c>
      <c r="G76" s="228">
        <v>5</v>
      </c>
      <c r="H76" s="228">
        <v>6</v>
      </c>
      <c r="I76" s="228">
        <v>7</v>
      </c>
      <c r="J76" s="229">
        <v>8</v>
      </c>
      <c r="K76" s="229">
        <v>9</v>
      </c>
      <c r="L76" s="225"/>
      <c r="M76" s="225"/>
      <c r="N76" s="225"/>
      <c r="O76" s="225"/>
      <c r="P76" s="225"/>
      <c r="Q76" s="225"/>
      <c r="R76" s="225"/>
      <c r="S76" s="225"/>
      <c r="T76" s="225"/>
      <c r="U76" s="225"/>
      <c r="X76" s="14"/>
      <c r="Y76" s="13"/>
      <c r="Z76" s="15"/>
    </row>
    <row r="77" spans="1:26" ht="14.55" x14ac:dyDescent="0.3">
      <c r="B77" s="240"/>
      <c r="C77" s="230">
        <f>IF(C$76='weitere Besondere Leistungen'!$N$8,'weitere Besondere Leistungen'!$L$8,0)</f>
        <v>0</v>
      </c>
      <c r="D77" s="231">
        <f>IF(D$76='weitere Besondere Leistungen'!$N$8,'weitere Besondere Leistungen'!$L$8,0)</f>
        <v>0</v>
      </c>
      <c r="E77" s="231">
        <f>IF(E$76='weitere Besondere Leistungen'!$N$8,'weitere Besondere Leistungen'!$L$8,0)</f>
        <v>0</v>
      </c>
      <c r="F77" s="231">
        <f>IF(F$76='weitere Besondere Leistungen'!$N$8,'weitere Besondere Leistungen'!$L$8,0)</f>
        <v>0</v>
      </c>
      <c r="G77" s="231">
        <f>IF(G$76='weitere Besondere Leistungen'!$N$8,'weitere Besondere Leistungen'!$L$8,0)</f>
        <v>0</v>
      </c>
      <c r="H77" s="231">
        <f>IF(H$76='weitere Besondere Leistungen'!$N$8,'weitere Besondere Leistungen'!$L$8,0)</f>
        <v>0</v>
      </c>
      <c r="I77" s="231">
        <f>IF(I$76='weitere Besondere Leistungen'!$N$8,'weitere Besondere Leistungen'!$L$8,0)</f>
        <v>0</v>
      </c>
      <c r="J77" s="231">
        <f>IF(J$76='weitere Besondere Leistungen'!$N$8,'weitere Besondere Leistungen'!$L$8,0)</f>
        <v>0</v>
      </c>
      <c r="K77" s="232">
        <f>IF(K$76='weitere Besondere Leistungen'!$N$8,'weitere Besondere Leistungen'!$L$8,0)</f>
        <v>0</v>
      </c>
      <c r="L77" s="83"/>
      <c r="M77" s="83"/>
      <c r="N77" s="83"/>
      <c r="O77" s="83"/>
      <c r="P77" s="83"/>
      <c r="Q77" s="83"/>
      <c r="R77" s="83"/>
      <c r="S77" s="83"/>
      <c r="T77" s="83"/>
      <c r="U77" s="84"/>
      <c r="X77" s="14"/>
      <c r="Y77" s="13"/>
      <c r="Z77" s="15"/>
    </row>
    <row r="78" spans="1:26" ht="14.55" x14ac:dyDescent="0.3">
      <c r="B78" s="241"/>
      <c r="C78" s="233">
        <f>IF(C$76='weitere Besondere Leistungen'!$N$10,'weitere Besondere Leistungen'!$L$10,0)</f>
        <v>0</v>
      </c>
      <c r="D78" s="234">
        <f>IF(D$76='weitere Besondere Leistungen'!$N$10,'weitere Besondere Leistungen'!$L$10,0)</f>
        <v>0</v>
      </c>
      <c r="E78" s="234">
        <f>IF(E$76='weitere Besondere Leistungen'!$N$10,'weitere Besondere Leistungen'!$L$10,0)</f>
        <v>0</v>
      </c>
      <c r="F78" s="234">
        <f>IF(F$76='weitere Besondere Leistungen'!$N$10,'weitere Besondere Leistungen'!$L$10,0)</f>
        <v>0</v>
      </c>
      <c r="G78" s="234">
        <f>IF(G$76='weitere Besondere Leistungen'!$N$10,'weitere Besondere Leistungen'!$L$10,0)</f>
        <v>0</v>
      </c>
      <c r="H78" s="234">
        <f>IF(H$76='weitere Besondere Leistungen'!$N$10,'weitere Besondere Leistungen'!$L$10,0)</f>
        <v>0</v>
      </c>
      <c r="I78" s="234">
        <f>IF(I$76='weitere Besondere Leistungen'!$N$10,'weitere Besondere Leistungen'!$L$10,0)</f>
        <v>0</v>
      </c>
      <c r="J78" s="234">
        <f>IF(J$76='weitere Besondere Leistungen'!$N$10,'weitere Besondere Leistungen'!$L$10,0)</f>
        <v>0</v>
      </c>
      <c r="K78" s="235">
        <f>IF(K$76='weitere Besondere Leistungen'!$N$10,'weitere Besondere Leistungen'!$L$10,0)</f>
        <v>0</v>
      </c>
      <c r="L78" s="83"/>
      <c r="M78" s="83"/>
      <c r="N78" s="83"/>
      <c r="O78" s="83"/>
      <c r="P78" s="83"/>
      <c r="Q78" s="83"/>
      <c r="R78" s="83"/>
      <c r="S78" s="83"/>
      <c r="T78" s="83"/>
      <c r="U78" s="84"/>
      <c r="X78" s="14"/>
      <c r="Y78" s="13"/>
      <c r="Z78" s="15"/>
    </row>
    <row r="79" spans="1:26" ht="14.55" x14ac:dyDescent="0.3">
      <c r="B79" s="241"/>
      <c r="C79" s="233">
        <f>IF(C$76='weitere Besondere Leistungen'!$N$12,'weitere Besondere Leistungen'!$L$12,0)</f>
        <v>0</v>
      </c>
      <c r="D79" s="234">
        <f>IF(D$76='weitere Besondere Leistungen'!$N$12,'weitere Besondere Leistungen'!$L$12,0)</f>
        <v>0</v>
      </c>
      <c r="E79" s="234">
        <f>IF(E$76='weitere Besondere Leistungen'!$N$12,'weitere Besondere Leistungen'!$L$12,0)</f>
        <v>0</v>
      </c>
      <c r="F79" s="234">
        <f>IF(F$76='weitere Besondere Leistungen'!$N$12,'weitere Besondere Leistungen'!$L$12,0)</f>
        <v>0</v>
      </c>
      <c r="G79" s="234">
        <f>IF(G$76='weitere Besondere Leistungen'!$N$12,'weitere Besondere Leistungen'!$L$12,0)</f>
        <v>0</v>
      </c>
      <c r="H79" s="234">
        <f>IF(H$76='weitere Besondere Leistungen'!$N$12,'weitere Besondere Leistungen'!$L$12,0)</f>
        <v>0</v>
      </c>
      <c r="I79" s="234">
        <f>IF(I$76='weitere Besondere Leistungen'!$N$12,'weitere Besondere Leistungen'!$L$12,0)</f>
        <v>0</v>
      </c>
      <c r="J79" s="234">
        <f>IF(J$76='weitere Besondere Leistungen'!$N$12,'weitere Besondere Leistungen'!$L$12,0)</f>
        <v>0</v>
      </c>
      <c r="K79" s="235">
        <f>IF(K$76='weitere Besondere Leistungen'!$N$12,'weitere Besondere Leistungen'!$L$12,0)</f>
        <v>0</v>
      </c>
      <c r="L79" s="83"/>
      <c r="M79" s="83"/>
      <c r="N79" s="83"/>
      <c r="O79" s="83"/>
      <c r="P79" s="83"/>
      <c r="Q79" s="83"/>
      <c r="R79" s="83"/>
      <c r="S79" s="83"/>
      <c r="T79" s="83"/>
      <c r="U79" s="84"/>
      <c r="X79" s="14"/>
      <c r="Y79" s="13"/>
      <c r="Z79" s="15"/>
    </row>
    <row r="80" spans="1:26" ht="14.55" x14ac:dyDescent="0.3">
      <c r="B80" s="241"/>
      <c r="C80" s="233">
        <f>IF(C$76='weitere Besondere Leistungen'!$N$14,'weitere Besondere Leistungen'!$L$14,0)</f>
        <v>0</v>
      </c>
      <c r="D80" s="234">
        <f>IF(D$76='weitere Besondere Leistungen'!$N$14,'weitere Besondere Leistungen'!$L$14,0)</f>
        <v>0</v>
      </c>
      <c r="E80" s="234">
        <f>IF(E$76='weitere Besondere Leistungen'!$N$14,'weitere Besondere Leistungen'!$L$14,0)</f>
        <v>0</v>
      </c>
      <c r="F80" s="234">
        <f>IF(F$76='weitere Besondere Leistungen'!$N$14,'weitere Besondere Leistungen'!$L$14,0)</f>
        <v>0</v>
      </c>
      <c r="G80" s="234">
        <f>IF(G$76='weitere Besondere Leistungen'!$N$14,'weitere Besondere Leistungen'!$L$14,0)</f>
        <v>0</v>
      </c>
      <c r="H80" s="234">
        <f>IF(H$76='weitere Besondere Leistungen'!$N$14,'weitere Besondere Leistungen'!$L$14,0)</f>
        <v>0</v>
      </c>
      <c r="I80" s="234">
        <f>IF(I$76='weitere Besondere Leistungen'!$N$14,'weitere Besondere Leistungen'!$L$14,0)</f>
        <v>0</v>
      </c>
      <c r="J80" s="234">
        <f>IF(J$76='weitere Besondere Leistungen'!$N$14,'weitere Besondere Leistungen'!$L$14,0)</f>
        <v>0</v>
      </c>
      <c r="K80" s="235">
        <f>IF(K$76='weitere Besondere Leistungen'!$N$14,'weitere Besondere Leistungen'!$L$14,0)</f>
        <v>0</v>
      </c>
      <c r="L80" s="83"/>
      <c r="M80" s="83"/>
      <c r="N80" s="83"/>
      <c r="O80" s="83"/>
      <c r="P80" s="83"/>
      <c r="Q80" s="83"/>
      <c r="R80" s="83"/>
      <c r="S80" s="83"/>
      <c r="T80" s="83"/>
      <c r="U80" s="84"/>
      <c r="X80" s="14"/>
      <c r="Y80" s="13"/>
      <c r="Z80" s="15"/>
    </row>
    <row r="81" spans="2:26" ht="14.55" x14ac:dyDescent="0.3">
      <c r="B81" s="242"/>
      <c r="C81" s="233">
        <f>IF(C$76='weitere Besondere Leistungen'!$N$16,'weitere Besondere Leistungen'!$L$16,0)</f>
        <v>0</v>
      </c>
      <c r="D81" s="234">
        <f>IF(D$76='weitere Besondere Leistungen'!$N$16,'weitere Besondere Leistungen'!$L$16,0)</f>
        <v>0</v>
      </c>
      <c r="E81" s="234">
        <f>IF(E$76='weitere Besondere Leistungen'!$N$16,'weitere Besondere Leistungen'!$L$16,0)</f>
        <v>0</v>
      </c>
      <c r="F81" s="234">
        <f>IF(F$76='weitere Besondere Leistungen'!$N$16,'weitere Besondere Leistungen'!$L$16,0)</f>
        <v>0</v>
      </c>
      <c r="G81" s="234">
        <f>IF(G$76='weitere Besondere Leistungen'!$N$16,'weitere Besondere Leistungen'!$L$16,0)</f>
        <v>0</v>
      </c>
      <c r="H81" s="234">
        <f>IF(H$76='weitere Besondere Leistungen'!$N$16,'weitere Besondere Leistungen'!$L$16,0)</f>
        <v>0</v>
      </c>
      <c r="I81" s="234">
        <f>IF(I$76='weitere Besondere Leistungen'!$N$16,'weitere Besondere Leistungen'!$L$16,0)</f>
        <v>0</v>
      </c>
      <c r="J81" s="234">
        <f>IF(J$76='weitere Besondere Leistungen'!$N$16,'weitere Besondere Leistungen'!$L$16,0)</f>
        <v>0</v>
      </c>
      <c r="K81" s="235">
        <f>IF(K$76='weitere Besondere Leistungen'!$N$16,'weitere Besondere Leistungen'!$L$16,0)</f>
        <v>0</v>
      </c>
      <c r="U81" s="226"/>
      <c r="X81" s="14"/>
      <c r="Y81" s="13"/>
      <c r="Z81" s="15"/>
    </row>
    <row r="82" spans="2:26" ht="14.55" x14ac:dyDescent="0.3">
      <c r="B82" s="242"/>
      <c r="C82" s="233">
        <f>IF(C$76='weitere Besondere Leistungen'!$N$18,'weitere Besondere Leistungen'!$L$18,0)</f>
        <v>0</v>
      </c>
      <c r="D82" s="234">
        <f>IF(D$76='weitere Besondere Leistungen'!$N$18,'weitere Besondere Leistungen'!$L$18,0)</f>
        <v>0</v>
      </c>
      <c r="E82" s="234">
        <f>IF(E$76='weitere Besondere Leistungen'!$N$18,'weitere Besondere Leistungen'!$L$18,0)</f>
        <v>0</v>
      </c>
      <c r="F82" s="234">
        <f>IF(F$76='weitere Besondere Leistungen'!$N$18,'weitere Besondere Leistungen'!$L$18,0)</f>
        <v>0</v>
      </c>
      <c r="G82" s="234">
        <f>IF(G$76='weitere Besondere Leistungen'!$N$18,'weitere Besondere Leistungen'!$L$18,0)</f>
        <v>0</v>
      </c>
      <c r="H82" s="234">
        <f>IF(H$76='weitere Besondere Leistungen'!$N$18,'weitere Besondere Leistungen'!$L$18,0)</f>
        <v>0</v>
      </c>
      <c r="I82" s="234">
        <f>IF(I$76='weitere Besondere Leistungen'!$N$18,'weitere Besondere Leistungen'!$L$18,0)</f>
        <v>0</v>
      </c>
      <c r="J82" s="234">
        <f>IF(J$76='weitere Besondere Leistungen'!$N$18,'weitere Besondere Leistungen'!$L$18,0)</f>
        <v>0</v>
      </c>
      <c r="K82" s="235">
        <f>IF(K$76='weitere Besondere Leistungen'!$N$18,'weitere Besondere Leistungen'!$L$18,0)</f>
        <v>0</v>
      </c>
      <c r="X82" s="14"/>
      <c r="Y82" s="13"/>
      <c r="Z82" s="15"/>
    </row>
    <row r="83" spans="2:26" ht="14.55" x14ac:dyDescent="0.3">
      <c r="B83" s="242"/>
      <c r="C83" s="233">
        <f>IF(C$76='weitere Besondere Leistungen'!$N$20,'weitere Besondere Leistungen'!$L$20,0)</f>
        <v>0</v>
      </c>
      <c r="D83" s="234">
        <f>IF(D$76='weitere Besondere Leistungen'!$N$20,'weitere Besondere Leistungen'!$L$20,0)</f>
        <v>0</v>
      </c>
      <c r="E83" s="234">
        <f>IF(E$76='weitere Besondere Leistungen'!$N$20,'weitere Besondere Leistungen'!$L$20,0)</f>
        <v>0</v>
      </c>
      <c r="F83" s="234">
        <f>IF(F$76='weitere Besondere Leistungen'!$N$20,'weitere Besondere Leistungen'!$L$20,0)</f>
        <v>0</v>
      </c>
      <c r="G83" s="234">
        <f>IF(G$76='weitere Besondere Leistungen'!$N$20,'weitere Besondere Leistungen'!$L$20,0)</f>
        <v>0</v>
      </c>
      <c r="H83" s="234">
        <f>IF(H$76='weitere Besondere Leistungen'!$N$20,'weitere Besondere Leistungen'!$L$20,0)</f>
        <v>0</v>
      </c>
      <c r="I83" s="234">
        <f>IF(I$76='weitere Besondere Leistungen'!$N$20,'weitere Besondere Leistungen'!$L$20,0)</f>
        <v>0</v>
      </c>
      <c r="J83" s="234">
        <f>IF(J$76='weitere Besondere Leistungen'!$N$20,'weitere Besondere Leistungen'!$L$20,0)</f>
        <v>0</v>
      </c>
      <c r="K83" s="235">
        <f>IF(K$76='weitere Besondere Leistungen'!$N$20,'weitere Besondere Leistungen'!$L$20,0)</f>
        <v>0</v>
      </c>
      <c r="X83" s="14"/>
      <c r="Y83" s="13"/>
      <c r="Z83" s="15"/>
    </row>
    <row r="84" spans="2:26" ht="14.55" x14ac:dyDescent="0.3">
      <c r="B84" s="242"/>
      <c r="C84" s="233">
        <f>IF(C$76='weitere Besondere Leistungen'!$N$22,'weitere Besondere Leistungen'!$L$22,0)</f>
        <v>0</v>
      </c>
      <c r="D84" s="234">
        <f>IF(D$76='weitere Besondere Leistungen'!$N$22,'weitere Besondere Leistungen'!$L$22,0)</f>
        <v>0</v>
      </c>
      <c r="E84" s="234">
        <f>IF(E$76='weitere Besondere Leistungen'!$N$22,'weitere Besondere Leistungen'!$L$22,0)</f>
        <v>0</v>
      </c>
      <c r="F84" s="234">
        <f>IF(F$76='weitere Besondere Leistungen'!$N$22,'weitere Besondere Leistungen'!$L$22,0)</f>
        <v>0</v>
      </c>
      <c r="G84" s="234">
        <f>IF(G$76='weitere Besondere Leistungen'!$N$22,'weitere Besondere Leistungen'!$L$22,0)</f>
        <v>0</v>
      </c>
      <c r="H84" s="234">
        <f>IF(H$76='weitere Besondere Leistungen'!$N$22,'weitere Besondere Leistungen'!$L$22,0)</f>
        <v>0</v>
      </c>
      <c r="I84" s="234">
        <f>IF(I$76='weitere Besondere Leistungen'!$N$22,'weitere Besondere Leistungen'!$L$22,0)</f>
        <v>0</v>
      </c>
      <c r="J84" s="234">
        <f>IF(J$76='weitere Besondere Leistungen'!$N$22,'weitere Besondere Leistungen'!$L$22,0)</f>
        <v>0</v>
      </c>
      <c r="K84" s="235">
        <f>IF(K$76='weitere Besondere Leistungen'!$N$22,'weitere Besondere Leistungen'!$L$22,0)</f>
        <v>0</v>
      </c>
      <c r="X84" s="14"/>
      <c r="Y84" s="13"/>
      <c r="Z84" s="15"/>
    </row>
    <row r="85" spans="2:26" ht="14.55" x14ac:dyDescent="0.3">
      <c r="B85" s="242"/>
      <c r="C85" s="233">
        <f>IF(C$76='weitere Besondere Leistungen'!$N$24,'weitere Besondere Leistungen'!$L$24,0)</f>
        <v>0</v>
      </c>
      <c r="D85" s="234">
        <f>IF(D$76='weitere Besondere Leistungen'!$N$24,'weitere Besondere Leistungen'!$L$24,0)</f>
        <v>0</v>
      </c>
      <c r="E85" s="234">
        <f>IF(E$76='weitere Besondere Leistungen'!$N$24,'weitere Besondere Leistungen'!$L$24,0)</f>
        <v>0</v>
      </c>
      <c r="F85" s="234">
        <f>IF(F$76='weitere Besondere Leistungen'!$N$24,'weitere Besondere Leistungen'!$L$24,0)</f>
        <v>0</v>
      </c>
      <c r="G85" s="234">
        <f>IF(G$76='weitere Besondere Leistungen'!$N$24,'weitere Besondere Leistungen'!$L$24,0)</f>
        <v>0</v>
      </c>
      <c r="H85" s="234">
        <f>IF(H$76='weitere Besondere Leistungen'!$N$24,'weitere Besondere Leistungen'!$L$24,0)</f>
        <v>0</v>
      </c>
      <c r="I85" s="234">
        <f>IF(I$76='weitere Besondere Leistungen'!$N$24,'weitere Besondere Leistungen'!$L$24,0)</f>
        <v>0</v>
      </c>
      <c r="J85" s="234">
        <f>IF(J$76='weitere Besondere Leistungen'!$N$24,'weitere Besondere Leistungen'!$L$24,0)</f>
        <v>0</v>
      </c>
      <c r="K85" s="235">
        <f>IF(K$76='weitere Besondere Leistungen'!$N$24,'weitere Besondere Leistungen'!$L$24,0)</f>
        <v>0</v>
      </c>
      <c r="X85" s="14"/>
      <c r="Y85" s="13"/>
      <c r="Z85" s="15"/>
    </row>
    <row r="86" spans="2:26" ht="14.55" x14ac:dyDescent="0.3">
      <c r="B86" s="242"/>
      <c r="C86" s="233">
        <f>IF(C$76='weitere Besondere Leistungen'!$N$26,'weitere Besondere Leistungen'!$L$26,0)</f>
        <v>0</v>
      </c>
      <c r="D86" s="234">
        <f>IF(D$76='weitere Besondere Leistungen'!$N$26,'weitere Besondere Leistungen'!$L$26,0)</f>
        <v>0</v>
      </c>
      <c r="E86" s="234">
        <f>IF(E$76='weitere Besondere Leistungen'!$N$26,'weitere Besondere Leistungen'!$L$26,0)</f>
        <v>0</v>
      </c>
      <c r="F86" s="234">
        <f>IF(F$76='weitere Besondere Leistungen'!$N$26,'weitere Besondere Leistungen'!$L$26,0)</f>
        <v>0</v>
      </c>
      <c r="G86" s="234">
        <f>IF(G$76='weitere Besondere Leistungen'!$N$26,'weitere Besondere Leistungen'!$L$26,0)</f>
        <v>0</v>
      </c>
      <c r="H86" s="234">
        <f>IF(H$76='weitere Besondere Leistungen'!$N$26,'weitere Besondere Leistungen'!$L$26,0)</f>
        <v>0</v>
      </c>
      <c r="I86" s="234">
        <f>IF(I$76='weitere Besondere Leistungen'!$N$26,'weitere Besondere Leistungen'!$L$26,0)</f>
        <v>0</v>
      </c>
      <c r="J86" s="234">
        <f>IF(J$76='weitere Besondere Leistungen'!$N$26,'weitere Besondere Leistungen'!$L$26,0)</f>
        <v>0</v>
      </c>
      <c r="K86" s="235">
        <f>IF(K$76='weitere Besondere Leistungen'!$N$26,'weitere Besondere Leistungen'!$L$26,0)</f>
        <v>0</v>
      </c>
      <c r="X86" s="14"/>
      <c r="Y86" s="13"/>
      <c r="Z86" s="15"/>
    </row>
    <row r="87" spans="2:26" ht="14.55" x14ac:dyDescent="0.3">
      <c r="B87" s="242"/>
      <c r="C87" s="233">
        <f>IF(C$76='weitere Besondere Leistungen'!$N$28,'weitere Besondere Leistungen'!$L$28,0)</f>
        <v>0</v>
      </c>
      <c r="D87" s="234">
        <f>IF(D$76='weitere Besondere Leistungen'!$N$28,'weitere Besondere Leistungen'!$L$28,0)</f>
        <v>0</v>
      </c>
      <c r="E87" s="234">
        <f>IF(E$76='weitere Besondere Leistungen'!$N$28,'weitere Besondere Leistungen'!$L$28,0)</f>
        <v>0</v>
      </c>
      <c r="F87" s="234">
        <f>IF(F$76='weitere Besondere Leistungen'!$N$28,'weitere Besondere Leistungen'!$L$28,0)</f>
        <v>0</v>
      </c>
      <c r="G87" s="234">
        <f>IF(G$76='weitere Besondere Leistungen'!$N$28,'weitere Besondere Leistungen'!$L$28,0)</f>
        <v>0</v>
      </c>
      <c r="H87" s="234">
        <f>IF(H$76='weitere Besondere Leistungen'!$N$28,'weitere Besondere Leistungen'!$L$28,0)</f>
        <v>0</v>
      </c>
      <c r="I87" s="234">
        <f>IF(I$76='weitere Besondere Leistungen'!$N$28,'weitere Besondere Leistungen'!$L$28,0)</f>
        <v>0</v>
      </c>
      <c r="J87" s="234">
        <f>IF(J$76='weitere Besondere Leistungen'!$N$28,'weitere Besondere Leistungen'!$L$28,0)</f>
        <v>0</v>
      </c>
      <c r="K87" s="235">
        <f>IF(K$76='weitere Besondere Leistungen'!$N$28,'weitere Besondere Leistungen'!$L$28,0)</f>
        <v>0</v>
      </c>
      <c r="X87" s="14"/>
      <c r="Y87" s="13"/>
      <c r="Z87" s="15"/>
    </row>
    <row r="88" spans="2:26" ht="14.55" x14ac:dyDescent="0.3">
      <c r="B88" s="242"/>
      <c r="C88" s="233">
        <f>IF(C$76='weitere Besondere Leistungen'!$N$30,'weitere Besondere Leistungen'!$L$30,0)</f>
        <v>0</v>
      </c>
      <c r="D88" s="234">
        <f>IF(D$76='weitere Besondere Leistungen'!$N$30,'weitere Besondere Leistungen'!$L$30,0)</f>
        <v>0</v>
      </c>
      <c r="E88" s="234">
        <f>IF(E$76='weitere Besondere Leistungen'!$N$30,'weitere Besondere Leistungen'!$L$30,0)</f>
        <v>0</v>
      </c>
      <c r="F88" s="234">
        <f>IF(F$76='weitere Besondere Leistungen'!$N$30,'weitere Besondere Leistungen'!$L$30,0)</f>
        <v>0</v>
      </c>
      <c r="G88" s="234">
        <f>IF(G$76='weitere Besondere Leistungen'!$N$30,'weitere Besondere Leistungen'!$L$30,0)</f>
        <v>0</v>
      </c>
      <c r="H88" s="234">
        <f>IF(H$76='weitere Besondere Leistungen'!$N$30,'weitere Besondere Leistungen'!$L$30,0)</f>
        <v>0</v>
      </c>
      <c r="I88" s="234">
        <f>IF(I$76='weitere Besondere Leistungen'!$N$30,'weitere Besondere Leistungen'!$L$30,0)</f>
        <v>0</v>
      </c>
      <c r="J88" s="234">
        <f>IF(J$76='weitere Besondere Leistungen'!$N$30,'weitere Besondere Leistungen'!$L$30,0)</f>
        <v>0</v>
      </c>
      <c r="K88" s="235">
        <f>IF(K$76='weitere Besondere Leistungen'!$N$30,'weitere Besondere Leistungen'!$L$30,0)</f>
        <v>0</v>
      </c>
      <c r="X88" s="14"/>
      <c r="Y88" s="13"/>
      <c r="Z88" s="15"/>
    </row>
    <row r="89" spans="2:26" ht="14.55" x14ac:dyDescent="0.3">
      <c r="B89" s="242"/>
      <c r="C89" s="233">
        <f>IF(C$76='weitere Besondere Leistungen'!$N$32,'weitere Besondere Leistungen'!$L$32,0)</f>
        <v>0</v>
      </c>
      <c r="D89" s="234">
        <f>IF(D$76='weitere Besondere Leistungen'!$N$32,'weitere Besondere Leistungen'!$L$32,0)</f>
        <v>0</v>
      </c>
      <c r="E89" s="234">
        <f>IF(E$76='weitere Besondere Leistungen'!$N$32,'weitere Besondere Leistungen'!$L$32,0)</f>
        <v>0</v>
      </c>
      <c r="F89" s="234">
        <f>IF(F$76='weitere Besondere Leistungen'!$N$32,'weitere Besondere Leistungen'!$L$32,0)</f>
        <v>0</v>
      </c>
      <c r="G89" s="234">
        <f>IF(G$76='weitere Besondere Leistungen'!$N$32,'weitere Besondere Leistungen'!$L$32,0)</f>
        <v>0</v>
      </c>
      <c r="H89" s="234">
        <f>IF(H$76='weitere Besondere Leistungen'!$N$32,'weitere Besondere Leistungen'!$L$32,0)</f>
        <v>0</v>
      </c>
      <c r="I89" s="234">
        <f>IF(I$76='weitere Besondere Leistungen'!$N$32,'weitere Besondere Leistungen'!$L$32,0)</f>
        <v>0</v>
      </c>
      <c r="J89" s="234">
        <f>IF(J$76='weitere Besondere Leistungen'!$N$32,'weitere Besondere Leistungen'!$L$32,0)</f>
        <v>0</v>
      </c>
      <c r="K89" s="235">
        <f>IF(K$76='weitere Besondere Leistungen'!$N$32,'weitere Besondere Leistungen'!$L$32,0)</f>
        <v>0</v>
      </c>
      <c r="X89" s="14"/>
      <c r="Y89" s="13"/>
      <c r="Z89" s="15"/>
    </row>
    <row r="90" spans="2:26" ht="14.55" x14ac:dyDescent="0.3">
      <c r="B90" s="242"/>
      <c r="C90" s="233">
        <f>IF(C$76='weitere Besondere Leistungen'!$N$34,'weitere Besondere Leistungen'!$L$34,0)</f>
        <v>0</v>
      </c>
      <c r="D90" s="234">
        <f>IF(D$76='weitere Besondere Leistungen'!$N$34,'weitere Besondere Leistungen'!$L$34,0)</f>
        <v>0</v>
      </c>
      <c r="E90" s="234">
        <f>IF(E$76='weitere Besondere Leistungen'!$N$34,'weitere Besondere Leistungen'!$L$34,0)</f>
        <v>0</v>
      </c>
      <c r="F90" s="234">
        <f>IF(F$76='weitere Besondere Leistungen'!$N$34,'weitere Besondere Leistungen'!$L$34,0)</f>
        <v>0</v>
      </c>
      <c r="G90" s="234">
        <f>IF(G$76='weitere Besondere Leistungen'!$N$34,'weitere Besondere Leistungen'!$L$34,0)</f>
        <v>0</v>
      </c>
      <c r="H90" s="234">
        <f>IF(H$76='weitere Besondere Leistungen'!$N$34,'weitere Besondere Leistungen'!$L$34,0)</f>
        <v>0</v>
      </c>
      <c r="I90" s="234">
        <f>IF(I$76='weitere Besondere Leistungen'!$N$34,'weitere Besondere Leistungen'!$L$34,0)</f>
        <v>0</v>
      </c>
      <c r="J90" s="234">
        <f>IF(J$76='weitere Besondere Leistungen'!$N$34,'weitere Besondere Leistungen'!$L$34,0)</f>
        <v>0</v>
      </c>
      <c r="K90" s="235">
        <f>IF(K$76='weitere Besondere Leistungen'!$N$34,'weitere Besondere Leistungen'!$L$34,0)</f>
        <v>0</v>
      </c>
      <c r="X90" s="14"/>
      <c r="Y90" s="13"/>
      <c r="Z90" s="15"/>
    </row>
    <row r="91" spans="2:26" ht="14.55" x14ac:dyDescent="0.3">
      <c r="B91" s="242"/>
      <c r="C91" s="233">
        <f>IF(C$76='weitere Besondere Leistungen'!$N$36,'weitere Besondere Leistungen'!$L$36,0)</f>
        <v>0</v>
      </c>
      <c r="D91" s="234">
        <f>IF(D$76='weitere Besondere Leistungen'!$N$36,'weitere Besondere Leistungen'!$L$36,0)</f>
        <v>0</v>
      </c>
      <c r="E91" s="234">
        <f>IF(E$76='weitere Besondere Leistungen'!$N$36,'weitere Besondere Leistungen'!$L$36,0)</f>
        <v>0</v>
      </c>
      <c r="F91" s="234">
        <f>IF(F$76='weitere Besondere Leistungen'!$N$36,'weitere Besondere Leistungen'!$L$36,0)</f>
        <v>0</v>
      </c>
      <c r="G91" s="234">
        <f>IF(G$76='weitere Besondere Leistungen'!$N$36,'weitere Besondere Leistungen'!$L$36,0)</f>
        <v>0</v>
      </c>
      <c r="H91" s="234">
        <f>IF(H$76='weitere Besondere Leistungen'!$N$36,'weitere Besondere Leistungen'!$L$36,0)</f>
        <v>0</v>
      </c>
      <c r="I91" s="234">
        <f>IF(I$76='weitere Besondere Leistungen'!$N$36,'weitere Besondere Leistungen'!$L$36,0)</f>
        <v>0</v>
      </c>
      <c r="J91" s="234">
        <f>IF(J$76='weitere Besondere Leistungen'!$N$36,'weitere Besondere Leistungen'!$L$36,0)</f>
        <v>0</v>
      </c>
      <c r="K91" s="235">
        <f>IF(K$76='weitere Besondere Leistungen'!$N$36,'weitere Besondere Leistungen'!$L$36,0)</f>
        <v>0</v>
      </c>
      <c r="X91" s="14"/>
      <c r="Y91" s="13"/>
      <c r="Z91" s="15"/>
    </row>
    <row r="92" spans="2:26" ht="14.55" x14ac:dyDescent="0.3">
      <c r="B92" s="242"/>
      <c r="C92" s="233">
        <f>IF(C$76='weitere Besondere Leistungen'!$N$38,'weitere Besondere Leistungen'!$L$38,0)</f>
        <v>0</v>
      </c>
      <c r="D92" s="234">
        <f>IF(D$76='weitere Besondere Leistungen'!$N$38,'weitere Besondere Leistungen'!$L$38,0)</f>
        <v>0</v>
      </c>
      <c r="E92" s="234">
        <f>IF(E$76='weitere Besondere Leistungen'!$N$38,'weitere Besondere Leistungen'!$L$38,0)</f>
        <v>0</v>
      </c>
      <c r="F92" s="234">
        <f>IF(F$76='weitere Besondere Leistungen'!$N$38,'weitere Besondere Leistungen'!$L$38,0)</f>
        <v>0</v>
      </c>
      <c r="G92" s="234">
        <f>IF(G$76='weitere Besondere Leistungen'!$N$38,'weitere Besondere Leistungen'!$L$38,0)</f>
        <v>0</v>
      </c>
      <c r="H92" s="234">
        <f>IF(H$76='weitere Besondere Leistungen'!$N$38,'weitere Besondere Leistungen'!$L$38,0)</f>
        <v>0</v>
      </c>
      <c r="I92" s="234">
        <f>IF(I$76='weitere Besondere Leistungen'!$N$38,'weitere Besondere Leistungen'!$L$38,0)</f>
        <v>0</v>
      </c>
      <c r="J92" s="234">
        <f>IF(J$76='weitere Besondere Leistungen'!$N$38,'weitere Besondere Leistungen'!$L$38,0)</f>
        <v>0</v>
      </c>
      <c r="K92" s="235">
        <f>IF(K$76='weitere Besondere Leistungen'!$N$38,'weitere Besondere Leistungen'!$L$38,0)</f>
        <v>0</v>
      </c>
      <c r="X92" s="14"/>
      <c r="Y92" s="13"/>
      <c r="Z92" s="15"/>
    </row>
    <row r="93" spans="2:26" ht="14.55" x14ac:dyDescent="0.3">
      <c r="B93" s="242"/>
      <c r="C93" s="233">
        <f>IF(C$76='weitere Besondere Leistungen'!$N$40,'weitere Besondere Leistungen'!$L$40,0)</f>
        <v>0</v>
      </c>
      <c r="D93" s="234">
        <f>IF(D$76='weitere Besondere Leistungen'!$N$40,'weitere Besondere Leistungen'!$L$40,0)</f>
        <v>0</v>
      </c>
      <c r="E93" s="234">
        <f>IF(E$76='weitere Besondere Leistungen'!$N$40,'weitere Besondere Leistungen'!$L$40,0)</f>
        <v>0</v>
      </c>
      <c r="F93" s="234">
        <f>IF(F$76='weitere Besondere Leistungen'!$N$40,'weitere Besondere Leistungen'!$L$40,0)</f>
        <v>0</v>
      </c>
      <c r="G93" s="234">
        <f>IF(G$76='weitere Besondere Leistungen'!$N$40,'weitere Besondere Leistungen'!$L$40,0)</f>
        <v>0</v>
      </c>
      <c r="H93" s="234">
        <f>IF(H$76='weitere Besondere Leistungen'!$N$40,'weitere Besondere Leistungen'!$L$40,0)</f>
        <v>0</v>
      </c>
      <c r="I93" s="234">
        <f>IF(I$76='weitere Besondere Leistungen'!$N$40,'weitere Besondere Leistungen'!$L$40,0)</f>
        <v>0</v>
      </c>
      <c r="J93" s="234">
        <f>IF(J$76='weitere Besondere Leistungen'!$N$40,'weitere Besondere Leistungen'!$L$40,0)</f>
        <v>0</v>
      </c>
      <c r="K93" s="235">
        <f>IF(K$76='weitere Besondere Leistungen'!$N$40,'weitere Besondere Leistungen'!$L$40,0)</f>
        <v>0</v>
      </c>
      <c r="X93" s="14"/>
      <c r="Y93" s="13"/>
      <c r="Z93" s="15"/>
    </row>
    <row r="94" spans="2:26" ht="14.55" x14ac:dyDescent="0.3">
      <c r="B94" s="242"/>
      <c r="C94" s="233">
        <f>IF(C$76='weitere Besondere Leistungen'!$N$42,'weitere Besondere Leistungen'!$L$42,0)</f>
        <v>0</v>
      </c>
      <c r="D94" s="234">
        <f>IF(D$76='weitere Besondere Leistungen'!$N$42,'weitere Besondere Leistungen'!$L$42,0)</f>
        <v>0</v>
      </c>
      <c r="E94" s="234">
        <f>IF(E$76='weitere Besondere Leistungen'!$N$42,'weitere Besondere Leistungen'!$L$42,0)</f>
        <v>0</v>
      </c>
      <c r="F94" s="234">
        <f>IF(F$76='weitere Besondere Leistungen'!$N$42,'weitere Besondere Leistungen'!$L$42,0)</f>
        <v>0</v>
      </c>
      <c r="G94" s="234">
        <f>IF(G$76='weitere Besondere Leistungen'!$N$42,'weitere Besondere Leistungen'!$L$42,0)</f>
        <v>0</v>
      </c>
      <c r="H94" s="234">
        <f>IF(H$76='weitere Besondere Leistungen'!$N$42,'weitere Besondere Leistungen'!$L$42,0)</f>
        <v>0</v>
      </c>
      <c r="I94" s="234">
        <f>IF(I$76='weitere Besondere Leistungen'!$N$42,'weitere Besondere Leistungen'!$L$42,0)</f>
        <v>0</v>
      </c>
      <c r="J94" s="234">
        <f>IF(J$76='weitere Besondere Leistungen'!$N$42,'weitere Besondere Leistungen'!$L$42,0)</f>
        <v>0</v>
      </c>
      <c r="K94" s="235">
        <f>IF(K$76='weitere Besondere Leistungen'!$N$42,'weitere Besondere Leistungen'!$L$42,0)</f>
        <v>0</v>
      </c>
      <c r="X94" s="14"/>
      <c r="Y94" s="13"/>
      <c r="Z94" s="15"/>
    </row>
    <row r="95" spans="2:26" ht="14.55" x14ac:dyDescent="0.3">
      <c r="B95" s="242"/>
      <c r="C95" s="233">
        <f>IF(C$76='weitere Besondere Leistungen'!$N$44,'weitere Besondere Leistungen'!$L$44,0)</f>
        <v>0</v>
      </c>
      <c r="D95" s="234">
        <f>IF(D$76='weitere Besondere Leistungen'!$N$44,'weitere Besondere Leistungen'!$L$44,0)</f>
        <v>0</v>
      </c>
      <c r="E95" s="234">
        <f>IF(E$76='weitere Besondere Leistungen'!$N$44,'weitere Besondere Leistungen'!$L$44,0)</f>
        <v>0</v>
      </c>
      <c r="F95" s="234">
        <f>IF(F$76='weitere Besondere Leistungen'!$N$44,'weitere Besondere Leistungen'!$L$44,0)</f>
        <v>0</v>
      </c>
      <c r="G95" s="234">
        <f>IF(G$76='weitere Besondere Leistungen'!$N$44,'weitere Besondere Leistungen'!$L$44,0)</f>
        <v>0</v>
      </c>
      <c r="H95" s="234">
        <f>IF(H$76='weitere Besondere Leistungen'!$N$44,'weitere Besondere Leistungen'!$L$44,0)</f>
        <v>0</v>
      </c>
      <c r="I95" s="234">
        <f>IF(I$76='weitere Besondere Leistungen'!$N$44,'weitere Besondere Leistungen'!$L$44,0)</f>
        <v>0</v>
      </c>
      <c r="J95" s="234">
        <f>IF(J$76='weitere Besondere Leistungen'!$N$44,'weitere Besondere Leistungen'!$L$44,0)</f>
        <v>0</v>
      </c>
      <c r="K95" s="235">
        <f>IF(K$76='weitere Besondere Leistungen'!$N$44,'weitere Besondere Leistungen'!$L$44,0)</f>
        <v>0</v>
      </c>
      <c r="X95" s="14"/>
      <c r="Y95" s="13"/>
      <c r="Z95" s="15"/>
    </row>
    <row r="96" spans="2:26" ht="14.55" x14ac:dyDescent="0.3">
      <c r="B96" s="242"/>
      <c r="C96" s="233">
        <f>IF(C$76='weitere Besondere Leistungen'!$N$46,'weitere Besondere Leistungen'!$L$46,0)</f>
        <v>0</v>
      </c>
      <c r="D96" s="234">
        <f>IF(D$76='weitere Besondere Leistungen'!$N$46,'weitere Besondere Leistungen'!$L$46,0)</f>
        <v>0</v>
      </c>
      <c r="E96" s="234">
        <f>IF(E$76='weitere Besondere Leistungen'!$N$46,'weitere Besondere Leistungen'!$L$46,0)</f>
        <v>0</v>
      </c>
      <c r="F96" s="234">
        <f>IF(F$76='weitere Besondere Leistungen'!$N$46,'weitere Besondere Leistungen'!$L$46,0)</f>
        <v>0</v>
      </c>
      <c r="G96" s="234">
        <f>IF(G$76='weitere Besondere Leistungen'!$N$46,'weitere Besondere Leistungen'!$L$46,0)</f>
        <v>0</v>
      </c>
      <c r="H96" s="234">
        <f>IF(H$76='weitere Besondere Leistungen'!$N$46,'weitere Besondere Leistungen'!$L$46,0)</f>
        <v>0</v>
      </c>
      <c r="I96" s="234">
        <f>IF(I$76='weitere Besondere Leistungen'!$N$46,'weitere Besondere Leistungen'!$L$46,0)</f>
        <v>0</v>
      </c>
      <c r="J96" s="234">
        <f>IF(J$76='weitere Besondere Leistungen'!$N$46,'weitere Besondere Leistungen'!$L$46,0)</f>
        <v>0</v>
      </c>
      <c r="K96" s="235">
        <f>IF(K$76='weitere Besondere Leistungen'!$N$46,'weitere Besondere Leistungen'!$L$46,0)</f>
        <v>0</v>
      </c>
      <c r="X96" s="14"/>
      <c r="Y96" s="13"/>
      <c r="Z96" s="15"/>
    </row>
    <row r="97" spans="2:26" ht="14.55" x14ac:dyDescent="0.3">
      <c r="B97" s="242"/>
      <c r="C97" s="233">
        <f>IF(C$76='weitere Besondere Leistungen'!$N$48,'weitere Besondere Leistungen'!$L$48,0)</f>
        <v>0</v>
      </c>
      <c r="D97" s="234">
        <f>IF(D$76='weitere Besondere Leistungen'!$N$48,'weitere Besondere Leistungen'!$L$48,0)</f>
        <v>0</v>
      </c>
      <c r="E97" s="234">
        <f>IF(E$76='weitere Besondere Leistungen'!$N$48,'weitere Besondere Leistungen'!$L$48,0)</f>
        <v>0</v>
      </c>
      <c r="F97" s="234">
        <f>IF(F$76='weitere Besondere Leistungen'!$N$48,'weitere Besondere Leistungen'!$L$48,0)</f>
        <v>0</v>
      </c>
      <c r="G97" s="234">
        <f>IF(G$76='weitere Besondere Leistungen'!$N$48,'weitere Besondere Leistungen'!$L$48,0)</f>
        <v>0</v>
      </c>
      <c r="H97" s="234">
        <f>IF(H$76='weitere Besondere Leistungen'!$N$48,'weitere Besondere Leistungen'!$L$48,0)</f>
        <v>0</v>
      </c>
      <c r="I97" s="234">
        <f>IF(I$76='weitere Besondere Leistungen'!$N$48,'weitere Besondere Leistungen'!$L$48,0)</f>
        <v>0</v>
      </c>
      <c r="J97" s="234">
        <f>IF(J$76='weitere Besondere Leistungen'!$N$48,'weitere Besondere Leistungen'!$L$48,0)</f>
        <v>0</v>
      </c>
      <c r="K97" s="235">
        <f>IF(K$76='weitere Besondere Leistungen'!$N$48,'weitere Besondere Leistungen'!$L$48,0)</f>
        <v>0</v>
      </c>
      <c r="X97" s="14"/>
      <c r="Y97" s="13"/>
      <c r="Z97" s="15"/>
    </row>
    <row r="98" spans="2:26" ht="14.55" x14ac:dyDescent="0.3">
      <c r="B98" s="242"/>
      <c r="C98" s="233">
        <f>IF(C$76='weitere Besondere Leistungen'!$N$50,'weitere Besondere Leistungen'!$L$50,0)</f>
        <v>0</v>
      </c>
      <c r="D98" s="234">
        <f>IF(D$76='weitere Besondere Leistungen'!$N$50,'weitere Besondere Leistungen'!$L$50,0)</f>
        <v>0</v>
      </c>
      <c r="E98" s="234">
        <f>IF(E$76='weitere Besondere Leistungen'!$N$50,'weitere Besondere Leistungen'!$L$50,0)</f>
        <v>0</v>
      </c>
      <c r="F98" s="234">
        <f>IF(F$76='weitere Besondere Leistungen'!$N$50,'weitere Besondere Leistungen'!$L$50,0)</f>
        <v>0</v>
      </c>
      <c r="G98" s="234">
        <f>IF(G$76='weitere Besondere Leistungen'!$N$50,'weitere Besondere Leistungen'!$L$50,0)</f>
        <v>0</v>
      </c>
      <c r="H98" s="234">
        <f>IF(H$76='weitere Besondere Leistungen'!$N$50,'weitere Besondere Leistungen'!$L$50,0)</f>
        <v>0</v>
      </c>
      <c r="I98" s="234">
        <f>IF(I$76='weitere Besondere Leistungen'!$N$50,'weitere Besondere Leistungen'!$L$50,0)</f>
        <v>0</v>
      </c>
      <c r="J98" s="234">
        <f>IF(J$76='weitere Besondere Leistungen'!$N$50,'weitere Besondere Leistungen'!$L$50,0)</f>
        <v>0</v>
      </c>
      <c r="K98" s="235">
        <f>IF(K$76='weitere Besondere Leistungen'!$N$50,'weitere Besondere Leistungen'!$L$50,0)</f>
        <v>0</v>
      </c>
      <c r="X98" s="14"/>
      <c r="Y98" s="13"/>
      <c r="Z98" s="15"/>
    </row>
    <row r="99" spans="2:26" ht="14.55" x14ac:dyDescent="0.3">
      <c r="B99" s="242"/>
      <c r="C99" s="233">
        <f>IF(C$76='weitere Besondere Leistungen'!$N$52,'weitere Besondere Leistungen'!$L$52,0)</f>
        <v>0</v>
      </c>
      <c r="D99" s="234">
        <f>IF(D$76='weitere Besondere Leistungen'!$N$52,'weitere Besondere Leistungen'!$L$52,0)</f>
        <v>0</v>
      </c>
      <c r="E99" s="234">
        <f>IF(E$76='weitere Besondere Leistungen'!$N$52,'weitere Besondere Leistungen'!$L$52,0)</f>
        <v>0</v>
      </c>
      <c r="F99" s="234">
        <f>IF(F$76='weitere Besondere Leistungen'!$N$52,'weitere Besondere Leistungen'!$L$52,0)</f>
        <v>0</v>
      </c>
      <c r="G99" s="234">
        <f>IF(G$76='weitere Besondere Leistungen'!$N$52,'weitere Besondere Leistungen'!$L$52,0)</f>
        <v>0</v>
      </c>
      <c r="H99" s="234">
        <f>IF(H$76='weitere Besondere Leistungen'!$N$52,'weitere Besondere Leistungen'!$L$52,0)</f>
        <v>0</v>
      </c>
      <c r="I99" s="234">
        <f>IF(I$76='weitere Besondere Leistungen'!$N$52,'weitere Besondere Leistungen'!$L$52,0)</f>
        <v>0</v>
      </c>
      <c r="J99" s="234">
        <f>IF(J$76='weitere Besondere Leistungen'!$N$52,'weitere Besondere Leistungen'!$L$52,0)</f>
        <v>0</v>
      </c>
      <c r="K99" s="235">
        <f>IF(K$76='weitere Besondere Leistungen'!$N$52,'weitere Besondere Leistungen'!$L$52,0)</f>
        <v>0</v>
      </c>
      <c r="X99" s="14"/>
      <c r="Y99" s="13"/>
      <c r="Z99" s="15"/>
    </row>
    <row r="100" spans="2:26" ht="14.55" x14ac:dyDescent="0.3">
      <c r="B100" s="242"/>
      <c r="C100" s="233">
        <f>IF(C$76='weitere Besondere Leistungen'!$N$54,'weitere Besondere Leistungen'!$L$54,0)</f>
        <v>0</v>
      </c>
      <c r="D100" s="234">
        <f>IF(D$76='weitere Besondere Leistungen'!$N$54,'weitere Besondere Leistungen'!$L$54,0)</f>
        <v>0</v>
      </c>
      <c r="E100" s="234">
        <f>IF(E$76='weitere Besondere Leistungen'!$N$54,'weitere Besondere Leistungen'!$L$54,0)</f>
        <v>0</v>
      </c>
      <c r="F100" s="234">
        <f>IF(F$76='weitere Besondere Leistungen'!$N$54,'weitere Besondere Leistungen'!$L$54,0)</f>
        <v>0</v>
      </c>
      <c r="G100" s="234">
        <f>IF(G$76='weitere Besondere Leistungen'!$N$54,'weitere Besondere Leistungen'!$L$54,0)</f>
        <v>0</v>
      </c>
      <c r="H100" s="234">
        <f>IF(H$76='weitere Besondere Leistungen'!$N$54,'weitere Besondere Leistungen'!$L$54,0)</f>
        <v>0</v>
      </c>
      <c r="I100" s="234">
        <f>IF(I$76='weitere Besondere Leistungen'!$N$54,'weitere Besondere Leistungen'!$L$54,0)</f>
        <v>0</v>
      </c>
      <c r="J100" s="234">
        <f>IF(J$76='weitere Besondere Leistungen'!$N$54,'weitere Besondere Leistungen'!$L$54,0)</f>
        <v>0</v>
      </c>
      <c r="K100" s="235">
        <f>IF(K$76='weitere Besondere Leistungen'!$N$54,'weitere Besondere Leistungen'!$L$54,0)</f>
        <v>0</v>
      </c>
      <c r="X100" s="14"/>
      <c r="Y100" s="13"/>
      <c r="Z100" s="15"/>
    </row>
    <row r="101" spans="2:26" ht="14.55" x14ac:dyDescent="0.3">
      <c r="B101" s="242"/>
      <c r="C101" s="233">
        <f>IF(C$76='weitere Besondere Leistungen'!$N$60,'weitere Besondere Leistungen'!$L$60,0)</f>
        <v>0</v>
      </c>
      <c r="D101" s="234">
        <f>IF(D$76='weitere Besondere Leistungen'!$N$60,'weitere Besondere Leistungen'!$L$60,0)</f>
        <v>0</v>
      </c>
      <c r="E101" s="234">
        <f>IF(E$76='weitere Besondere Leistungen'!$N$60,'weitere Besondere Leistungen'!$L$60,0)</f>
        <v>0</v>
      </c>
      <c r="F101" s="234">
        <f>IF(F$76='weitere Besondere Leistungen'!$N$60,'weitere Besondere Leistungen'!$L$60,0)</f>
        <v>0</v>
      </c>
      <c r="G101" s="234">
        <f>IF(G$76='weitere Besondere Leistungen'!$N$60,'weitere Besondere Leistungen'!$L$60,0)</f>
        <v>0</v>
      </c>
      <c r="H101" s="234">
        <f>IF(H$76='weitere Besondere Leistungen'!$N$60,'weitere Besondere Leistungen'!$L$60,0)</f>
        <v>0</v>
      </c>
      <c r="I101" s="234">
        <f>IF(I$76='weitere Besondere Leistungen'!$N$60,'weitere Besondere Leistungen'!$L$60,0)</f>
        <v>0</v>
      </c>
      <c r="J101" s="234">
        <f>IF(J$76='weitere Besondere Leistungen'!$N$60,'weitere Besondere Leistungen'!$L$60,0)</f>
        <v>0</v>
      </c>
      <c r="K101" s="235">
        <f>IF(K$76='weitere Besondere Leistungen'!$N$60,'weitere Besondere Leistungen'!$L$60,0)</f>
        <v>0</v>
      </c>
      <c r="X101" s="14"/>
      <c r="Y101" s="13"/>
      <c r="Z101" s="15"/>
    </row>
    <row r="102" spans="2:26" ht="14.55" x14ac:dyDescent="0.3">
      <c r="B102" s="242"/>
      <c r="C102" s="233">
        <f>IF(C$76='weitere Besondere Leistungen'!$N$62,'weitere Besondere Leistungen'!$L$62,0)</f>
        <v>0</v>
      </c>
      <c r="D102" s="234">
        <f>IF(D$76='weitere Besondere Leistungen'!$N$62,'weitere Besondere Leistungen'!$L$62,0)</f>
        <v>0</v>
      </c>
      <c r="E102" s="234">
        <f>IF(E$76='weitere Besondere Leistungen'!$N$62,'weitere Besondere Leistungen'!$L$62,0)</f>
        <v>0</v>
      </c>
      <c r="F102" s="234">
        <f>IF(F$76='weitere Besondere Leistungen'!$N$62,'weitere Besondere Leistungen'!$L$62,0)</f>
        <v>0</v>
      </c>
      <c r="G102" s="234">
        <f>IF(G$76='weitere Besondere Leistungen'!$N$62,'weitere Besondere Leistungen'!$L$62,0)</f>
        <v>0</v>
      </c>
      <c r="H102" s="234">
        <f>IF(H$76='weitere Besondere Leistungen'!$N$62,'weitere Besondere Leistungen'!$L$62,0)</f>
        <v>0</v>
      </c>
      <c r="I102" s="234">
        <f>IF(I$76='weitere Besondere Leistungen'!$N$62,'weitere Besondere Leistungen'!$L$62,0)</f>
        <v>0</v>
      </c>
      <c r="J102" s="234">
        <f>IF(J$76='weitere Besondere Leistungen'!$N$62,'weitere Besondere Leistungen'!$L$62,0)</f>
        <v>0</v>
      </c>
      <c r="K102" s="235">
        <f>IF(K$76='weitere Besondere Leistungen'!$N$62,'weitere Besondere Leistungen'!$L$62,0)</f>
        <v>0</v>
      </c>
      <c r="X102" s="14"/>
      <c r="Y102" s="13"/>
      <c r="Z102" s="15"/>
    </row>
    <row r="103" spans="2:26" ht="14.55" x14ac:dyDescent="0.3">
      <c r="B103" s="242"/>
      <c r="C103" s="233">
        <f>IF(C$76='weitere Besondere Leistungen'!$N$64,'weitere Besondere Leistungen'!$L$64,0)</f>
        <v>0</v>
      </c>
      <c r="D103" s="234">
        <f>IF(D$76='weitere Besondere Leistungen'!$N$64,'weitere Besondere Leistungen'!$L$64,0)</f>
        <v>0</v>
      </c>
      <c r="E103" s="234">
        <f>IF(E$76='weitere Besondere Leistungen'!$N$64,'weitere Besondere Leistungen'!$L$64,0)</f>
        <v>0</v>
      </c>
      <c r="F103" s="234">
        <f>IF(F$76='weitere Besondere Leistungen'!$N$64,'weitere Besondere Leistungen'!$L$64,0)</f>
        <v>0</v>
      </c>
      <c r="G103" s="234">
        <f>IF(G$76='weitere Besondere Leistungen'!$N$64,'weitere Besondere Leistungen'!$L$64,0)</f>
        <v>0</v>
      </c>
      <c r="H103" s="234">
        <f>IF(H$76='weitere Besondere Leistungen'!$N$64,'weitere Besondere Leistungen'!$L$64,0)</f>
        <v>0</v>
      </c>
      <c r="I103" s="234">
        <f>IF(I$76='weitere Besondere Leistungen'!$N$64,'weitere Besondere Leistungen'!$L$64,0)</f>
        <v>0</v>
      </c>
      <c r="J103" s="234">
        <f>IF(J$76='weitere Besondere Leistungen'!$N$64,'weitere Besondere Leistungen'!$L$64,0)</f>
        <v>0</v>
      </c>
      <c r="K103" s="235">
        <f>IF(K$76='weitere Besondere Leistungen'!$N$64,'weitere Besondere Leistungen'!$L$64,0)</f>
        <v>0</v>
      </c>
      <c r="X103" s="14"/>
      <c r="Y103" s="13"/>
      <c r="Z103" s="15"/>
    </row>
    <row r="104" spans="2:26" ht="14.55" x14ac:dyDescent="0.3">
      <c r="B104" s="242"/>
      <c r="C104" s="233">
        <f>IF(C$76='weitere Besondere Leistungen'!$N$66,'weitere Besondere Leistungen'!$L$66,0)</f>
        <v>0</v>
      </c>
      <c r="D104" s="234">
        <f>IF(D$76='weitere Besondere Leistungen'!$N$66,'weitere Besondere Leistungen'!$L$66,0)</f>
        <v>0</v>
      </c>
      <c r="E104" s="234">
        <f>IF(E$76='weitere Besondere Leistungen'!$N$66,'weitere Besondere Leistungen'!$L$66,0)</f>
        <v>0</v>
      </c>
      <c r="F104" s="234">
        <f>IF(F$76='weitere Besondere Leistungen'!$N$66,'weitere Besondere Leistungen'!$L$66,0)</f>
        <v>0</v>
      </c>
      <c r="G104" s="234">
        <f>IF(G$76='weitere Besondere Leistungen'!$N$66,'weitere Besondere Leistungen'!$L$66,0)</f>
        <v>0</v>
      </c>
      <c r="H104" s="234">
        <f>IF(H$76='weitere Besondere Leistungen'!$N$66,'weitere Besondere Leistungen'!$L$66,0)</f>
        <v>0</v>
      </c>
      <c r="I104" s="234">
        <f>IF(I$76='weitere Besondere Leistungen'!$N$66,'weitere Besondere Leistungen'!$L$66,0)</f>
        <v>0</v>
      </c>
      <c r="J104" s="234">
        <f>IF(J$76='weitere Besondere Leistungen'!$N$66,'weitere Besondere Leistungen'!$L$66,0)</f>
        <v>0</v>
      </c>
      <c r="K104" s="235">
        <f>IF(K$76='weitere Besondere Leistungen'!$N$66,'weitere Besondere Leistungen'!$L$66,0)</f>
        <v>0</v>
      </c>
      <c r="X104" s="14"/>
      <c r="Y104" s="13"/>
      <c r="Z104" s="15"/>
    </row>
    <row r="105" spans="2:26" ht="15.2" thickBot="1" x14ac:dyDescent="0.35">
      <c r="B105" s="444"/>
      <c r="C105" s="236">
        <f>IF(C$76='weitere Besondere Leistungen'!$N$68,'weitere Besondere Leistungen'!$L$68,0)</f>
        <v>0</v>
      </c>
      <c r="D105" s="237">
        <f>IF(D$76='weitere Besondere Leistungen'!$N$68,'weitere Besondere Leistungen'!$L$68,0)</f>
        <v>0</v>
      </c>
      <c r="E105" s="237">
        <f>IF(E$76='weitere Besondere Leistungen'!$N$68,'weitere Besondere Leistungen'!$L$68,0)</f>
        <v>0</v>
      </c>
      <c r="F105" s="237">
        <f>IF(F$76='weitere Besondere Leistungen'!$N$68,'weitere Besondere Leistungen'!$L$68,0)</f>
        <v>0</v>
      </c>
      <c r="G105" s="237">
        <f>IF(G$76='weitere Besondere Leistungen'!$N$68,'weitere Besondere Leistungen'!$L$68,0)</f>
        <v>0</v>
      </c>
      <c r="H105" s="237">
        <f>IF(H$76='weitere Besondere Leistungen'!$N$68,'weitere Besondere Leistungen'!$L$68,0)</f>
        <v>0</v>
      </c>
      <c r="I105" s="237">
        <f>IF(I$76='weitere Besondere Leistungen'!$N$68,'weitere Besondere Leistungen'!$L$68,0)</f>
        <v>0</v>
      </c>
      <c r="J105" s="237">
        <f>IF(J$76='weitere Besondere Leistungen'!$N$68,'weitere Besondere Leistungen'!$L$68,0)</f>
        <v>0</v>
      </c>
      <c r="K105" s="238">
        <f>IF(K$76='weitere Besondere Leistungen'!$N$68,'weitere Besondere Leistungen'!$L$68,0)</f>
        <v>0</v>
      </c>
      <c r="X105" s="14"/>
      <c r="Y105" s="13"/>
      <c r="Z105" s="15"/>
    </row>
    <row r="106" spans="2:26" ht="15.2" thickBot="1" x14ac:dyDescent="0.35">
      <c r="B106" s="244"/>
      <c r="C106" s="239">
        <f t="shared" ref="C106:K106" si="0">SUM(C77:C105)</f>
        <v>0</v>
      </c>
      <c r="D106" s="239">
        <f t="shared" si="0"/>
        <v>0</v>
      </c>
      <c r="E106" s="239">
        <f t="shared" si="0"/>
        <v>0</v>
      </c>
      <c r="F106" s="239">
        <f t="shared" si="0"/>
        <v>0</v>
      </c>
      <c r="G106" s="239">
        <f t="shared" si="0"/>
        <v>0</v>
      </c>
      <c r="H106" s="239">
        <f t="shared" si="0"/>
        <v>0</v>
      </c>
      <c r="I106" s="239">
        <f t="shared" si="0"/>
        <v>0</v>
      </c>
      <c r="J106" s="239">
        <f t="shared" si="0"/>
        <v>0</v>
      </c>
      <c r="K106" s="239">
        <f t="shared" si="0"/>
        <v>0</v>
      </c>
      <c r="X106" s="14"/>
      <c r="Y106" s="13"/>
      <c r="Z106" s="15"/>
    </row>
    <row r="107" spans="2:26" ht="14.55" x14ac:dyDescent="0.3">
      <c r="X107" s="14"/>
      <c r="Y107" s="13"/>
      <c r="Z107" s="15"/>
    </row>
    <row r="108" spans="2:26" ht="15.2" thickBot="1" x14ac:dyDescent="0.35">
      <c r="X108" s="14"/>
      <c r="Y108" s="13"/>
      <c r="Z108" s="15"/>
    </row>
    <row r="109" spans="2:26" ht="15.2" thickBot="1" x14ac:dyDescent="0.35">
      <c r="B109" s="2150" t="str">
        <f>'weitere Besondere Leistungen'!B71</f>
        <v xml:space="preserve"> Besondere Leistungen im Zusammenhang mit der Hochbauplanung</v>
      </c>
      <c r="C109" s="2151"/>
      <c r="D109" s="2151"/>
      <c r="E109" s="2151"/>
      <c r="F109" s="2151"/>
      <c r="G109" s="2151"/>
      <c r="H109" s="2151"/>
      <c r="I109" s="2151"/>
      <c r="J109" s="2151"/>
      <c r="K109" s="2152"/>
      <c r="X109" s="14"/>
      <c r="Y109" s="13"/>
      <c r="Z109" s="15"/>
    </row>
    <row r="110" spans="2:26" ht="15.2" thickBot="1" x14ac:dyDescent="0.35">
      <c r="B110" s="386" t="s">
        <v>105</v>
      </c>
      <c r="C110" s="367">
        <v>1</v>
      </c>
      <c r="D110" s="368">
        <v>2</v>
      </c>
      <c r="E110" s="368">
        <v>3</v>
      </c>
      <c r="F110" s="368">
        <v>4</v>
      </c>
      <c r="G110" s="368">
        <v>5</v>
      </c>
      <c r="H110" s="368">
        <v>6</v>
      </c>
      <c r="I110" s="368">
        <v>7</v>
      </c>
      <c r="J110" s="368">
        <v>8</v>
      </c>
      <c r="K110" s="387">
        <v>9</v>
      </c>
      <c r="X110" s="14"/>
      <c r="Y110" s="13"/>
      <c r="Z110" s="15"/>
    </row>
    <row r="111" spans="2:26" ht="14.55" x14ac:dyDescent="0.3">
      <c r="B111" s="240"/>
      <c r="C111" s="230">
        <f>IF(C$110='weitere Besondere Leistungen'!$N$74,'weitere Besondere Leistungen'!$L$74,0)</f>
        <v>0</v>
      </c>
      <c r="D111" s="231">
        <f>IF(D$110='weitere Besondere Leistungen'!$N$74,'weitere Besondere Leistungen'!$L$74,0)</f>
        <v>0</v>
      </c>
      <c r="E111" s="231">
        <f>IF(E$110='weitere Besondere Leistungen'!$N$74,'weitere Besondere Leistungen'!$L$74,0)</f>
        <v>0</v>
      </c>
      <c r="F111" s="231">
        <f>IF(F$110='weitere Besondere Leistungen'!$N$74,'weitere Besondere Leistungen'!$L$74,0)</f>
        <v>0</v>
      </c>
      <c r="G111" s="231">
        <f>IF(G$110='weitere Besondere Leistungen'!$N$74,'weitere Besondere Leistungen'!$L$74,0)</f>
        <v>0</v>
      </c>
      <c r="H111" s="231">
        <f>IF(H$110='weitere Besondere Leistungen'!$N$74,'weitere Besondere Leistungen'!$L$74,0)</f>
        <v>0</v>
      </c>
      <c r="I111" s="231">
        <f>IF(I$110='weitere Besondere Leistungen'!$N$74,'weitere Besondere Leistungen'!$L$74,0)</f>
        <v>0</v>
      </c>
      <c r="J111" s="231">
        <f>IF(J$110='weitere Besondere Leistungen'!$N$74,'weitere Besondere Leistungen'!$L$74,0)</f>
        <v>0</v>
      </c>
      <c r="K111" s="232">
        <f>IF(K$110='weitere Besondere Leistungen'!$N$74,'weitere Besondere Leistungen'!$L$74,0)</f>
        <v>0</v>
      </c>
      <c r="X111" s="14"/>
      <c r="Y111" s="13"/>
      <c r="Z111" s="15"/>
    </row>
    <row r="112" spans="2:26" ht="14.55" x14ac:dyDescent="0.3">
      <c r="B112" s="241"/>
      <c r="C112" s="233">
        <f>IF(C$110='weitere Besondere Leistungen'!$N$76,'weitere Besondere Leistungen'!$L$76,0)</f>
        <v>0</v>
      </c>
      <c r="D112" s="234">
        <f>IF(D$110='weitere Besondere Leistungen'!$N$76,'weitere Besondere Leistungen'!$L$76,0)</f>
        <v>0</v>
      </c>
      <c r="E112" s="234">
        <f>IF(E$110='weitere Besondere Leistungen'!$N$76,'weitere Besondere Leistungen'!$L$76,0)</f>
        <v>0</v>
      </c>
      <c r="F112" s="234">
        <f>IF(F$110='weitere Besondere Leistungen'!$N$76,'weitere Besondere Leistungen'!$L$76,0)</f>
        <v>0</v>
      </c>
      <c r="G112" s="234">
        <f>IF(G$110='weitere Besondere Leistungen'!$N$76,'weitere Besondere Leistungen'!$L$76,0)</f>
        <v>0</v>
      </c>
      <c r="H112" s="234">
        <f>IF(H$110='weitere Besondere Leistungen'!$N$76,'weitere Besondere Leistungen'!$L$76,0)</f>
        <v>0</v>
      </c>
      <c r="I112" s="234">
        <f>IF(I$110='weitere Besondere Leistungen'!$N$76,'weitere Besondere Leistungen'!$L$76,0)</f>
        <v>0</v>
      </c>
      <c r="J112" s="234">
        <f>IF(J$110='weitere Besondere Leistungen'!$N$76,'weitere Besondere Leistungen'!$L$76,0)</f>
        <v>0</v>
      </c>
      <c r="K112" s="235">
        <f>IF(K$110='weitere Besondere Leistungen'!$N$76,'weitere Besondere Leistungen'!$L$76,0)</f>
        <v>0</v>
      </c>
      <c r="X112" s="14"/>
      <c r="Y112" s="13"/>
      <c r="Z112" s="15"/>
    </row>
    <row r="113" spans="2:26" ht="14.55" x14ac:dyDescent="0.3">
      <c r="B113" s="242"/>
      <c r="C113" s="233">
        <f>IF(C$110='weitere Besondere Leistungen'!$N$78,'weitere Besondere Leistungen'!$L$78,0)</f>
        <v>0</v>
      </c>
      <c r="D113" s="234">
        <f>IF(D$110='weitere Besondere Leistungen'!$N$78,'weitere Besondere Leistungen'!$L$78,0)</f>
        <v>0</v>
      </c>
      <c r="E113" s="234">
        <f>IF(E$110='weitere Besondere Leistungen'!$N$78,'weitere Besondere Leistungen'!$L$78,0)</f>
        <v>0</v>
      </c>
      <c r="F113" s="234">
        <f>IF(F$110='weitere Besondere Leistungen'!$N$78,'weitere Besondere Leistungen'!$L$78,0)</f>
        <v>0</v>
      </c>
      <c r="G113" s="234">
        <f>IF(G$110='weitere Besondere Leistungen'!$N$78,'weitere Besondere Leistungen'!$L$78,0)</f>
        <v>0</v>
      </c>
      <c r="H113" s="234">
        <f>IF(H$110='weitere Besondere Leistungen'!$N$78,'weitere Besondere Leistungen'!$L$78,0)</f>
        <v>0</v>
      </c>
      <c r="I113" s="234">
        <f>IF(I$110='weitere Besondere Leistungen'!$N$78,'weitere Besondere Leistungen'!$L$78,0)</f>
        <v>0</v>
      </c>
      <c r="J113" s="234">
        <f>IF(J$110='weitere Besondere Leistungen'!$N$78,'weitere Besondere Leistungen'!$L$78,0)</f>
        <v>0</v>
      </c>
      <c r="K113" s="235">
        <f>IF(K$110='weitere Besondere Leistungen'!$N$78,'weitere Besondere Leistungen'!$L$78,0)</f>
        <v>0</v>
      </c>
      <c r="X113" s="14"/>
      <c r="Y113" s="13"/>
      <c r="Z113" s="15"/>
    </row>
    <row r="114" spans="2:26" ht="14.55" x14ac:dyDescent="0.3">
      <c r="B114" s="242"/>
      <c r="C114" s="233">
        <f>IF(C$110='weitere Besondere Leistungen'!$N$80,'weitere Besondere Leistungen'!$L$80,0)</f>
        <v>0</v>
      </c>
      <c r="D114" s="234">
        <f>IF(D$110='weitere Besondere Leistungen'!$N$80,'weitere Besondere Leistungen'!$L$80,0)</f>
        <v>0</v>
      </c>
      <c r="E114" s="234">
        <f>IF(E$110='weitere Besondere Leistungen'!$N$80,'weitere Besondere Leistungen'!$L$80,0)</f>
        <v>0</v>
      </c>
      <c r="F114" s="234">
        <f>IF(F$110='weitere Besondere Leistungen'!$N$80,'weitere Besondere Leistungen'!$L$80,0)</f>
        <v>0</v>
      </c>
      <c r="G114" s="234">
        <f>IF(G$110='weitere Besondere Leistungen'!$N$80,'weitere Besondere Leistungen'!$L$80,0)</f>
        <v>0</v>
      </c>
      <c r="H114" s="234">
        <f>IF(H$110='weitere Besondere Leistungen'!$N$80,'weitere Besondere Leistungen'!$L$80,0)</f>
        <v>0</v>
      </c>
      <c r="I114" s="234">
        <f>IF(I$110='weitere Besondere Leistungen'!$N$80,'weitere Besondere Leistungen'!$L$80,0)</f>
        <v>0</v>
      </c>
      <c r="J114" s="234">
        <f>IF(J$110='weitere Besondere Leistungen'!$N$80,'weitere Besondere Leistungen'!$L$80,0)</f>
        <v>0</v>
      </c>
      <c r="K114" s="235">
        <f>IF(K$110='weitere Besondere Leistungen'!$N$80,'weitere Besondere Leistungen'!$L$80,0)</f>
        <v>0</v>
      </c>
      <c r="X114" s="14"/>
      <c r="Y114" s="13"/>
      <c r="Z114" s="15"/>
    </row>
    <row r="115" spans="2:26" ht="14.55" x14ac:dyDescent="0.3">
      <c r="B115" s="242"/>
      <c r="C115" s="233">
        <f>IF(C$110='weitere Besondere Leistungen'!$N$82,'weitere Besondere Leistungen'!$L$82,0)</f>
        <v>0</v>
      </c>
      <c r="D115" s="234">
        <f>IF(D$110='weitere Besondere Leistungen'!$N$82,'weitere Besondere Leistungen'!$L$82,0)</f>
        <v>0</v>
      </c>
      <c r="E115" s="234">
        <f>IF(E$110='weitere Besondere Leistungen'!$N$82,'weitere Besondere Leistungen'!$L$82,0)</f>
        <v>0</v>
      </c>
      <c r="F115" s="234">
        <f>IF(F$110='weitere Besondere Leistungen'!$N$82,'weitere Besondere Leistungen'!$L$82,0)</f>
        <v>0</v>
      </c>
      <c r="G115" s="234">
        <f>IF(G$110='weitere Besondere Leistungen'!$N$82,'weitere Besondere Leistungen'!$L$82,0)</f>
        <v>0</v>
      </c>
      <c r="H115" s="234">
        <f>IF(H$110='weitere Besondere Leistungen'!$N$82,'weitere Besondere Leistungen'!$L$82,0)</f>
        <v>0</v>
      </c>
      <c r="I115" s="234">
        <f>IF(I$110='weitere Besondere Leistungen'!$N$82,'weitere Besondere Leistungen'!$L$82,0)</f>
        <v>0</v>
      </c>
      <c r="J115" s="234">
        <f>IF(J$110='weitere Besondere Leistungen'!$N$82,'weitere Besondere Leistungen'!$L$82,0)</f>
        <v>0</v>
      </c>
      <c r="K115" s="235">
        <f>IF(K$110='weitere Besondere Leistungen'!$N$82,'weitere Besondere Leistungen'!$L$82,0)</f>
        <v>0</v>
      </c>
      <c r="X115" s="14"/>
      <c r="Y115" s="13"/>
      <c r="Z115" s="15"/>
    </row>
    <row r="116" spans="2:26" ht="14.55" x14ac:dyDescent="0.3">
      <c r="B116" s="242"/>
      <c r="C116" s="233">
        <f>IF(C$110='weitere Besondere Leistungen'!$N$84,'weitere Besondere Leistungen'!$L$84,0)</f>
        <v>0</v>
      </c>
      <c r="D116" s="234">
        <f>IF(D$110='weitere Besondere Leistungen'!$N$84,'weitere Besondere Leistungen'!$L$84,0)</f>
        <v>0</v>
      </c>
      <c r="E116" s="234">
        <f>IF(E$110='weitere Besondere Leistungen'!$N$84,'weitere Besondere Leistungen'!$L$84,0)</f>
        <v>0</v>
      </c>
      <c r="F116" s="234">
        <f>IF(F$110='weitere Besondere Leistungen'!$N$84,'weitere Besondere Leistungen'!$L$84,0)</f>
        <v>0</v>
      </c>
      <c r="G116" s="234">
        <f>IF(G$110='weitere Besondere Leistungen'!$N$84,'weitere Besondere Leistungen'!$L$84,0)</f>
        <v>0</v>
      </c>
      <c r="H116" s="234">
        <f>IF(H$110='weitere Besondere Leistungen'!$N$84,'weitere Besondere Leistungen'!$L$84,0)</f>
        <v>0</v>
      </c>
      <c r="I116" s="234">
        <f>IF(I$110='weitere Besondere Leistungen'!$N$84,'weitere Besondere Leistungen'!$L$84,0)</f>
        <v>0</v>
      </c>
      <c r="J116" s="234">
        <f>IF(J$110='weitere Besondere Leistungen'!$N$84,'weitere Besondere Leistungen'!$L$84,0)</f>
        <v>0</v>
      </c>
      <c r="K116" s="235">
        <f>IF(K$110='weitere Besondere Leistungen'!$N$84,'weitere Besondere Leistungen'!$L$84,0)</f>
        <v>0</v>
      </c>
      <c r="X116" s="14"/>
      <c r="Y116" s="13"/>
      <c r="Z116" s="15"/>
    </row>
    <row r="117" spans="2:26" ht="14.55" x14ac:dyDescent="0.3">
      <c r="B117" s="242"/>
      <c r="C117" s="233">
        <f>IF(C$110='weitere Besondere Leistungen'!$N$86,'weitere Besondere Leistungen'!$L$86,0)</f>
        <v>0</v>
      </c>
      <c r="D117" s="234">
        <f>IF(D$110='weitere Besondere Leistungen'!$N$86,'weitere Besondere Leistungen'!$L$86,0)</f>
        <v>0</v>
      </c>
      <c r="E117" s="234">
        <f>IF(E$110='weitere Besondere Leistungen'!$N$86,'weitere Besondere Leistungen'!$L$86,0)</f>
        <v>0</v>
      </c>
      <c r="F117" s="234">
        <f>IF(F$110='weitere Besondere Leistungen'!$N$86,'weitere Besondere Leistungen'!$L$86,0)</f>
        <v>0</v>
      </c>
      <c r="G117" s="234">
        <f>IF(G$110='weitere Besondere Leistungen'!$N$86,'weitere Besondere Leistungen'!$L$86,0)</f>
        <v>0</v>
      </c>
      <c r="H117" s="234">
        <f>IF(H$110='weitere Besondere Leistungen'!$N$86,'weitere Besondere Leistungen'!$L$86,0)</f>
        <v>0</v>
      </c>
      <c r="I117" s="234">
        <f>IF(I$110='weitere Besondere Leistungen'!$N$86,'weitere Besondere Leistungen'!$L$86,0)</f>
        <v>0</v>
      </c>
      <c r="J117" s="234">
        <f>IF(J$110='weitere Besondere Leistungen'!$N$86,'weitere Besondere Leistungen'!$L$86,0)</f>
        <v>0</v>
      </c>
      <c r="K117" s="235">
        <f>IF(K$110='weitere Besondere Leistungen'!$N$86,'weitere Besondere Leistungen'!$L$86,0)</f>
        <v>0</v>
      </c>
      <c r="X117" s="14"/>
      <c r="Y117" s="13"/>
      <c r="Z117" s="15"/>
    </row>
    <row r="118" spans="2:26" ht="14.55" x14ac:dyDescent="0.3">
      <c r="B118" s="242"/>
      <c r="C118" s="233">
        <f>IF(C$110='weitere Besondere Leistungen'!$N$88,'weitere Besondere Leistungen'!$L$88,0)</f>
        <v>0</v>
      </c>
      <c r="D118" s="234">
        <f>IF(D$110='weitere Besondere Leistungen'!$N$88,'weitere Besondere Leistungen'!$L$88,0)</f>
        <v>0</v>
      </c>
      <c r="E118" s="234">
        <f>IF(E$110='weitere Besondere Leistungen'!$N$88,'weitere Besondere Leistungen'!$L$88,0)</f>
        <v>0</v>
      </c>
      <c r="F118" s="234">
        <f>IF(F$110='weitere Besondere Leistungen'!$N$88,'weitere Besondere Leistungen'!$L$88,0)</f>
        <v>0</v>
      </c>
      <c r="G118" s="234">
        <f>IF(G$110='weitere Besondere Leistungen'!$N$88,'weitere Besondere Leistungen'!$L$88,0)</f>
        <v>0</v>
      </c>
      <c r="H118" s="234">
        <f>IF(H$110='weitere Besondere Leistungen'!$N$88,'weitere Besondere Leistungen'!$L$88,0)</f>
        <v>0</v>
      </c>
      <c r="I118" s="234">
        <f>IF(I$110='weitere Besondere Leistungen'!$N$88,'weitere Besondere Leistungen'!$L$88,0)</f>
        <v>0</v>
      </c>
      <c r="J118" s="234">
        <f>IF(J$110='weitere Besondere Leistungen'!$N$88,'weitere Besondere Leistungen'!$L$88,0)</f>
        <v>0</v>
      </c>
      <c r="K118" s="235">
        <f>IF(K$110='weitere Besondere Leistungen'!$N$88,'weitere Besondere Leistungen'!$L$88,0)</f>
        <v>0</v>
      </c>
      <c r="X118" s="14"/>
      <c r="Y118" s="13"/>
      <c r="Z118" s="15"/>
    </row>
    <row r="119" spans="2:26" ht="14.55" x14ac:dyDescent="0.3">
      <c r="B119" s="242"/>
      <c r="C119" s="233">
        <f>IF(C$110='weitere Besondere Leistungen'!$N$90,'weitere Besondere Leistungen'!$L$90,0)</f>
        <v>0</v>
      </c>
      <c r="D119" s="234">
        <f>IF(D$110='weitere Besondere Leistungen'!$N$90,'weitere Besondere Leistungen'!$L$90,0)</f>
        <v>0</v>
      </c>
      <c r="E119" s="234">
        <f>IF(E$110='weitere Besondere Leistungen'!$N$90,'weitere Besondere Leistungen'!$L$90,0)</f>
        <v>0</v>
      </c>
      <c r="F119" s="234">
        <f>IF(F$110='weitere Besondere Leistungen'!$N$90,'weitere Besondere Leistungen'!$L$90,0)</f>
        <v>0</v>
      </c>
      <c r="G119" s="234">
        <f>IF(G$110='weitere Besondere Leistungen'!$N$90,'weitere Besondere Leistungen'!$L$90,0)</f>
        <v>0</v>
      </c>
      <c r="H119" s="234">
        <f>IF(H$110='weitere Besondere Leistungen'!$N$90,'weitere Besondere Leistungen'!$L$90,0)</f>
        <v>0</v>
      </c>
      <c r="I119" s="234">
        <f>IF(I$110='weitere Besondere Leistungen'!$N$90,'weitere Besondere Leistungen'!$L$90,0)</f>
        <v>0</v>
      </c>
      <c r="J119" s="234">
        <f>IF(J$110='weitere Besondere Leistungen'!$N$90,'weitere Besondere Leistungen'!$L$90,0)</f>
        <v>0</v>
      </c>
      <c r="K119" s="235">
        <f>IF(K$110='weitere Besondere Leistungen'!$N$90,'weitere Besondere Leistungen'!$L$90,0)</f>
        <v>0</v>
      </c>
      <c r="X119" s="14"/>
      <c r="Y119" s="13"/>
      <c r="Z119" s="15"/>
    </row>
    <row r="120" spans="2:26" ht="14.55" x14ac:dyDescent="0.3">
      <c r="B120" s="242"/>
      <c r="C120" s="233">
        <f>IF(C$110='weitere Besondere Leistungen'!$N$92,'weitere Besondere Leistungen'!$L$92,0)</f>
        <v>0</v>
      </c>
      <c r="D120" s="234">
        <f>IF(D$110='weitere Besondere Leistungen'!$N$92,'weitere Besondere Leistungen'!$L$92,0)</f>
        <v>0</v>
      </c>
      <c r="E120" s="234">
        <f>IF(E$110='weitere Besondere Leistungen'!$N$92,'weitere Besondere Leistungen'!$L$92,0)</f>
        <v>0</v>
      </c>
      <c r="F120" s="234">
        <f>IF(F$110='weitere Besondere Leistungen'!$N$92,'weitere Besondere Leistungen'!$L$92,0)</f>
        <v>0</v>
      </c>
      <c r="G120" s="234">
        <f>IF(G$110='weitere Besondere Leistungen'!$N$92,'weitere Besondere Leistungen'!$L$92,0)</f>
        <v>0</v>
      </c>
      <c r="H120" s="234">
        <f>IF(H$110='weitere Besondere Leistungen'!$N$92,'weitere Besondere Leistungen'!$L$92,0)</f>
        <v>0</v>
      </c>
      <c r="I120" s="234">
        <f>IF(I$110='weitere Besondere Leistungen'!$N$92,'weitere Besondere Leistungen'!$L$92,0)</f>
        <v>0</v>
      </c>
      <c r="J120" s="234">
        <f>IF(J$110='weitere Besondere Leistungen'!$N$92,'weitere Besondere Leistungen'!$L$92,0)</f>
        <v>0</v>
      </c>
      <c r="K120" s="235">
        <f>IF(K$110='weitere Besondere Leistungen'!$N$92,'weitere Besondere Leistungen'!$L$92,0)</f>
        <v>0</v>
      </c>
      <c r="X120" s="14"/>
      <c r="Y120" s="13"/>
      <c r="Z120" s="15"/>
    </row>
    <row r="121" spans="2:26" ht="14.55" x14ac:dyDescent="0.3">
      <c r="B121" s="242"/>
      <c r="C121" s="233">
        <f>IF(C$110='weitere Besondere Leistungen'!$N$94,'weitere Besondere Leistungen'!$L$94,0)</f>
        <v>0</v>
      </c>
      <c r="D121" s="234">
        <f>IF(D$110='weitere Besondere Leistungen'!$N$94,'weitere Besondere Leistungen'!$L$94,0)</f>
        <v>0</v>
      </c>
      <c r="E121" s="234">
        <f>IF(E$110='weitere Besondere Leistungen'!$N$94,'weitere Besondere Leistungen'!$L$94,0)</f>
        <v>0</v>
      </c>
      <c r="F121" s="234">
        <f>IF(F$110='weitere Besondere Leistungen'!$N$94,'weitere Besondere Leistungen'!$L$94,0)</f>
        <v>0</v>
      </c>
      <c r="G121" s="234">
        <f>IF(G$110='weitere Besondere Leistungen'!$N$94,'weitere Besondere Leistungen'!$L$94,0)</f>
        <v>0</v>
      </c>
      <c r="H121" s="234">
        <f>IF(H$110='weitere Besondere Leistungen'!$N$94,'weitere Besondere Leistungen'!$L$94,0)</f>
        <v>0</v>
      </c>
      <c r="I121" s="234">
        <f>IF(I$110='weitere Besondere Leistungen'!$N$94,'weitere Besondere Leistungen'!$L$94,0)</f>
        <v>0</v>
      </c>
      <c r="J121" s="234">
        <f>IF(J$110='weitere Besondere Leistungen'!$N$94,'weitere Besondere Leistungen'!$L$94,0)</f>
        <v>0</v>
      </c>
      <c r="K121" s="235">
        <f>IF(K$110='weitere Besondere Leistungen'!$N$94,'weitere Besondere Leistungen'!$L$94,0)</f>
        <v>0</v>
      </c>
      <c r="X121" s="14"/>
      <c r="Y121" s="13"/>
      <c r="Z121" s="15"/>
    </row>
    <row r="122" spans="2:26" ht="14.55" x14ac:dyDescent="0.3">
      <c r="B122" s="242"/>
      <c r="C122" s="233">
        <f>IF(C$110='weitere Besondere Leistungen'!$N$96,'weitere Besondere Leistungen'!$L$96,0)</f>
        <v>0</v>
      </c>
      <c r="D122" s="234">
        <f>IF(D$110='weitere Besondere Leistungen'!$N$96,'weitere Besondere Leistungen'!$L$96,0)</f>
        <v>0</v>
      </c>
      <c r="E122" s="234">
        <f>IF(E$110='weitere Besondere Leistungen'!$N$96,'weitere Besondere Leistungen'!$L$96,0)</f>
        <v>0</v>
      </c>
      <c r="F122" s="234">
        <f>IF(F$110='weitere Besondere Leistungen'!$N$96,'weitere Besondere Leistungen'!$L$96,0)</f>
        <v>0</v>
      </c>
      <c r="G122" s="234">
        <f>IF(G$110='weitere Besondere Leistungen'!$N$96,'weitere Besondere Leistungen'!$L$96,0)</f>
        <v>0</v>
      </c>
      <c r="H122" s="234">
        <f>IF(H$110='weitere Besondere Leistungen'!$N$96,'weitere Besondere Leistungen'!$L$96,0)</f>
        <v>0</v>
      </c>
      <c r="I122" s="234">
        <f>IF(I$110='weitere Besondere Leistungen'!$N$96,'weitere Besondere Leistungen'!$L$96,0)</f>
        <v>0</v>
      </c>
      <c r="J122" s="234">
        <f>IF(J$110='weitere Besondere Leistungen'!$N$96,'weitere Besondere Leistungen'!$L$96,0)</f>
        <v>0</v>
      </c>
      <c r="K122" s="235">
        <f>IF(K$110='weitere Besondere Leistungen'!$N$96,'weitere Besondere Leistungen'!$L$96,0)</f>
        <v>0</v>
      </c>
      <c r="X122" s="14"/>
      <c r="Y122" s="13"/>
      <c r="Z122" s="15"/>
    </row>
    <row r="123" spans="2:26" ht="14.55" x14ac:dyDescent="0.3">
      <c r="B123" s="242"/>
      <c r="C123" s="233">
        <f>IF(C$110='weitere Besondere Leistungen'!$N$98,'weitere Besondere Leistungen'!$L$98,0)</f>
        <v>0</v>
      </c>
      <c r="D123" s="234">
        <f>IF(D$110='weitere Besondere Leistungen'!$N$98,'weitere Besondere Leistungen'!$L$98,0)</f>
        <v>0</v>
      </c>
      <c r="E123" s="234">
        <f>IF(E$110='weitere Besondere Leistungen'!$N$98,'weitere Besondere Leistungen'!$L$98,0)</f>
        <v>0</v>
      </c>
      <c r="F123" s="234">
        <f>IF(F$110='weitere Besondere Leistungen'!$N$98,'weitere Besondere Leistungen'!$L$98,0)</f>
        <v>0</v>
      </c>
      <c r="G123" s="234">
        <f>IF(G$110='weitere Besondere Leistungen'!$N$98,'weitere Besondere Leistungen'!$L$98,0)</f>
        <v>0</v>
      </c>
      <c r="H123" s="234">
        <f>IF(H$110='weitere Besondere Leistungen'!$N$98,'weitere Besondere Leistungen'!$L$98,0)</f>
        <v>0</v>
      </c>
      <c r="I123" s="234">
        <f>IF(I$110='weitere Besondere Leistungen'!$N$98,'weitere Besondere Leistungen'!$L$98,0)</f>
        <v>0</v>
      </c>
      <c r="J123" s="234">
        <f>IF(J$110='weitere Besondere Leistungen'!$N$98,'weitere Besondere Leistungen'!$L$98,0)</f>
        <v>0</v>
      </c>
      <c r="K123" s="235">
        <f>IF(K$110='weitere Besondere Leistungen'!$N$98,'weitere Besondere Leistungen'!$L$98,0)</f>
        <v>0</v>
      </c>
      <c r="X123" s="14"/>
      <c r="Y123" s="13"/>
      <c r="Z123" s="15"/>
    </row>
    <row r="124" spans="2:26" ht="14.55" x14ac:dyDescent="0.3">
      <c r="B124" s="242"/>
      <c r="C124" s="233">
        <f>IF(C$110='weitere Besondere Leistungen'!$N$100,'weitere Besondere Leistungen'!$L$100,0)</f>
        <v>0</v>
      </c>
      <c r="D124" s="234">
        <f>IF(D$110='weitere Besondere Leistungen'!$N$100,'weitere Besondere Leistungen'!$L$100,0)</f>
        <v>0</v>
      </c>
      <c r="E124" s="234">
        <f>IF(E$110='weitere Besondere Leistungen'!$N$100,'weitere Besondere Leistungen'!$L$100,0)</f>
        <v>0</v>
      </c>
      <c r="F124" s="234">
        <f>IF(F$110='weitere Besondere Leistungen'!$N$100,'weitere Besondere Leistungen'!$L$100,0)</f>
        <v>0</v>
      </c>
      <c r="G124" s="234">
        <f>IF(G$110='weitere Besondere Leistungen'!$N$100,'weitere Besondere Leistungen'!$L$100,0)</f>
        <v>0</v>
      </c>
      <c r="H124" s="234">
        <f>IF(H$110='weitere Besondere Leistungen'!$N$100,'weitere Besondere Leistungen'!$L$100,0)</f>
        <v>0</v>
      </c>
      <c r="I124" s="234">
        <f>IF(I$110='weitere Besondere Leistungen'!$N$100,'weitere Besondere Leistungen'!$L$100,0)</f>
        <v>0</v>
      </c>
      <c r="J124" s="234">
        <f>IF(J$110='weitere Besondere Leistungen'!$N$100,'weitere Besondere Leistungen'!$L$100,0)</f>
        <v>0</v>
      </c>
      <c r="K124" s="235">
        <f>IF(K$110='weitere Besondere Leistungen'!$N$100,'weitere Besondere Leistungen'!$L$100,0)</f>
        <v>0</v>
      </c>
      <c r="X124" s="14"/>
      <c r="Y124" s="13"/>
      <c r="Z124" s="15"/>
    </row>
    <row r="125" spans="2:26" ht="14.55" x14ac:dyDescent="0.3">
      <c r="B125" s="242"/>
      <c r="C125" s="233">
        <f>IF(C$110='weitere Besondere Leistungen'!$N$102,'weitere Besondere Leistungen'!$L$102,0)</f>
        <v>0</v>
      </c>
      <c r="D125" s="234">
        <f>IF(D$110='weitere Besondere Leistungen'!$N$102,'weitere Besondere Leistungen'!$L$102,0)</f>
        <v>0</v>
      </c>
      <c r="E125" s="234">
        <f>IF(E$110='weitere Besondere Leistungen'!$N$102,'weitere Besondere Leistungen'!$L$102,0)</f>
        <v>0</v>
      </c>
      <c r="F125" s="234">
        <f>IF(F$110='weitere Besondere Leistungen'!$N$102,'weitere Besondere Leistungen'!$L$102,0)</f>
        <v>0</v>
      </c>
      <c r="G125" s="234">
        <f>IF(G$110='weitere Besondere Leistungen'!$N$102,'weitere Besondere Leistungen'!$L$102,0)</f>
        <v>0</v>
      </c>
      <c r="H125" s="234">
        <f>IF(H$110='weitere Besondere Leistungen'!$N$102,'weitere Besondere Leistungen'!$L$102,0)</f>
        <v>0</v>
      </c>
      <c r="I125" s="234">
        <f>IF(I$110='weitere Besondere Leistungen'!$N$102,'weitere Besondere Leistungen'!$L$102,0)</f>
        <v>0</v>
      </c>
      <c r="J125" s="234">
        <f>IF(J$110='weitere Besondere Leistungen'!$N$102,'weitere Besondere Leistungen'!$L$102,0)</f>
        <v>0</v>
      </c>
      <c r="K125" s="235">
        <f>IF(K$110='weitere Besondere Leistungen'!$N$102,'weitere Besondere Leistungen'!$L$102,0)</f>
        <v>0</v>
      </c>
      <c r="X125" s="14"/>
      <c r="Y125" s="13"/>
      <c r="Z125" s="15"/>
    </row>
    <row r="126" spans="2:26" ht="14.55" x14ac:dyDescent="0.3">
      <c r="B126" s="242"/>
      <c r="C126" s="233">
        <f>IF(C$110='weitere Besondere Leistungen'!$N$104,'weitere Besondere Leistungen'!$L$104,0)</f>
        <v>0</v>
      </c>
      <c r="D126" s="234">
        <f>IF(D$110='weitere Besondere Leistungen'!$N$104,'weitere Besondere Leistungen'!$L$104,0)</f>
        <v>0</v>
      </c>
      <c r="E126" s="234">
        <f>IF(E$110='weitere Besondere Leistungen'!$N$104,'weitere Besondere Leistungen'!$L$104,0)</f>
        <v>0</v>
      </c>
      <c r="F126" s="234">
        <f>IF(F$110='weitere Besondere Leistungen'!$N$104,'weitere Besondere Leistungen'!$L$104,0)</f>
        <v>0</v>
      </c>
      <c r="G126" s="234">
        <f>IF(G$110='weitere Besondere Leistungen'!$N$104,'weitere Besondere Leistungen'!$L$104,0)</f>
        <v>0</v>
      </c>
      <c r="H126" s="234">
        <f>IF(H$110='weitere Besondere Leistungen'!$N$104,'weitere Besondere Leistungen'!$L$104,0)</f>
        <v>0</v>
      </c>
      <c r="I126" s="234">
        <f>IF(I$110='weitere Besondere Leistungen'!$N$104,'weitere Besondere Leistungen'!$L$104,0)</f>
        <v>0</v>
      </c>
      <c r="J126" s="234">
        <f>IF(J$110='weitere Besondere Leistungen'!$N$104,'weitere Besondere Leistungen'!$L$104,0)</f>
        <v>0</v>
      </c>
      <c r="K126" s="235">
        <f>IF(K$110='weitere Besondere Leistungen'!$N$104,'weitere Besondere Leistungen'!$L$104,0)</f>
        <v>0</v>
      </c>
      <c r="X126" s="14"/>
      <c r="Y126" s="13"/>
      <c r="Z126" s="16"/>
    </row>
    <row r="127" spans="2:26" ht="14.55" x14ac:dyDescent="0.3">
      <c r="B127" s="242"/>
      <c r="C127" s="233">
        <f>IF(C$110='weitere Besondere Leistungen'!$N$106,'weitere Besondere Leistungen'!$L$106,0)</f>
        <v>0</v>
      </c>
      <c r="D127" s="234">
        <f>IF(D$110='weitere Besondere Leistungen'!$N$106,'weitere Besondere Leistungen'!$L$106,0)</f>
        <v>0</v>
      </c>
      <c r="E127" s="234">
        <f>IF(E$110='weitere Besondere Leistungen'!$N$106,'weitere Besondere Leistungen'!$L$106,0)</f>
        <v>0</v>
      </c>
      <c r="F127" s="234">
        <f>IF(F$110='weitere Besondere Leistungen'!$N$106,'weitere Besondere Leistungen'!$L$106,0)</f>
        <v>0</v>
      </c>
      <c r="G127" s="234">
        <f>IF(G$110='weitere Besondere Leistungen'!$N$106,'weitere Besondere Leistungen'!$L$106,0)</f>
        <v>0</v>
      </c>
      <c r="H127" s="234">
        <f>IF(H$110='weitere Besondere Leistungen'!$N$106,'weitere Besondere Leistungen'!$L$106,0)</f>
        <v>0</v>
      </c>
      <c r="I127" s="234">
        <f>IF(I$110='weitere Besondere Leistungen'!$N$106,'weitere Besondere Leistungen'!$L$106,0)</f>
        <v>0</v>
      </c>
      <c r="J127" s="234">
        <f>IF(J$110='weitere Besondere Leistungen'!$N$106,'weitere Besondere Leistungen'!$L$106,0)</f>
        <v>0</v>
      </c>
      <c r="K127" s="235">
        <f>IF(K$110='weitere Besondere Leistungen'!$N$106,'weitere Besondere Leistungen'!$L$106,0)</f>
        <v>0</v>
      </c>
      <c r="X127" s="14"/>
      <c r="Y127" s="13"/>
      <c r="Z127" s="15"/>
    </row>
    <row r="128" spans="2:26" ht="14.55" x14ac:dyDescent="0.3">
      <c r="B128" s="242"/>
      <c r="C128" s="233">
        <f>IF(C$110='weitere Besondere Leistungen'!$N$108,'weitere Besondere Leistungen'!$L$108,0)</f>
        <v>0</v>
      </c>
      <c r="D128" s="234">
        <f>IF(D$110='weitere Besondere Leistungen'!$N$108,'weitere Besondere Leistungen'!$L$108,0)</f>
        <v>0</v>
      </c>
      <c r="E128" s="234">
        <f>IF(E$110='weitere Besondere Leistungen'!$N$108,'weitere Besondere Leistungen'!$L$108,0)</f>
        <v>0</v>
      </c>
      <c r="F128" s="234">
        <f>IF(F$110='weitere Besondere Leistungen'!$N$108,'weitere Besondere Leistungen'!$L$108,0)</f>
        <v>0</v>
      </c>
      <c r="G128" s="234">
        <f>IF(G$110='weitere Besondere Leistungen'!$N$108,'weitere Besondere Leistungen'!$L$108,0)</f>
        <v>0</v>
      </c>
      <c r="H128" s="234">
        <f>IF(H$110='weitere Besondere Leistungen'!$N$108,'weitere Besondere Leistungen'!$L$108,0)</f>
        <v>0</v>
      </c>
      <c r="I128" s="234">
        <f>IF(I$110='weitere Besondere Leistungen'!$N$108,'weitere Besondere Leistungen'!$L$108,0)</f>
        <v>0</v>
      </c>
      <c r="J128" s="234">
        <f>IF(J$110='weitere Besondere Leistungen'!$N$108,'weitere Besondere Leistungen'!$L$108,0)</f>
        <v>0</v>
      </c>
      <c r="K128" s="235">
        <f>IF(K$110='weitere Besondere Leistungen'!$N$108,'weitere Besondere Leistungen'!$L$108,0)</f>
        <v>0</v>
      </c>
      <c r="X128" s="14"/>
      <c r="Y128" s="13"/>
      <c r="Z128" s="15"/>
    </row>
    <row r="129" spans="1:26" ht="14.55" x14ac:dyDescent="0.3">
      <c r="B129" s="242"/>
      <c r="C129" s="233">
        <f>IF(C$110='weitere Besondere Leistungen'!$N$110,'weitere Besondere Leistungen'!$L$110,0)</f>
        <v>0</v>
      </c>
      <c r="D129" s="234">
        <f>IF(D$110='weitere Besondere Leistungen'!$N$110,'weitere Besondere Leistungen'!$L$110,0)</f>
        <v>0</v>
      </c>
      <c r="E129" s="234">
        <f>IF(E$110='weitere Besondere Leistungen'!$N$110,'weitere Besondere Leistungen'!$L$110,0)</f>
        <v>0</v>
      </c>
      <c r="F129" s="234">
        <f>IF(F$110='weitere Besondere Leistungen'!$N$110,'weitere Besondere Leistungen'!$L$110,0)</f>
        <v>0</v>
      </c>
      <c r="G129" s="234">
        <f>IF(G$110='weitere Besondere Leistungen'!$N$110,'weitere Besondere Leistungen'!$L$110,0)</f>
        <v>0</v>
      </c>
      <c r="H129" s="234">
        <f>IF(H$110='weitere Besondere Leistungen'!$N$110,'weitere Besondere Leistungen'!$L$110,0)</f>
        <v>0</v>
      </c>
      <c r="I129" s="234">
        <f>IF(I$110='weitere Besondere Leistungen'!$N$110,'weitere Besondere Leistungen'!$L$110,0)</f>
        <v>0</v>
      </c>
      <c r="J129" s="234">
        <f>IF(J$110='weitere Besondere Leistungen'!$N$110,'weitere Besondere Leistungen'!$L$110,0)</f>
        <v>0</v>
      </c>
      <c r="K129" s="235">
        <f>IF(K$110='weitere Besondere Leistungen'!$N$110,'weitere Besondere Leistungen'!$L$110,0)</f>
        <v>0</v>
      </c>
      <c r="X129" s="14"/>
      <c r="Y129" s="13"/>
      <c r="Z129" s="15"/>
    </row>
    <row r="130" spans="1:26" ht="14.55" x14ac:dyDescent="0.3">
      <c r="B130" s="243"/>
      <c r="C130" s="379">
        <f>IF(C$110='weitere Besondere Leistungen'!$N$112,'weitere Besondere Leistungen'!$L$112,0)</f>
        <v>0</v>
      </c>
      <c r="D130" s="380">
        <f>IF(D$110='weitere Besondere Leistungen'!$N$112,'weitere Besondere Leistungen'!$L$112,0)</f>
        <v>0</v>
      </c>
      <c r="E130" s="380">
        <f>IF(E$110='weitere Besondere Leistungen'!$N$112,'weitere Besondere Leistungen'!$L$112,0)</f>
        <v>0</v>
      </c>
      <c r="F130" s="380">
        <f>IF(F$110='weitere Besondere Leistungen'!$N$112,'weitere Besondere Leistungen'!$L$112,0)</f>
        <v>0</v>
      </c>
      <c r="G130" s="380">
        <f>IF(G$110='weitere Besondere Leistungen'!$N$112,'weitere Besondere Leistungen'!$L$112,0)</f>
        <v>0</v>
      </c>
      <c r="H130" s="380">
        <f>IF(H$110='weitere Besondere Leistungen'!$N$112,'weitere Besondere Leistungen'!$L$112,0)</f>
        <v>0</v>
      </c>
      <c r="I130" s="380">
        <f>IF(I$110='weitere Besondere Leistungen'!$N$112,'weitere Besondere Leistungen'!$L$112,0)</f>
        <v>0</v>
      </c>
      <c r="J130" s="380">
        <f>IF(J$110='weitere Besondere Leistungen'!$N$112,'weitere Besondere Leistungen'!$L$112,0)</f>
        <v>0</v>
      </c>
      <c r="K130" s="381">
        <f>IF(K$110='weitere Besondere Leistungen'!$N$112,'weitere Besondere Leistungen'!$L$112,0)</f>
        <v>0</v>
      </c>
      <c r="X130" s="14"/>
      <c r="Y130" s="13"/>
      <c r="Z130" s="15"/>
    </row>
    <row r="131" spans="1:26" ht="15.2" thickBot="1" x14ac:dyDescent="0.35">
      <c r="B131" s="243"/>
      <c r="C131" s="236">
        <f>IF(C$110='weitere Besondere Leistungen'!$N$114,'weitere Besondere Leistungen'!$L$114,0)</f>
        <v>0</v>
      </c>
      <c r="D131" s="237">
        <f>IF(D$110='weitere Besondere Leistungen'!$N$114,'weitere Besondere Leistungen'!$L$114,0)</f>
        <v>0</v>
      </c>
      <c r="E131" s="237">
        <f>IF(E$110='weitere Besondere Leistungen'!$N$114,'weitere Besondere Leistungen'!$L$114,0)</f>
        <v>0</v>
      </c>
      <c r="F131" s="237">
        <f>IF(F$110='weitere Besondere Leistungen'!$N$114,'weitere Besondere Leistungen'!$L$114,0)</f>
        <v>0</v>
      </c>
      <c r="G131" s="237">
        <f>IF(G$110='weitere Besondere Leistungen'!$N$114,'weitere Besondere Leistungen'!$L$114,0)</f>
        <v>0</v>
      </c>
      <c r="H131" s="237">
        <f>IF(H$110='weitere Besondere Leistungen'!$N$114,'weitere Besondere Leistungen'!$L$114,0)</f>
        <v>0</v>
      </c>
      <c r="I131" s="237">
        <f>IF(I$110='weitere Besondere Leistungen'!$N$114,'weitere Besondere Leistungen'!$L$114,0)</f>
        <v>0</v>
      </c>
      <c r="J131" s="237">
        <f>IF(J$110='weitere Besondere Leistungen'!$N$114,'weitere Besondere Leistungen'!$L$114,0)</f>
        <v>0</v>
      </c>
      <c r="K131" s="238">
        <f>IF(K$110='weitere Besondere Leistungen'!$N$114,'weitere Besondere Leistungen'!$L$114,0)</f>
        <v>0</v>
      </c>
      <c r="X131" s="14"/>
      <c r="Y131" s="13"/>
      <c r="Z131" s="15"/>
    </row>
    <row r="132" spans="1:26" ht="15.2" thickBot="1" x14ac:dyDescent="0.35">
      <c r="B132" s="448" t="s">
        <v>357</v>
      </c>
      <c r="C132" s="447">
        <f>SUM(C111:C131)</f>
        <v>0</v>
      </c>
      <c r="D132" s="445">
        <f t="shared" ref="D132:K132" si="1">SUM(D111:D131)</f>
        <v>0</v>
      </c>
      <c r="E132" s="445">
        <f t="shared" si="1"/>
        <v>0</v>
      </c>
      <c r="F132" s="445">
        <f t="shared" si="1"/>
        <v>0</v>
      </c>
      <c r="G132" s="445">
        <f t="shared" si="1"/>
        <v>0</v>
      </c>
      <c r="H132" s="445">
        <f t="shared" si="1"/>
        <v>0</v>
      </c>
      <c r="I132" s="445">
        <f t="shared" si="1"/>
        <v>0</v>
      </c>
      <c r="J132" s="445">
        <f t="shared" si="1"/>
        <v>0</v>
      </c>
      <c r="K132" s="446">
        <f t="shared" si="1"/>
        <v>0</v>
      </c>
      <c r="X132" s="14"/>
      <c r="Y132" s="13"/>
      <c r="Z132" s="15"/>
    </row>
    <row r="133" spans="1:26" ht="15.2" thickBot="1" x14ac:dyDescent="0.35">
      <c r="A133" s="400"/>
      <c r="B133" s="400"/>
      <c r="C133" s="388"/>
      <c r="D133" s="388"/>
      <c r="E133" s="388"/>
      <c r="F133" s="388"/>
      <c r="G133" s="388"/>
      <c r="H133" s="388"/>
      <c r="I133" s="388"/>
      <c r="J133" s="388"/>
      <c r="K133" s="388"/>
      <c r="X133" s="14"/>
      <c r="Y133" s="13"/>
      <c r="Z133" s="15"/>
    </row>
    <row r="134" spans="1:26" ht="15.2" thickBot="1" x14ac:dyDescent="0.35">
      <c r="C134" s="2148" t="str">
        <f>'weitere Besondere Leistungen'!B117</f>
        <v xml:space="preserve"> Besondere Leistungen im Zusammenhang mit der Tragwerksplanung</v>
      </c>
      <c r="D134" s="2149"/>
      <c r="E134" s="2149"/>
      <c r="F134" s="2149"/>
      <c r="G134" s="2149"/>
      <c r="H134" s="2149"/>
      <c r="I134" s="2149"/>
      <c r="J134" s="2149"/>
      <c r="K134" s="1999"/>
      <c r="X134" s="14"/>
      <c r="Y134" s="13"/>
      <c r="Z134" s="15"/>
    </row>
    <row r="135" spans="1:26" ht="14.55" x14ac:dyDescent="0.3">
      <c r="C135" s="230">
        <f>IF(C$110='weitere Besondere Leistungen'!$N$120,'weitere Besondere Leistungen'!$L$120,0)</f>
        <v>0</v>
      </c>
      <c r="D135" s="231">
        <f>IF(D$110='weitere Besondere Leistungen'!$N$120,'weitere Besondere Leistungen'!$L$120,0)</f>
        <v>0</v>
      </c>
      <c r="E135" s="231">
        <f>IF(E$110='weitere Besondere Leistungen'!$N$120,'weitere Besondere Leistungen'!$L$120,0)</f>
        <v>0</v>
      </c>
      <c r="F135" s="231">
        <f>IF(F$110='weitere Besondere Leistungen'!$N$120,'weitere Besondere Leistungen'!$L$120,0)</f>
        <v>0</v>
      </c>
      <c r="G135" s="231">
        <f>IF(G$110='weitere Besondere Leistungen'!$N$120,'weitere Besondere Leistungen'!$L$120,0)</f>
        <v>0</v>
      </c>
      <c r="H135" s="231">
        <f>IF(H$110='weitere Besondere Leistungen'!$N$120,'weitere Besondere Leistungen'!$L$120,0)</f>
        <v>0</v>
      </c>
      <c r="I135" s="231">
        <f>IF(I$110='weitere Besondere Leistungen'!$N$120,'weitere Besondere Leistungen'!$L$120,0)</f>
        <v>0</v>
      </c>
      <c r="J135" s="231">
        <f>IF(J$110='weitere Besondere Leistungen'!$N$120,'weitere Besondere Leistungen'!$L$120,0)</f>
        <v>0</v>
      </c>
      <c r="K135" s="232">
        <f>IF(K$110='weitere Besondere Leistungen'!$N$120,'weitere Besondere Leistungen'!$L$120,0)</f>
        <v>0</v>
      </c>
      <c r="X135" s="14"/>
      <c r="Y135" s="13"/>
      <c r="Z135" s="15"/>
    </row>
    <row r="136" spans="1:26" ht="14.55" x14ac:dyDescent="0.3">
      <c r="C136" s="233">
        <f>IF(C$110='weitere Besondere Leistungen'!$N$123,'weitere Besondere Leistungen'!$L$123,0)</f>
        <v>0</v>
      </c>
      <c r="D136" s="234">
        <f>IF(D$110='weitere Besondere Leistungen'!$N$123,'weitere Besondere Leistungen'!$L$123,0)</f>
        <v>0</v>
      </c>
      <c r="E136" s="234">
        <f>IF(E$110='weitere Besondere Leistungen'!$N$123,'weitere Besondere Leistungen'!$L$123,0)</f>
        <v>0</v>
      </c>
      <c r="F136" s="234">
        <f>IF(F$110='weitere Besondere Leistungen'!$N$123,'weitere Besondere Leistungen'!$L$123,0)</f>
        <v>0</v>
      </c>
      <c r="G136" s="234">
        <f>IF(G$110='weitere Besondere Leistungen'!$N$123,'weitere Besondere Leistungen'!$L$123,0)</f>
        <v>0</v>
      </c>
      <c r="H136" s="234">
        <f>IF(H$110='weitere Besondere Leistungen'!$N$123,'weitere Besondere Leistungen'!$L$123,0)</f>
        <v>0</v>
      </c>
      <c r="I136" s="234">
        <f>IF(I$110='weitere Besondere Leistungen'!$N$123,'weitere Besondere Leistungen'!$L$123,0)</f>
        <v>0</v>
      </c>
      <c r="J136" s="234">
        <f>IF(J$110='weitere Besondere Leistungen'!$N$123,'weitere Besondere Leistungen'!$L$123,0)</f>
        <v>0</v>
      </c>
      <c r="K136" s="235">
        <f>IF(K$110='weitere Besondere Leistungen'!$N$123,'weitere Besondere Leistungen'!$L$123,0)</f>
        <v>0</v>
      </c>
      <c r="X136" s="14"/>
      <c r="Y136" s="13"/>
      <c r="Z136" s="15"/>
    </row>
    <row r="137" spans="1:26" ht="14.55" x14ac:dyDescent="0.3">
      <c r="C137" s="233">
        <f>IF(C$110='weitere Besondere Leistungen'!$N$125,'weitere Besondere Leistungen'!$L$125,0)</f>
        <v>0</v>
      </c>
      <c r="D137" s="234">
        <f>IF(D$110='weitere Besondere Leistungen'!$N$125,'weitere Besondere Leistungen'!$L$125,0)</f>
        <v>0</v>
      </c>
      <c r="E137" s="234">
        <f>IF(E$110='weitere Besondere Leistungen'!$N$125,'weitere Besondere Leistungen'!$L$125,0)</f>
        <v>0</v>
      </c>
      <c r="F137" s="234">
        <f>IF(F$110='weitere Besondere Leistungen'!$N$125,'weitere Besondere Leistungen'!$L$125,0)</f>
        <v>0</v>
      </c>
      <c r="G137" s="234">
        <f>IF(G$110='weitere Besondere Leistungen'!$N$125,'weitere Besondere Leistungen'!$L$125,0)</f>
        <v>0</v>
      </c>
      <c r="H137" s="234">
        <f>IF(H$110='weitere Besondere Leistungen'!$N$125,'weitere Besondere Leistungen'!$L$125,0)</f>
        <v>0</v>
      </c>
      <c r="I137" s="234">
        <f>IF(I$110='weitere Besondere Leistungen'!$N$125,'weitere Besondere Leistungen'!$L$125,0)</f>
        <v>0</v>
      </c>
      <c r="J137" s="234">
        <f>IF(J$110='weitere Besondere Leistungen'!$N$125,'weitere Besondere Leistungen'!$L$125,0)</f>
        <v>0</v>
      </c>
      <c r="K137" s="235">
        <f>IF(K$110='weitere Besondere Leistungen'!$N$125,'weitere Besondere Leistungen'!$L$125,0)</f>
        <v>0</v>
      </c>
      <c r="X137" s="14"/>
      <c r="Y137" s="13"/>
      <c r="Z137" s="15"/>
    </row>
    <row r="138" spans="1:26" ht="14.55" x14ac:dyDescent="0.3">
      <c r="C138" s="233">
        <f>IF(C$110='weitere Besondere Leistungen'!$N$127,'weitere Besondere Leistungen'!$L$127,0)</f>
        <v>0</v>
      </c>
      <c r="D138" s="234">
        <f>IF(D$110='weitere Besondere Leistungen'!$N$127,'weitere Besondere Leistungen'!$L$127,0)</f>
        <v>0</v>
      </c>
      <c r="E138" s="234">
        <f>IF(E$110='weitere Besondere Leistungen'!$N$127,'weitere Besondere Leistungen'!$L$127,0)</f>
        <v>0</v>
      </c>
      <c r="F138" s="234">
        <f>IF(F$110='weitere Besondere Leistungen'!$N$127,'weitere Besondere Leistungen'!$L$127,0)</f>
        <v>0</v>
      </c>
      <c r="G138" s="234">
        <f>IF(G$110='weitere Besondere Leistungen'!$N$127,'weitere Besondere Leistungen'!$L$127,0)</f>
        <v>0</v>
      </c>
      <c r="H138" s="234">
        <f>IF(H$110='weitere Besondere Leistungen'!$N$127,'weitere Besondere Leistungen'!$L$127,0)</f>
        <v>0</v>
      </c>
      <c r="I138" s="234">
        <f>IF(I$110='weitere Besondere Leistungen'!$N$127,'weitere Besondere Leistungen'!$L$127,0)</f>
        <v>0</v>
      </c>
      <c r="J138" s="234">
        <f>IF(J$110='weitere Besondere Leistungen'!$N$127,'weitere Besondere Leistungen'!$L$127,0)</f>
        <v>0</v>
      </c>
      <c r="K138" s="235">
        <f>IF(K$110='weitere Besondere Leistungen'!$N$127,'weitere Besondere Leistungen'!$L$127,0)</f>
        <v>0</v>
      </c>
      <c r="X138" s="14"/>
      <c r="Y138" s="13"/>
      <c r="Z138" s="15"/>
    </row>
    <row r="139" spans="1:26" ht="14.55" x14ac:dyDescent="0.3">
      <c r="C139" s="233">
        <f>IF(C$110='weitere Besondere Leistungen'!$N$129,'weitere Besondere Leistungen'!$L$129,0)</f>
        <v>0</v>
      </c>
      <c r="D139" s="234">
        <f>IF(D$110='weitere Besondere Leistungen'!$N$129,'weitere Besondere Leistungen'!$L$129,0)</f>
        <v>0</v>
      </c>
      <c r="E139" s="234">
        <f>IF(E$110='weitere Besondere Leistungen'!$N$129,'weitere Besondere Leistungen'!$L$129,0)</f>
        <v>0</v>
      </c>
      <c r="F139" s="234">
        <f>IF(F$110='weitere Besondere Leistungen'!$N$129,'weitere Besondere Leistungen'!$L$129,0)</f>
        <v>0</v>
      </c>
      <c r="G139" s="234">
        <f>IF(G$110='weitere Besondere Leistungen'!$N$129,'weitere Besondere Leistungen'!$L$129,0)</f>
        <v>0</v>
      </c>
      <c r="H139" s="234">
        <f>IF(H$110='weitere Besondere Leistungen'!$N$129,'weitere Besondere Leistungen'!$L$129,0)</f>
        <v>0</v>
      </c>
      <c r="I139" s="234">
        <f>IF(I$110='weitere Besondere Leistungen'!$N$129,'weitere Besondere Leistungen'!$L$129,0)</f>
        <v>0</v>
      </c>
      <c r="J139" s="234">
        <f>IF(J$110='weitere Besondere Leistungen'!$N$129,'weitere Besondere Leistungen'!$L$129,0)</f>
        <v>0</v>
      </c>
      <c r="K139" s="235">
        <f>IF(K$110='weitere Besondere Leistungen'!$N$129,'weitere Besondere Leistungen'!$L$129,0)</f>
        <v>0</v>
      </c>
      <c r="X139" s="14"/>
      <c r="Y139" s="13"/>
      <c r="Z139" s="15"/>
    </row>
    <row r="140" spans="1:26" ht="15.2" thickBot="1" x14ac:dyDescent="0.35">
      <c r="C140" s="236">
        <f>IF(C$110='weitere Besondere Leistungen'!$N$131,'weitere Besondere Leistungen'!$L$131,0)</f>
        <v>0</v>
      </c>
      <c r="D140" s="237">
        <f>IF(D$110='weitere Besondere Leistungen'!$N$131,'weitere Besondere Leistungen'!$L$131,0)</f>
        <v>0</v>
      </c>
      <c r="E140" s="237">
        <f>IF(E$110='weitere Besondere Leistungen'!$N$131,'weitere Besondere Leistungen'!$L$131,0)</f>
        <v>0</v>
      </c>
      <c r="F140" s="237">
        <f>IF(F$110='weitere Besondere Leistungen'!$N$131,'weitere Besondere Leistungen'!$L$131,0)</f>
        <v>0</v>
      </c>
      <c r="G140" s="237">
        <f>IF(G$110='weitere Besondere Leistungen'!$N$131,'weitere Besondere Leistungen'!$L$131,0)</f>
        <v>0</v>
      </c>
      <c r="H140" s="237">
        <f>IF(H$110='weitere Besondere Leistungen'!$N$131,'weitere Besondere Leistungen'!$L$131,0)</f>
        <v>0</v>
      </c>
      <c r="I140" s="237">
        <f>IF(I$110='weitere Besondere Leistungen'!$N$131,'weitere Besondere Leistungen'!$L$131,0)</f>
        <v>0</v>
      </c>
      <c r="J140" s="237">
        <f>IF(J$110='weitere Besondere Leistungen'!$N$131,'weitere Besondere Leistungen'!$L$131,0)</f>
        <v>0</v>
      </c>
      <c r="K140" s="238">
        <f>IF(K$110='weitere Besondere Leistungen'!$N$131,'weitere Besondere Leistungen'!$L$131,0)</f>
        <v>0</v>
      </c>
      <c r="X140" s="14"/>
      <c r="Y140" s="13"/>
      <c r="Z140" s="15"/>
    </row>
    <row r="141" spans="1:26" ht="15.2" thickBot="1" x14ac:dyDescent="0.35">
      <c r="A141" s="2146" t="s">
        <v>357</v>
      </c>
      <c r="B141" s="2146"/>
      <c r="C141" s="389">
        <f t="shared" ref="C141:K141" si="2">SUM(C135:C140)</f>
        <v>0</v>
      </c>
      <c r="D141" s="389">
        <f t="shared" si="2"/>
        <v>0</v>
      </c>
      <c r="E141" s="389">
        <f t="shared" si="2"/>
        <v>0</v>
      </c>
      <c r="F141" s="389">
        <f t="shared" si="2"/>
        <v>0</v>
      </c>
      <c r="G141" s="389">
        <f t="shared" si="2"/>
        <v>0</v>
      </c>
      <c r="H141" s="389">
        <f t="shared" si="2"/>
        <v>0</v>
      </c>
      <c r="I141" s="389">
        <f t="shared" si="2"/>
        <v>0</v>
      </c>
      <c r="J141" s="389">
        <f t="shared" si="2"/>
        <v>0</v>
      </c>
      <c r="K141" s="389">
        <f t="shared" si="2"/>
        <v>0</v>
      </c>
      <c r="X141" s="14"/>
      <c r="Y141" s="13"/>
      <c r="Z141" s="15"/>
    </row>
    <row r="142" spans="1:26" ht="15.2" thickBot="1" x14ac:dyDescent="0.35">
      <c r="C142" s="2148" t="str">
        <f>'weitere Besondere Leistungen'!B134</f>
        <v xml:space="preserve"> Besondere Leistungen im Zusammenhang mit der Freianlagenplanung</v>
      </c>
      <c r="D142" s="2149"/>
      <c r="E142" s="2149"/>
      <c r="F142" s="2149"/>
      <c r="G142" s="2149"/>
      <c r="H142" s="2149"/>
      <c r="I142" s="2149"/>
      <c r="J142" s="2149"/>
      <c r="K142" s="2149"/>
      <c r="X142" s="14"/>
      <c r="Y142" s="13"/>
      <c r="Z142" s="15"/>
    </row>
    <row r="143" spans="1:26" ht="14.55" x14ac:dyDescent="0.3">
      <c r="C143" s="230">
        <f>IF(C$110='weitere Besondere Leistungen'!$N$137,'weitere Besondere Leistungen'!$L$137,0)</f>
        <v>0</v>
      </c>
      <c r="D143" s="231">
        <f>IF(D$110='weitere Besondere Leistungen'!$N$137,'weitere Besondere Leistungen'!$L$137,0)</f>
        <v>0</v>
      </c>
      <c r="E143" s="231">
        <f>IF(E$110='weitere Besondere Leistungen'!$N$137,'weitere Besondere Leistungen'!$L$137,0)</f>
        <v>0</v>
      </c>
      <c r="F143" s="231">
        <f>IF(F$110='weitere Besondere Leistungen'!$N$137,'weitere Besondere Leistungen'!$L$137,0)</f>
        <v>0</v>
      </c>
      <c r="G143" s="231">
        <f>IF(G$110='weitere Besondere Leistungen'!$N$137,'weitere Besondere Leistungen'!$L$137,0)</f>
        <v>0</v>
      </c>
      <c r="H143" s="231">
        <f>IF(H$110='weitere Besondere Leistungen'!$N$137,'weitere Besondere Leistungen'!$L$137,0)</f>
        <v>0</v>
      </c>
      <c r="I143" s="231">
        <f>IF(I$110='weitere Besondere Leistungen'!$N$137,'weitere Besondere Leistungen'!$L$137,0)</f>
        <v>0</v>
      </c>
      <c r="J143" s="231">
        <f>IF(J$110='weitere Besondere Leistungen'!$N$137,'weitere Besondere Leistungen'!$L$137,0)</f>
        <v>0</v>
      </c>
      <c r="K143" s="231">
        <f>IF(K$110='weitere Besondere Leistungen'!$N$137,'weitere Besondere Leistungen'!$L$137,0)</f>
        <v>0</v>
      </c>
      <c r="X143" s="14"/>
      <c r="Y143" s="13"/>
      <c r="Z143" s="15"/>
    </row>
    <row r="144" spans="1:26" ht="14.55" x14ac:dyDescent="0.3">
      <c r="C144" s="233">
        <f>IF(C$110='weitere Besondere Leistungen'!$N$139,'weitere Besondere Leistungen'!$L$139,0)</f>
        <v>0</v>
      </c>
      <c r="D144" s="234">
        <f>IF(D$110='weitere Besondere Leistungen'!$N$139,'weitere Besondere Leistungen'!$L$139,0)</f>
        <v>0</v>
      </c>
      <c r="E144" s="234">
        <f>IF(E$110='weitere Besondere Leistungen'!$N$139,'weitere Besondere Leistungen'!$L$139,0)</f>
        <v>0</v>
      </c>
      <c r="F144" s="234">
        <f>IF(F$110='weitere Besondere Leistungen'!$N$139,'weitere Besondere Leistungen'!$L$139,0)</f>
        <v>0</v>
      </c>
      <c r="G144" s="234">
        <f>IF(G$110='weitere Besondere Leistungen'!$N$139,'weitere Besondere Leistungen'!$L$139,0)</f>
        <v>0</v>
      </c>
      <c r="H144" s="234">
        <f>IF(H$110='weitere Besondere Leistungen'!$N$139,'weitere Besondere Leistungen'!$L$139,0)</f>
        <v>0</v>
      </c>
      <c r="I144" s="234">
        <f>IF(I$110='weitere Besondere Leistungen'!$N$139,'weitere Besondere Leistungen'!$L$139,0)</f>
        <v>0</v>
      </c>
      <c r="J144" s="234">
        <f>IF(J$110='weitere Besondere Leistungen'!$N$139,'weitere Besondere Leistungen'!$L$139,0)</f>
        <v>0</v>
      </c>
      <c r="K144" s="234">
        <f>IF(K$110='weitere Besondere Leistungen'!$N$139,'weitere Besondere Leistungen'!$L$139,0)</f>
        <v>0</v>
      </c>
      <c r="X144" s="14"/>
      <c r="Y144" s="13"/>
      <c r="Z144" s="15"/>
    </row>
    <row r="145" spans="1:26" ht="14.55" x14ac:dyDescent="0.3">
      <c r="C145" s="233">
        <f>IF(C$110='weitere Besondere Leistungen'!$N$141,'weitere Besondere Leistungen'!$L$141,0)</f>
        <v>0</v>
      </c>
      <c r="D145" s="234">
        <f>IF(D$110='weitere Besondere Leistungen'!$N$141,'weitere Besondere Leistungen'!$L$141,0)</f>
        <v>0</v>
      </c>
      <c r="E145" s="234">
        <f>IF(E$110='weitere Besondere Leistungen'!$N$141,'weitere Besondere Leistungen'!$L$141,0)</f>
        <v>0</v>
      </c>
      <c r="F145" s="234">
        <f>IF(F$110='weitere Besondere Leistungen'!$N$141,'weitere Besondere Leistungen'!$L$141,0)</f>
        <v>0</v>
      </c>
      <c r="G145" s="234">
        <f>IF(G$110='weitere Besondere Leistungen'!$N$141,'weitere Besondere Leistungen'!$L$141,0)</f>
        <v>0</v>
      </c>
      <c r="H145" s="234">
        <f>IF(H$110='weitere Besondere Leistungen'!$N$141,'weitere Besondere Leistungen'!$L$141,0)</f>
        <v>0</v>
      </c>
      <c r="I145" s="234">
        <f>IF(I$110='weitere Besondere Leistungen'!$N$141,'weitere Besondere Leistungen'!$L$141,0)</f>
        <v>0</v>
      </c>
      <c r="J145" s="234">
        <f>IF(J$110='weitere Besondere Leistungen'!$N$141,'weitere Besondere Leistungen'!$L$141,0)</f>
        <v>0</v>
      </c>
      <c r="K145" s="234">
        <f>IF(K$110='weitere Besondere Leistungen'!$N$141,'weitere Besondere Leistungen'!$L$141,0)</f>
        <v>0</v>
      </c>
      <c r="X145" s="14"/>
      <c r="Y145" s="13"/>
      <c r="Z145" s="15"/>
    </row>
    <row r="146" spans="1:26" ht="15.2" thickBot="1" x14ac:dyDescent="0.35">
      <c r="C146" s="236">
        <f>IF(C$110='weitere Besondere Leistungen'!$N$143,'weitere Besondere Leistungen'!$L$143,0)</f>
        <v>0</v>
      </c>
      <c r="D146" s="237">
        <f>IF(D$110='weitere Besondere Leistungen'!$N$143,'weitere Besondere Leistungen'!$L$143,0)</f>
        <v>0</v>
      </c>
      <c r="E146" s="237">
        <f>IF(E$110='weitere Besondere Leistungen'!$N$143,'weitere Besondere Leistungen'!$L$143,0)</f>
        <v>0</v>
      </c>
      <c r="F146" s="237">
        <f>IF(F$110='weitere Besondere Leistungen'!$N$143,'weitere Besondere Leistungen'!$L$143,0)</f>
        <v>0</v>
      </c>
      <c r="G146" s="237">
        <f>IF(G$110='weitere Besondere Leistungen'!$N$143,'weitere Besondere Leistungen'!$L$143,0)</f>
        <v>0</v>
      </c>
      <c r="H146" s="237">
        <f>IF(H$110='weitere Besondere Leistungen'!$N$143,'weitere Besondere Leistungen'!$L$143,0)</f>
        <v>0</v>
      </c>
      <c r="I146" s="237">
        <f>IF(I$110='weitere Besondere Leistungen'!$N$143,'weitere Besondere Leistungen'!$L$143,0)</f>
        <v>0</v>
      </c>
      <c r="J146" s="237">
        <f>IF(J$110='weitere Besondere Leistungen'!$N$143,'weitere Besondere Leistungen'!$L$143,0)</f>
        <v>0</v>
      </c>
      <c r="K146" s="237">
        <f>IF(K$110='weitere Besondere Leistungen'!$N$143,'weitere Besondere Leistungen'!$L$143,0)</f>
        <v>0</v>
      </c>
      <c r="X146" s="14"/>
      <c r="Y146" s="13"/>
      <c r="Z146" s="15"/>
    </row>
    <row r="147" spans="1:26" ht="15.2" thickBot="1" x14ac:dyDescent="0.35">
      <c r="A147" s="2146" t="s">
        <v>357</v>
      </c>
      <c r="B147" s="2146"/>
      <c r="C147" s="388">
        <f t="shared" ref="C147:K147" si="3">SUM(C143:C146)</f>
        <v>0</v>
      </c>
      <c r="D147" s="388">
        <f t="shared" si="3"/>
        <v>0</v>
      </c>
      <c r="E147" s="388">
        <f t="shared" si="3"/>
        <v>0</v>
      </c>
      <c r="F147" s="388">
        <f t="shared" si="3"/>
        <v>0</v>
      </c>
      <c r="G147" s="388">
        <f t="shared" si="3"/>
        <v>0</v>
      </c>
      <c r="H147" s="388">
        <f t="shared" si="3"/>
        <v>0</v>
      </c>
      <c r="I147" s="388">
        <f t="shared" si="3"/>
        <v>0</v>
      </c>
      <c r="J147" s="388">
        <f t="shared" si="3"/>
        <v>0</v>
      </c>
      <c r="K147" s="388">
        <f t="shared" si="3"/>
        <v>0</v>
      </c>
      <c r="X147" s="14"/>
      <c r="Y147" s="13"/>
      <c r="Z147" s="15"/>
    </row>
    <row r="148" spans="1:26" ht="15.2" thickBot="1" x14ac:dyDescent="0.35">
      <c r="C148" s="2148" t="str">
        <f>'weitere Besondere Leistungen'!B146</f>
        <v xml:space="preserve"> Besondere Leistungen im Zusammenhang mit der Technischen Ausrüstung</v>
      </c>
      <c r="D148" s="2149"/>
      <c r="E148" s="2149"/>
      <c r="F148" s="2149"/>
      <c r="G148" s="2149"/>
      <c r="H148" s="2149"/>
      <c r="I148" s="2149"/>
      <c r="J148" s="2149"/>
      <c r="K148" s="1999"/>
      <c r="X148" s="14"/>
      <c r="Y148" s="13"/>
      <c r="Z148" s="15"/>
    </row>
    <row r="149" spans="1:26" ht="14.55" x14ac:dyDescent="0.3">
      <c r="C149" s="230">
        <f>IF(C$110='weitere Besondere Leistungen'!$N$149,'weitere Besondere Leistungen'!$L$149,0)</f>
        <v>0</v>
      </c>
      <c r="D149" s="231">
        <f>IF(D$110='weitere Besondere Leistungen'!$N$149,'weitere Besondere Leistungen'!$L$149,0)</f>
        <v>0</v>
      </c>
      <c r="E149" s="231">
        <f>IF(E$110='weitere Besondere Leistungen'!$N$149,'weitere Besondere Leistungen'!$L$149,0)</f>
        <v>0</v>
      </c>
      <c r="F149" s="231">
        <f>IF(F$110='weitere Besondere Leistungen'!$N$149,'weitere Besondere Leistungen'!$L$149,0)</f>
        <v>0</v>
      </c>
      <c r="G149" s="231">
        <f>IF(G$110='weitere Besondere Leistungen'!$N$149,'weitere Besondere Leistungen'!$L$149,0)</f>
        <v>0</v>
      </c>
      <c r="H149" s="231">
        <f>IF(H$110='weitere Besondere Leistungen'!$N$149,'weitere Besondere Leistungen'!$L$149,0)</f>
        <v>0</v>
      </c>
      <c r="I149" s="231">
        <f>IF(I$110='weitere Besondere Leistungen'!$N$149,'weitere Besondere Leistungen'!$L$149,0)</f>
        <v>0</v>
      </c>
      <c r="J149" s="231">
        <f>IF(J$110='weitere Besondere Leistungen'!$N$149,'weitere Besondere Leistungen'!$L$149,0)</f>
        <v>0</v>
      </c>
      <c r="K149" s="232">
        <f>IF(K$110='weitere Besondere Leistungen'!$N$149,'weitere Besondere Leistungen'!$L$149,0)</f>
        <v>0</v>
      </c>
      <c r="X149" s="14"/>
      <c r="Y149" s="13"/>
      <c r="Z149" s="15"/>
    </row>
    <row r="150" spans="1:26" ht="14.55" x14ac:dyDescent="0.3">
      <c r="C150" s="233">
        <f>IF(C$110='weitere Besondere Leistungen'!$N$152,'weitere Besondere Leistungen'!$L$152,0)</f>
        <v>0</v>
      </c>
      <c r="D150" s="234">
        <f>IF(D$110='weitere Besondere Leistungen'!$N$152,'weitere Besondere Leistungen'!$L$152,0)</f>
        <v>0</v>
      </c>
      <c r="E150" s="234">
        <f>IF(E$110='weitere Besondere Leistungen'!$N$152,'weitere Besondere Leistungen'!$L$152,0)</f>
        <v>0</v>
      </c>
      <c r="F150" s="234">
        <f>IF(F$110='weitere Besondere Leistungen'!$N$152,'weitere Besondere Leistungen'!$L$152,0)</f>
        <v>0</v>
      </c>
      <c r="G150" s="234">
        <f>IF(G$110='weitere Besondere Leistungen'!$N$152,'weitere Besondere Leistungen'!$L$152,0)</f>
        <v>0</v>
      </c>
      <c r="H150" s="234">
        <f>IF(H$110='weitere Besondere Leistungen'!$N$152,'weitere Besondere Leistungen'!$L$152,0)</f>
        <v>0</v>
      </c>
      <c r="I150" s="234">
        <f>IF(I$110='weitere Besondere Leistungen'!$N$152,'weitere Besondere Leistungen'!$L$152,0)</f>
        <v>0</v>
      </c>
      <c r="J150" s="234">
        <f>IF(J$110='weitere Besondere Leistungen'!$N$152,'weitere Besondere Leistungen'!$L$152,0)</f>
        <v>0</v>
      </c>
      <c r="K150" s="235">
        <f>IF(K$110='weitere Besondere Leistungen'!$N$152,'weitere Besondere Leistungen'!$L$152,0)</f>
        <v>0</v>
      </c>
      <c r="X150" s="14"/>
      <c r="Y150" s="13"/>
      <c r="Z150" s="15"/>
    </row>
    <row r="151" spans="1:26" ht="14.55" x14ac:dyDescent="0.3">
      <c r="C151" s="233">
        <f>IF(C$110='weitere Besondere Leistungen'!$N$154,'weitere Besondere Leistungen'!$L$154,0)</f>
        <v>0</v>
      </c>
      <c r="D151" s="234">
        <f>IF(D$110='weitere Besondere Leistungen'!$N$154,'weitere Besondere Leistungen'!$L$154,0)</f>
        <v>0</v>
      </c>
      <c r="E151" s="234">
        <f>IF(E$110='weitere Besondere Leistungen'!$N$154,'weitere Besondere Leistungen'!$L$154,0)</f>
        <v>0</v>
      </c>
      <c r="F151" s="234">
        <f>IF(F$110='weitere Besondere Leistungen'!$N$154,'weitere Besondere Leistungen'!$L$154,0)</f>
        <v>0</v>
      </c>
      <c r="G151" s="234">
        <f>IF(G$110='weitere Besondere Leistungen'!$N$154,'weitere Besondere Leistungen'!$L$154,0)</f>
        <v>0</v>
      </c>
      <c r="H151" s="234">
        <f>IF(H$110='weitere Besondere Leistungen'!$N$154,'weitere Besondere Leistungen'!$L$154,0)</f>
        <v>0</v>
      </c>
      <c r="I151" s="234">
        <f>IF(I$110='weitere Besondere Leistungen'!$N$154,'weitere Besondere Leistungen'!$L$154,0)</f>
        <v>0</v>
      </c>
      <c r="J151" s="234">
        <f>IF(J$110='weitere Besondere Leistungen'!$N$154,'weitere Besondere Leistungen'!$L$154,0)</f>
        <v>0</v>
      </c>
      <c r="K151" s="235">
        <f>IF(K$110='weitere Besondere Leistungen'!$N$154,'weitere Besondere Leistungen'!$L$154,0)</f>
        <v>0</v>
      </c>
      <c r="X151" s="14"/>
      <c r="Y151" s="13"/>
      <c r="Z151" s="15"/>
    </row>
    <row r="152" spans="1:26" ht="14.55" x14ac:dyDescent="0.3">
      <c r="C152" s="233">
        <f>IF(C$110='weitere Besondere Leistungen'!$N$156,'weitere Besondere Leistungen'!$L$156,0)</f>
        <v>0</v>
      </c>
      <c r="D152" s="234">
        <f>IF(D$110='weitere Besondere Leistungen'!$N$156,'weitere Besondere Leistungen'!$L$156,0)</f>
        <v>0</v>
      </c>
      <c r="E152" s="234">
        <f>IF(E$110='weitere Besondere Leistungen'!$N$156,'weitere Besondere Leistungen'!$L$156,0)</f>
        <v>0</v>
      </c>
      <c r="F152" s="234">
        <f>IF(F$110='weitere Besondere Leistungen'!$N$156,'weitere Besondere Leistungen'!$L$156,0)</f>
        <v>0</v>
      </c>
      <c r="G152" s="234">
        <f>IF(G$110='weitere Besondere Leistungen'!$N$156,'weitere Besondere Leistungen'!$L$156,0)</f>
        <v>0</v>
      </c>
      <c r="H152" s="234">
        <f>IF(H$110='weitere Besondere Leistungen'!$N$156,'weitere Besondere Leistungen'!$L$156,0)</f>
        <v>0</v>
      </c>
      <c r="I152" s="234">
        <f>IF(I$110='weitere Besondere Leistungen'!$N$156,'weitere Besondere Leistungen'!$L$156,0)</f>
        <v>0</v>
      </c>
      <c r="J152" s="234">
        <f>IF(J$110='weitere Besondere Leistungen'!$N$156,'weitere Besondere Leistungen'!$L$156,0)</f>
        <v>0</v>
      </c>
      <c r="K152" s="235">
        <f>IF(K$110='weitere Besondere Leistungen'!$N$156,'weitere Besondere Leistungen'!$L$156,0)</f>
        <v>0</v>
      </c>
      <c r="X152" s="14"/>
      <c r="Y152" s="13"/>
      <c r="Z152" s="15"/>
    </row>
    <row r="153" spans="1:26" ht="14.55" x14ac:dyDescent="0.3">
      <c r="C153" s="233">
        <f>IF(C$110='weitere Besondere Leistungen'!$N$158,'weitere Besondere Leistungen'!$L$158,0)</f>
        <v>0</v>
      </c>
      <c r="D153" s="234">
        <f>IF(D$110='weitere Besondere Leistungen'!$N$158,'weitere Besondere Leistungen'!$L$158,0)</f>
        <v>0</v>
      </c>
      <c r="E153" s="234">
        <f>IF(E$110='weitere Besondere Leistungen'!$N$158,'weitere Besondere Leistungen'!$L$158,0)</f>
        <v>0</v>
      </c>
      <c r="F153" s="234">
        <f>IF(F$110='weitere Besondere Leistungen'!$N$158,'weitere Besondere Leistungen'!$L$158,0)</f>
        <v>0</v>
      </c>
      <c r="G153" s="234">
        <f>IF(G$110='weitere Besondere Leistungen'!$N$158,'weitere Besondere Leistungen'!$L$158,0)</f>
        <v>0</v>
      </c>
      <c r="H153" s="234">
        <f>IF(H$110='weitere Besondere Leistungen'!$N$158,'weitere Besondere Leistungen'!$L$158,0)</f>
        <v>0</v>
      </c>
      <c r="I153" s="234">
        <f>IF(I$110='weitere Besondere Leistungen'!$N$158,'weitere Besondere Leistungen'!$L$158,0)</f>
        <v>0</v>
      </c>
      <c r="J153" s="234">
        <f>IF(J$110='weitere Besondere Leistungen'!$N$158,'weitere Besondere Leistungen'!$L$158,0)</f>
        <v>0</v>
      </c>
      <c r="K153" s="235">
        <f>IF(K$110='weitere Besondere Leistungen'!$N$158,'weitere Besondere Leistungen'!$L$158,0)</f>
        <v>0</v>
      </c>
      <c r="X153" s="14"/>
      <c r="Y153" s="13"/>
      <c r="Z153" s="15"/>
    </row>
    <row r="154" spans="1:26" ht="14.55" x14ac:dyDescent="0.3">
      <c r="C154" s="233">
        <f>IF(C$110='weitere Besondere Leistungen'!$N$160,'weitere Besondere Leistungen'!$L$160,0)</f>
        <v>0</v>
      </c>
      <c r="D154" s="234">
        <f>IF(D$110='weitere Besondere Leistungen'!$N$160,'weitere Besondere Leistungen'!$L$160,0)</f>
        <v>0</v>
      </c>
      <c r="E154" s="234">
        <f>IF(E$110='weitere Besondere Leistungen'!$N$160,'weitere Besondere Leistungen'!$L$160,0)</f>
        <v>0</v>
      </c>
      <c r="F154" s="234">
        <f>IF(F$110='weitere Besondere Leistungen'!$N$160,'weitere Besondere Leistungen'!$L$160,0)</f>
        <v>0</v>
      </c>
      <c r="G154" s="234">
        <f>IF(G$110='weitere Besondere Leistungen'!$N$160,'weitere Besondere Leistungen'!$L$160,0)</f>
        <v>0</v>
      </c>
      <c r="H154" s="234">
        <f>IF(H$110='weitere Besondere Leistungen'!$N$160,'weitere Besondere Leistungen'!$L$160,0)</f>
        <v>0</v>
      </c>
      <c r="I154" s="234">
        <f>IF(I$110='weitere Besondere Leistungen'!$N$160,'weitere Besondere Leistungen'!$L$160,0)</f>
        <v>0</v>
      </c>
      <c r="J154" s="234">
        <f>IF(J$110='weitere Besondere Leistungen'!$N$160,'weitere Besondere Leistungen'!$L$160,0)</f>
        <v>0</v>
      </c>
      <c r="K154" s="235">
        <f>IF(K$110='weitere Besondere Leistungen'!$N$160,'weitere Besondere Leistungen'!$L$160,0)</f>
        <v>0</v>
      </c>
      <c r="X154" s="14"/>
      <c r="Y154" s="13"/>
      <c r="Z154" s="15"/>
    </row>
    <row r="155" spans="1:26" ht="15.2" thickBot="1" x14ac:dyDescent="0.35">
      <c r="C155" s="236">
        <f>IF(C$110='weitere Besondere Leistungen'!$N$162,'weitere Besondere Leistungen'!$L$162,0)</f>
        <v>0</v>
      </c>
      <c r="D155" s="237">
        <f>IF(D$110='weitere Besondere Leistungen'!$N$162,'weitere Besondere Leistungen'!$L$162,0)</f>
        <v>0</v>
      </c>
      <c r="E155" s="237">
        <f>IF(E$110='weitere Besondere Leistungen'!$N$162,'weitere Besondere Leistungen'!$L$162,0)</f>
        <v>0</v>
      </c>
      <c r="F155" s="237">
        <f>IF(F$110='weitere Besondere Leistungen'!$N$162,'weitere Besondere Leistungen'!$L$162,0)</f>
        <v>0</v>
      </c>
      <c r="G155" s="237">
        <f>IF(G$110='weitere Besondere Leistungen'!$N$162,'weitere Besondere Leistungen'!$L$162,0)</f>
        <v>0</v>
      </c>
      <c r="H155" s="237">
        <f>IF(H$110='weitere Besondere Leistungen'!$N$162,'weitere Besondere Leistungen'!$L$162,0)</f>
        <v>0</v>
      </c>
      <c r="I155" s="237">
        <f>IF(I$110='weitere Besondere Leistungen'!$N$162,'weitere Besondere Leistungen'!$L$162,0)</f>
        <v>0</v>
      </c>
      <c r="J155" s="237">
        <f>IF(J$110='weitere Besondere Leistungen'!$N$162,'weitere Besondere Leistungen'!$L$162,0)</f>
        <v>0</v>
      </c>
      <c r="K155" s="238">
        <f>IF(K$110='weitere Besondere Leistungen'!$N$162,'weitere Besondere Leistungen'!$L$162,0)</f>
        <v>0</v>
      </c>
      <c r="X155" s="14"/>
      <c r="Y155" s="13"/>
      <c r="Z155" s="15"/>
    </row>
    <row r="156" spans="1:26" ht="15.2" thickBot="1" x14ac:dyDescent="0.35">
      <c r="A156" s="2146" t="s">
        <v>357</v>
      </c>
      <c r="B156" s="2146"/>
      <c r="C156" s="390">
        <f t="shared" ref="C156:K156" si="4">SUM(C149:C155)</f>
        <v>0</v>
      </c>
      <c r="D156" s="390">
        <f t="shared" si="4"/>
        <v>0</v>
      </c>
      <c r="E156" s="390">
        <f t="shared" si="4"/>
        <v>0</v>
      </c>
      <c r="F156" s="390">
        <f t="shared" si="4"/>
        <v>0</v>
      </c>
      <c r="G156" s="390">
        <f t="shared" si="4"/>
        <v>0</v>
      </c>
      <c r="H156" s="390">
        <f t="shared" si="4"/>
        <v>0</v>
      </c>
      <c r="I156" s="390">
        <f t="shared" si="4"/>
        <v>0</v>
      </c>
      <c r="J156" s="390">
        <f t="shared" si="4"/>
        <v>0</v>
      </c>
      <c r="K156" s="390">
        <f t="shared" si="4"/>
        <v>0</v>
      </c>
      <c r="X156" s="14"/>
      <c r="Y156" s="13"/>
      <c r="Z156" s="15"/>
    </row>
    <row r="157" spans="1:26" ht="15.2" thickBot="1" x14ac:dyDescent="0.35">
      <c r="A157" s="400"/>
      <c r="B157" s="400"/>
      <c r="C157" s="2148" t="str">
        <f>'weitere Besondere Leistungen'!B165</f>
        <v xml:space="preserve"> Besondere Leistungen im Zusammenhang mit der Bauphysik</v>
      </c>
      <c r="D157" s="2149"/>
      <c r="E157" s="2149"/>
      <c r="F157" s="2149"/>
      <c r="G157" s="2149"/>
      <c r="H157" s="2149"/>
      <c r="I157" s="2149"/>
      <c r="J157" s="2149"/>
      <c r="K157" s="1999"/>
      <c r="X157" s="14"/>
      <c r="Y157" s="13"/>
      <c r="Z157" s="15"/>
    </row>
    <row r="158" spans="1:26" ht="14.55" x14ac:dyDescent="0.3">
      <c r="A158" s="400"/>
      <c r="B158" s="400"/>
      <c r="C158" s="230">
        <f>IF(C$110='weitere Besondere Leistungen'!$N$168,'weitere Besondere Leistungen'!$L$168,0)</f>
        <v>0</v>
      </c>
      <c r="D158" s="231">
        <f>IF(D$110='weitere Besondere Leistungen'!$N$168,'weitere Besondere Leistungen'!$L$168,0)</f>
        <v>0</v>
      </c>
      <c r="E158" s="231">
        <f>IF(E$110='weitere Besondere Leistungen'!$N$168,'weitere Besondere Leistungen'!$L$168,0)</f>
        <v>0</v>
      </c>
      <c r="F158" s="231">
        <f>IF(F$110='weitere Besondere Leistungen'!$N$168,'weitere Besondere Leistungen'!$L$168,0)</f>
        <v>0</v>
      </c>
      <c r="G158" s="231">
        <f>IF(G$110='weitere Besondere Leistungen'!$N$168,'weitere Besondere Leistungen'!$L$168,0)</f>
        <v>0</v>
      </c>
      <c r="H158" s="231">
        <f>IF(H$110='weitere Besondere Leistungen'!$N$168,'weitere Besondere Leistungen'!$L$168,0)</f>
        <v>0</v>
      </c>
      <c r="I158" s="231">
        <f>IF(I$110='weitere Besondere Leistungen'!$N$168,'weitere Besondere Leistungen'!$L$168,0)</f>
        <v>0</v>
      </c>
      <c r="J158" s="231">
        <f>IF(J$110='weitere Besondere Leistungen'!$N$168,'weitere Besondere Leistungen'!$L$168,0)</f>
        <v>0</v>
      </c>
      <c r="K158" s="232">
        <f>IF(K$110='weitere Besondere Leistungen'!$N$168,'weitere Besondere Leistungen'!$L$168,0)</f>
        <v>0</v>
      </c>
      <c r="X158" s="14"/>
      <c r="Y158" s="13"/>
      <c r="Z158" s="15"/>
    </row>
    <row r="159" spans="1:26" ht="14.55" x14ac:dyDescent="0.3">
      <c r="A159" s="400"/>
      <c r="B159" s="400"/>
      <c r="C159" s="233">
        <f>IF(C$110='weitere Besondere Leistungen'!$N$172,'weitere Besondere Leistungen'!$L$172,0)</f>
        <v>0</v>
      </c>
      <c r="D159" s="234">
        <f>IF(D$110='weitere Besondere Leistungen'!$N$172,'weitere Besondere Leistungen'!$L$172,0)</f>
        <v>0</v>
      </c>
      <c r="E159" s="234">
        <f>IF(E$110='weitere Besondere Leistungen'!$N$172,'weitere Besondere Leistungen'!$L$172,0)</f>
        <v>0</v>
      </c>
      <c r="F159" s="234">
        <f>IF(F$110='weitere Besondere Leistungen'!$N$172,'weitere Besondere Leistungen'!$L$172,0)</f>
        <v>0</v>
      </c>
      <c r="G159" s="234">
        <f>IF(G$110='weitere Besondere Leistungen'!$N$172,'weitere Besondere Leistungen'!$L$172,0)</f>
        <v>0</v>
      </c>
      <c r="H159" s="234">
        <f>IF(H$110='weitere Besondere Leistungen'!$N$172,'weitere Besondere Leistungen'!$L$172,0)</f>
        <v>0</v>
      </c>
      <c r="I159" s="234">
        <f>IF(I$110='weitere Besondere Leistungen'!$N$172,'weitere Besondere Leistungen'!$L$172,0)</f>
        <v>0</v>
      </c>
      <c r="J159" s="234">
        <f>IF(J$110='weitere Besondere Leistungen'!$N$172,'weitere Besondere Leistungen'!$L$172,0)</f>
        <v>0</v>
      </c>
      <c r="K159" s="235">
        <f>IF(K$110='weitere Besondere Leistungen'!$N$172,'weitere Besondere Leistungen'!$L$172,0)</f>
        <v>0</v>
      </c>
      <c r="X159" s="14"/>
      <c r="Y159" s="13"/>
      <c r="Z159" s="15"/>
    </row>
    <row r="160" spans="1:26" ht="14.55" x14ac:dyDescent="0.3">
      <c r="A160" s="400"/>
      <c r="B160" s="400"/>
      <c r="C160" s="233">
        <f>IF(C$110='weitere Besondere Leistungen'!$N$174,'weitere Besondere Leistungen'!$L$174,0)</f>
        <v>0</v>
      </c>
      <c r="D160" s="234">
        <f>IF(D$110='weitere Besondere Leistungen'!$N$174,'weitere Besondere Leistungen'!$L$174,0)</f>
        <v>0</v>
      </c>
      <c r="E160" s="234">
        <f>IF(E$110='weitere Besondere Leistungen'!$N$174,'weitere Besondere Leistungen'!$L$174,0)</f>
        <v>0</v>
      </c>
      <c r="F160" s="234">
        <f>IF(F$110='weitere Besondere Leistungen'!$N$174,'weitere Besondere Leistungen'!$L$174,0)</f>
        <v>0</v>
      </c>
      <c r="G160" s="234">
        <f>IF(G$110='weitere Besondere Leistungen'!$N$174,'weitere Besondere Leistungen'!$L$174,0)</f>
        <v>0</v>
      </c>
      <c r="H160" s="234">
        <f>IF(H$110='weitere Besondere Leistungen'!$N$174,'weitere Besondere Leistungen'!$L$174,0)</f>
        <v>0</v>
      </c>
      <c r="I160" s="234">
        <f>IF(I$110='weitere Besondere Leistungen'!$N$174,'weitere Besondere Leistungen'!$L$174,0)</f>
        <v>0</v>
      </c>
      <c r="J160" s="234">
        <f>IF(J$110='weitere Besondere Leistungen'!$N$174,'weitere Besondere Leistungen'!$L$174,0)</f>
        <v>0</v>
      </c>
      <c r="K160" s="235">
        <f>IF(K$110='weitere Besondere Leistungen'!$N$174,'weitere Besondere Leistungen'!$L$174,0)</f>
        <v>0</v>
      </c>
      <c r="X160" s="14"/>
      <c r="Y160" s="13"/>
      <c r="Z160" s="15"/>
    </row>
    <row r="161" spans="1:26" ht="14.55" x14ac:dyDescent="0.3">
      <c r="A161" s="400"/>
      <c r="B161" s="400"/>
      <c r="C161" s="233">
        <f>IF(C$110='weitere Besondere Leistungen'!$N$176,'weitere Besondere Leistungen'!$L$176,0)</f>
        <v>0</v>
      </c>
      <c r="D161" s="234">
        <f>IF(D$110='weitere Besondere Leistungen'!$N$176,'weitere Besondere Leistungen'!$L$176,0)</f>
        <v>0</v>
      </c>
      <c r="E161" s="234">
        <f>IF(E$110='weitere Besondere Leistungen'!$N$176,'weitere Besondere Leistungen'!$L$176,0)</f>
        <v>0</v>
      </c>
      <c r="F161" s="234">
        <f>IF(F$110='weitere Besondere Leistungen'!$N$176,'weitere Besondere Leistungen'!$L$176,0)</f>
        <v>0</v>
      </c>
      <c r="G161" s="234">
        <f>IF(G$110='weitere Besondere Leistungen'!$N$176,'weitere Besondere Leistungen'!$L$176,0)</f>
        <v>0</v>
      </c>
      <c r="H161" s="234">
        <f>IF(H$110='weitere Besondere Leistungen'!$N$176,'weitere Besondere Leistungen'!$L$176,0)</f>
        <v>0</v>
      </c>
      <c r="I161" s="234">
        <f>IF(I$110='weitere Besondere Leistungen'!$N$176,'weitere Besondere Leistungen'!$L$176,0)</f>
        <v>0</v>
      </c>
      <c r="J161" s="234">
        <f>IF(J$110='weitere Besondere Leistungen'!$N$176,'weitere Besondere Leistungen'!$L$176,0)</f>
        <v>0</v>
      </c>
      <c r="K161" s="235">
        <f>IF(K$110='weitere Besondere Leistungen'!$N$176,'weitere Besondere Leistungen'!$L$176,0)</f>
        <v>0</v>
      </c>
      <c r="X161" s="14"/>
      <c r="Y161" s="13"/>
      <c r="Z161" s="15"/>
    </row>
    <row r="162" spans="1:26" ht="14.55" x14ac:dyDescent="0.3">
      <c r="A162" s="400"/>
      <c r="B162" s="400"/>
      <c r="C162" s="233">
        <f>IF(C$110='weitere Besondere Leistungen'!$N$178,'weitere Besondere Leistungen'!$L$178,0)</f>
        <v>0</v>
      </c>
      <c r="D162" s="234">
        <f>IF(D$110='weitere Besondere Leistungen'!$N$178,'weitere Besondere Leistungen'!$L$178,0)</f>
        <v>0</v>
      </c>
      <c r="E162" s="234">
        <f>IF(E$110='weitere Besondere Leistungen'!$N$178,'weitere Besondere Leistungen'!$L$178,0)</f>
        <v>0</v>
      </c>
      <c r="F162" s="234">
        <f>IF(F$110='weitere Besondere Leistungen'!$N$178,'weitere Besondere Leistungen'!$L$178,0)</f>
        <v>0</v>
      </c>
      <c r="G162" s="234">
        <f>IF(G$110='weitere Besondere Leistungen'!$N$178,'weitere Besondere Leistungen'!$L$178,0)</f>
        <v>0</v>
      </c>
      <c r="H162" s="234">
        <f>IF(H$110='weitere Besondere Leistungen'!$N$178,'weitere Besondere Leistungen'!$L$178,0)</f>
        <v>0</v>
      </c>
      <c r="I162" s="234">
        <f>IF(I$110='weitere Besondere Leistungen'!$N$178,'weitere Besondere Leistungen'!$L$178,0)</f>
        <v>0</v>
      </c>
      <c r="J162" s="234">
        <f>IF(J$110='weitere Besondere Leistungen'!$N$178,'weitere Besondere Leistungen'!$L$178,0)</f>
        <v>0</v>
      </c>
      <c r="K162" s="235">
        <f>IF(K$110='weitere Besondere Leistungen'!$N$178,'weitere Besondere Leistungen'!$L$178,0)</f>
        <v>0</v>
      </c>
      <c r="X162" s="14"/>
      <c r="Y162" s="13"/>
      <c r="Z162" s="15"/>
    </row>
    <row r="163" spans="1:26" ht="15.2" thickBot="1" x14ac:dyDescent="0.35">
      <c r="A163" s="400"/>
      <c r="B163" s="400"/>
      <c r="C163" s="236">
        <f>IF(C$110='weitere Besondere Leistungen'!$N$180,'weitere Besondere Leistungen'!$L$180,0)</f>
        <v>0</v>
      </c>
      <c r="D163" s="237">
        <f>IF(D$110='weitere Besondere Leistungen'!$N$180,'weitere Besondere Leistungen'!$L$180,0)</f>
        <v>0</v>
      </c>
      <c r="E163" s="237">
        <f>IF(E$110='weitere Besondere Leistungen'!$N$180,'weitere Besondere Leistungen'!$L$180,0)</f>
        <v>0</v>
      </c>
      <c r="F163" s="237">
        <f>IF(F$110='weitere Besondere Leistungen'!$N$180,'weitere Besondere Leistungen'!$L$180,0)</f>
        <v>0</v>
      </c>
      <c r="G163" s="237">
        <f>IF(G$110='weitere Besondere Leistungen'!$N$180,'weitere Besondere Leistungen'!$L$180,0)</f>
        <v>0</v>
      </c>
      <c r="H163" s="237">
        <f>IF(H$110='weitere Besondere Leistungen'!$N$180,'weitere Besondere Leistungen'!$L$180,0)</f>
        <v>0</v>
      </c>
      <c r="I163" s="237">
        <f>IF(I$110='weitere Besondere Leistungen'!$N$180,'weitere Besondere Leistungen'!$L$180,0)</f>
        <v>0</v>
      </c>
      <c r="J163" s="237">
        <f>IF(J$110='weitere Besondere Leistungen'!$N$180,'weitere Besondere Leistungen'!$L$180,0)</f>
        <v>0</v>
      </c>
      <c r="K163" s="238">
        <f>IF(K$110='weitere Besondere Leistungen'!$N$180,'weitere Besondere Leistungen'!$L$180,0)</f>
        <v>0</v>
      </c>
      <c r="X163" s="14"/>
      <c r="Y163" s="13"/>
      <c r="Z163" s="15"/>
    </row>
    <row r="164" spans="1:26" ht="15.2" thickBot="1" x14ac:dyDescent="0.35">
      <c r="A164" s="2146" t="s">
        <v>357</v>
      </c>
      <c r="B164" s="2146"/>
      <c r="C164" s="390">
        <f t="shared" ref="C164:K164" si="5">SUM(C158:C163)</f>
        <v>0</v>
      </c>
      <c r="D164" s="390">
        <f t="shared" si="5"/>
        <v>0</v>
      </c>
      <c r="E164" s="390">
        <f t="shared" si="5"/>
        <v>0</v>
      </c>
      <c r="F164" s="390">
        <f t="shared" si="5"/>
        <v>0</v>
      </c>
      <c r="G164" s="390">
        <f t="shared" si="5"/>
        <v>0</v>
      </c>
      <c r="H164" s="390">
        <f t="shared" si="5"/>
        <v>0</v>
      </c>
      <c r="I164" s="390">
        <f t="shared" si="5"/>
        <v>0</v>
      </c>
      <c r="J164" s="390">
        <f t="shared" si="5"/>
        <v>0</v>
      </c>
      <c r="K164" s="390">
        <f t="shared" si="5"/>
        <v>0</v>
      </c>
      <c r="X164" s="14"/>
      <c r="Y164" s="13"/>
      <c r="Z164" s="15"/>
    </row>
    <row r="165" spans="1:26" ht="15.2" thickBot="1" x14ac:dyDescent="0.35">
      <c r="A165" s="400"/>
      <c r="C165" s="2148" t="str">
        <f>'weitere Besondere Leistungen'!B183</f>
        <v xml:space="preserve"> Besondere Leistungen im Zusammenhang mit dem Brandschutz</v>
      </c>
      <c r="D165" s="2149"/>
      <c r="E165" s="2149"/>
      <c r="F165" s="2149"/>
      <c r="G165" s="2149"/>
      <c r="H165" s="2149"/>
      <c r="I165" s="2149"/>
      <c r="J165" s="2149"/>
      <c r="K165" s="1999"/>
      <c r="X165" s="14"/>
      <c r="Y165" s="13"/>
      <c r="Z165" s="15"/>
    </row>
    <row r="166" spans="1:26" ht="14.55" x14ac:dyDescent="0.3">
      <c r="A166" s="400"/>
      <c r="B166" s="400"/>
      <c r="C166" s="230">
        <f>IF(C$110='weitere Besondere Leistungen'!$N$186,'weitere Besondere Leistungen'!$L$186,0)</f>
        <v>0</v>
      </c>
      <c r="D166" s="231">
        <f>IF(D$110='weitere Besondere Leistungen'!$N$186,'weitere Besondere Leistungen'!$L$186,0)</f>
        <v>0</v>
      </c>
      <c r="E166" s="231">
        <f>IF(E$110='weitere Besondere Leistungen'!$N$186,'weitere Besondere Leistungen'!$L$186,0)</f>
        <v>0</v>
      </c>
      <c r="F166" s="231">
        <f>IF(F$110='weitere Besondere Leistungen'!$N$186,'weitere Besondere Leistungen'!$L$186,0)</f>
        <v>0</v>
      </c>
      <c r="G166" s="231">
        <f>IF(G$110='weitere Besondere Leistungen'!$N$186,'weitere Besondere Leistungen'!$L$186,0)</f>
        <v>0</v>
      </c>
      <c r="H166" s="231">
        <f>IF(H$110='weitere Besondere Leistungen'!$N$186,'weitere Besondere Leistungen'!$L$186,0)</f>
        <v>0</v>
      </c>
      <c r="I166" s="231">
        <f>IF(I$110='weitere Besondere Leistungen'!$N$186,'weitere Besondere Leistungen'!$L$186,0)</f>
        <v>0</v>
      </c>
      <c r="J166" s="231">
        <f>IF(J$110='weitere Besondere Leistungen'!$N$186,'weitere Besondere Leistungen'!$L$186,0)</f>
        <v>0</v>
      </c>
      <c r="K166" s="232">
        <f>IF(K$110='weitere Besondere Leistungen'!$N$186,'weitere Besondere Leistungen'!$L$186,0)</f>
        <v>0</v>
      </c>
      <c r="X166" s="14"/>
      <c r="Y166" s="13"/>
      <c r="Z166" s="15"/>
    </row>
    <row r="167" spans="1:26" ht="14.55" x14ac:dyDescent="0.3">
      <c r="A167" s="400"/>
      <c r="B167" s="400"/>
      <c r="C167" s="233">
        <f>IF(C$110='weitere Besondere Leistungen'!$N$189,'weitere Besondere Leistungen'!$L$189,0)</f>
        <v>0</v>
      </c>
      <c r="D167" s="234">
        <f>IF(D$110='weitere Besondere Leistungen'!$N$189,'weitere Besondere Leistungen'!$L$189,0)</f>
        <v>0</v>
      </c>
      <c r="E167" s="234">
        <f>IF(E$110='weitere Besondere Leistungen'!$N$189,'weitere Besondere Leistungen'!$L$189,0)</f>
        <v>0</v>
      </c>
      <c r="F167" s="234">
        <f>IF(F$110='weitere Besondere Leistungen'!$N$189,'weitere Besondere Leistungen'!$L$189,0)</f>
        <v>0</v>
      </c>
      <c r="G167" s="234">
        <f>IF(G$110='weitere Besondere Leistungen'!$N$189,'weitere Besondere Leistungen'!$L$189,0)</f>
        <v>0</v>
      </c>
      <c r="H167" s="234">
        <f>IF(H$110='weitere Besondere Leistungen'!$N$189,'weitere Besondere Leistungen'!$L$189,0)</f>
        <v>0</v>
      </c>
      <c r="I167" s="234">
        <f>IF(I$110='weitere Besondere Leistungen'!$N$189,'weitere Besondere Leistungen'!$L$189,0)</f>
        <v>0</v>
      </c>
      <c r="J167" s="234">
        <f>IF(J$110='weitere Besondere Leistungen'!$N$189,'weitere Besondere Leistungen'!$L$189,0)</f>
        <v>0</v>
      </c>
      <c r="K167" s="235">
        <f>IF(K$110='weitere Besondere Leistungen'!$N$189,'weitere Besondere Leistungen'!$L$189,0)</f>
        <v>0</v>
      </c>
      <c r="X167" s="14"/>
      <c r="Y167" s="13"/>
      <c r="Z167" s="15"/>
    </row>
    <row r="168" spans="1:26" ht="14.55" x14ac:dyDescent="0.3">
      <c r="A168" s="400"/>
      <c r="B168" s="400"/>
      <c r="C168" s="233">
        <f>IF(C$110='weitere Besondere Leistungen'!$N$191,'weitere Besondere Leistungen'!$L$191,0)</f>
        <v>0</v>
      </c>
      <c r="D168" s="234">
        <f>IF(D$110='weitere Besondere Leistungen'!$N$191,'weitere Besondere Leistungen'!$L$191,0)</f>
        <v>0</v>
      </c>
      <c r="E168" s="234">
        <f>IF(E$110='weitere Besondere Leistungen'!$N$191,'weitere Besondere Leistungen'!$L$191,0)</f>
        <v>0</v>
      </c>
      <c r="F168" s="234">
        <f>IF(F$110='weitere Besondere Leistungen'!$N$191,'weitere Besondere Leistungen'!$L$191,0)</f>
        <v>0</v>
      </c>
      <c r="G168" s="234">
        <f>IF(G$110='weitere Besondere Leistungen'!$N$191,'weitere Besondere Leistungen'!$L$191,0)</f>
        <v>0</v>
      </c>
      <c r="H168" s="234">
        <f>IF(H$110='weitere Besondere Leistungen'!$N$191,'weitere Besondere Leistungen'!$L$191,0)</f>
        <v>0</v>
      </c>
      <c r="I168" s="234">
        <f>IF(I$110='weitere Besondere Leistungen'!$N$191,'weitere Besondere Leistungen'!$L$191,0)</f>
        <v>0</v>
      </c>
      <c r="J168" s="234">
        <f>IF(J$110='weitere Besondere Leistungen'!$N$191,'weitere Besondere Leistungen'!$L$191,0)</f>
        <v>0</v>
      </c>
      <c r="K168" s="235">
        <f>IF(K$110='weitere Besondere Leistungen'!$N$191,'weitere Besondere Leistungen'!$L$191,0)</f>
        <v>0</v>
      </c>
      <c r="X168" s="14"/>
      <c r="Y168" s="13"/>
      <c r="Z168" s="15"/>
    </row>
    <row r="169" spans="1:26" ht="14.55" x14ac:dyDescent="0.3">
      <c r="A169" s="400"/>
      <c r="B169" s="400"/>
      <c r="C169" s="233">
        <f>IF(C$110='weitere Besondere Leistungen'!$N$193,'weitere Besondere Leistungen'!$L$193,0)</f>
        <v>0</v>
      </c>
      <c r="D169" s="234">
        <f>IF(D$110='weitere Besondere Leistungen'!$N$193,'weitere Besondere Leistungen'!$L$193,0)</f>
        <v>0</v>
      </c>
      <c r="E169" s="234">
        <f>IF(E$110='weitere Besondere Leistungen'!$N$193,'weitere Besondere Leistungen'!$L$193,0)</f>
        <v>0</v>
      </c>
      <c r="F169" s="234">
        <f>IF(F$110='weitere Besondere Leistungen'!$N$193,'weitere Besondere Leistungen'!$L$193,0)</f>
        <v>0</v>
      </c>
      <c r="G169" s="234">
        <f>IF(G$110='weitere Besondere Leistungen'!$N$193,'weitere Besondere Leistungen'!$L$193,0)</f>
        <v>0</v>
      </c>
      <c r="H169" s="234">
        <f>IF(H$110='weitere Besondere Leistungen'!$N$193,'weitere Besondere Leistungen'!$L$193,0)</f>
        <v>0</v>
      </c>
      <c r="I169" s="234">
        <f>IF(I$110='weitere Besondere Leistungen'!$N$193,'weitere Besondere Leistungen'!$L$193,0)</f>
        <v>0</v>
      </c>
      <c r="J169" s="234">
        <f>IF(J$110='weitere Besondere Leistungen'!$N$193,'weitere Besondere Leistungen'!$L$193,0)</f>
        <v>0</v>
      </c>
      <c r="K169" s="235">
        <f>IF(K$110='weitere Besondere Leistungen'!$N$193,'weitere Besondere Leistungen'!$L$193,0)</f>
        <v>0</v>
      </c>
      <c r="X169" s="14"/>
      <c r="Y169" s="13"/>
      <c r="Z169" s="15"/>
    </row>
    <row r="170" spans="1:26" ht="14.55" x14ac:dyDescent="0.3">
      <c r="A170" s="400"/>
      <c r="B170" s="400"/>
      <c r="C170" s="233">
        <f>IF(C$110='weitere Besondere Leistungen'!$N$195,'weitere Besondere Leistungen'!$L$195,0)</f>
        <v>0</v>
      </c>
      <c r="D170" s="234">
        <f>IF(D$110='weitere Besondere Leistungen'!$N$195,'weitere Besondere Leistungen'!$L$195,0)</f>
        <v>0</v>
      </c>
      <c r="E170" s="234">
        <f>IF(E$110='weitere Besondere Leistungen'!$N$195,'weitere Besondere Leistungen'!$L$195,0)</f>
        <v>0</v>
      </c>
      <c r="F170" s="234">
        <f>IF(F$110='weitere Besondere Leistungen'!$N$195,'weitere Besondere Leistungen'!$L$195,0)</f>
        <v>0</v>
      </c>
      <c r="G170" s="234">
        <f>IF(G$110='weitere Besondere Leistungen'!$N$195,'weitere Besondere Leistungen'!$L$195,0)</f>
        <v>0</v>
      </c>
      <c r="H170" s="234">
        <f>IF(H$110='weitere Besondere Leistungen'!$N$195,'weitere Besondere Leistungen'!$L$195,0)</f>
        <v>0</v>
      </c>
      <c r="I170" s="234">
        <f>IF(I$110='weitere Besondere Leistungen'!$N$195,'weitere Besondere Leistungen'!$L$195,0)</f>
        <v>0</v>
      </c>
      <c r="J170" s="234">
        <f>IF(J$110='weitere Besondere Leistungen'!$N$195,'weitere Besondere Leistungen'!$L$195,0)</f>
        <v>0</v>
      </c>
      <c r="K170" s="235">
        <f>IF(K$110='weitere Besondere Leistungen'!$N$195,'weitere Besondere Leistungen'!$L$195,0)</f>
        <v>0</v>
      </c>
      <c r="X170" s="14"/>
      <c r="Y170" s="13"/>
      <c r="Z170" s="15"/>
    </row>
    <row r="171" spans="1:26" ht="14.55" x14ac:dyDescent="0.3">
      <c r="A171" s="400"/>
      <c r="B171" s="400"/>
      <c r="C171" s="233">
        <f>IF(C$110='weitere Besondere Leistungen'!$N$200,'weitere Besondere Leistungen'!$L$200,0)</f>
        <v>0</v>
      </c>
      <c r="D171" s="234">
        <f>IF(D$110='weitere Besondere Leistungen'!$N$200,'weitere Besondere Leistungen'!$L$200,0)</f>
        <v>0</v>
      </c>
      <c r="E171" s="234">
        <f>IF(E$110='weitere Besondere Leistungen'!$N$200,'weitere Besondere Leistungen'!$L$200,0)</f>
        <v>0</v>
      </c>
      <c r="F171" s="234">
        <f>IF(F$110='weitere Besondere Leistungen'!$N$200,'weitere Besondere Leistungen'!$L$200,0)</f>
        <v>0</v>
      </c>
      <c r="G171" s="234">
        <f>IF(G$110='weitere Besondere Leistungen'!$N$200,'weitere Besondere Leistungen'!$L$200,0)</f>
        <v>0</v>
      </c>
      <c r="H171" s="234">
        <f>IF(H$110='weitere Besondere Leistungen'!$N$200,'weitere Besondere Leistungen'!$L$200,0)</f>
        <v>0</v>
      </c>
      <c r="I171" s="234">
        <f>IF(I$110='weitere Besondere Leistungen'!$N$200,'weitere Besondere Leistungen'!$L$200,0)</f>
        <v>0</v>
      </c>
      <c r="J171" s="234">
        <f>IF(J$110='weitere Besondere Leistungen'!$N$200,'weitere Besondere Leistungen'!$L$200,0)</f>
        <v>0</v>
      </c>
      <c r="K171" s="235">
        <f>IF(K$110='weitere Besondere Leistungen'!$N$200,'weitere Besondere Leistungen'!$L$200,0)</f>
        <v>0</v>
      </c>
      <c r="X171" s="14"/>
      <c r="Y171" s="13"/>
      <c r="Z171" s="15"/>
    </row>
    <row r="172" spans="1:26" ht="14.55" x14ac:dyDescent="0.3">
      <c r="A172" s="400"/>
      <c r="B172" s="400"/>
      <c r="C172" s="233">
        <f>IF(C$110='weitere Besondere Leistungen'!$N$203,'weitere Besondere Leistungen'!$L$203,0)</f>
        <v>0</v>
      </c>
      <c r="D172" s="234">
        <f>IF(D$110='weitere Besondere Leistungen'!$N$203,'weitere Besondere Leistungen'!$L$203,0)</f>
        <v>0</v>
      </c>
      <c r="E172" s="234">
        <f>IF(E$110='weitere Besondere Leistungen'!$N$203,'weitere Besondere Leistungen'!$L$203,0)</f>
        <v>0</v>
      </c>
      <c r="F172" s="234">
        <f>IF(F$110='weitere Besondere Leistungen'!$N$203,'weitere Besondere Leistungen'!$L$203,0)</f>
        <v>0</v>
      </c>
      <c r="G172" s="234">
        <f>IF(G$110='weitere Besondere Leistungen'!$N$203,'weitere Besondere Leistungen'!$L$203,0)</f>
        <v>0</v>
      </c>
      <c r="H172" s="234">
        <f>IF(H$110='weitere Besondere Leistungen'!$N$203,'weitere Besondere Leistungen'!$L$203,0)</f>
        <v>0</v>
      </c>
      <c r="I172" s="234">
        <f>IF(I$110='weitere Besondere Leistungen'!$N$203,'weitere Besondere Leistungen'!$L$203,0)</f>
        <v>0</v>
      </c>
      <c r="J172" s="234">
        <f>IF(J$110='weitere Besondere Leistungen'!$N$203,'weitere Besondere Leistungen'!$L$203,0)</f>
        <v>0</v>
      </c>
      <c r="K172" s="235">
        <f>IF(K$110='weitere Besondere Leistungen'!$N$203,'weitere Besondere Leistungen'!$L$203,0)</f>
        <v>0</v>
      </c>
      <c r="X172" s="14"/>
      <c r="Y172" s="13"/>
      <c r="Z172" s="15"/>
    </row>
    <row r="173" spans="1:26" ht="14.55" x14ac:dyDescent="0.3">
      <c r="A173" s="400"/>
      <c r="B173" s="400"/>
      <c r="C173" s="233">
        <f>IF(C$110='weitere Besondere Leistungen'!$N$205,'weitere Besondere Leistungen'!$L$205,0)</f>
        <v>0</v>
      </c>
      <c r="D173" s="234">
        <f>IF(D$110='weitere Besondere Leistungen'!$N$205,'weitere Besondere Leistungen'!$L$205,0)</f>
        <v>0</v>
      </c>
      <c r="E173" s="234">
        <f>IF(E$110='weitere Besondere Leistungen'!$N$205,'weitere Besondere Leistungen'!$L$205,0)</f>
        <v>0</v>
      </c>
      <c r="F173" s="234">
        <f>IF(F$110='weitere Besondere Leistungen'!$N$205,'weitere Besondere Leistungen'!$L$205,0)</f>
        <v>0</v>
      </c>
      <c r="G173" s="234">
        <f>IF(G$110='weitere Besondere Leistungen'!$N$205,'weitere Besondere Leistungen'!$L$205,0)</f>
        <v>0</v>
      </c>
      <c r="H173" s="234">
        <f>IF(H$110='weitere Besondere Leistungen'!$N$205,'weitere Besondere Leistungen'!$L$205,0)</f>
        <v>0</v>
      </c>
      <c r="I173" s="234">
        <f>IF(I$110='weitere Besondere Leistungen'!$N$205,'weitere Besondere Leistungen'!$L$205,0)</f>
        <v>0</v>
      </c>
      <c r="J173" s="234">
        <f>IF(J$110='weitere Besondere Leistungen'!$N$205,'weitere Besondere Leistungen'!$L$205,0)</f>
        <v>0</v>
      </c>
      <c r="K173" s="235">
        <f>IF(K$110='weitere Besondere Leistungen'!$N$205,'weitere Besondere Leistungen'!$L$205,0)</f>
        <v>0</v>
      </c>
      <c r="X173" s="14"/>
      <c r="Y173" s="13"/>
      <c r="Z173" s="15"/>
    </row>
    <row r="174" spans="1:26" ht="14.55" x14ac:dyDescent="0.3">
      <c r="A174" s="400"/>
      <c r="B174" s="400"/>
      <c r="C174" s="233">
        <f>IF(C$110='weitere Besondere Leistungen'!$N$207,'weitere Besondere Leistungen'!$L$207,0)</f>
        <v>0</v>
      </c>
      <c r="D174" s="234">
        <f>IF(D$110='weitere Besondere Leistungen'!$N$207,'weitere Besondere Leistungen'!$L$207,0)</f>
        <v>0</v>
      </c>
      <c r="E174" s="234">
        <f>IF(E$110='weitere Besondere Leistungen'!$N$207,'weitere Besondere Leistungen'!$L$207,0)</f>
        <v>0</v>
      </c>
      <c r="F174" s="234">
        <f>IF(F$110='weitere Besondere Leistungen'!$N$207,'weitere Besondere Leistungen'!$L$207,0)</f>
        <v>0</v>
      </c>
      <c r="G174" s="234">
        <f>IF(G$110='weitere Besondere Leistungen'!$N$207,'weitere Besondere Leistungen'!$L$207,0)</f>
        <v>0</v>
      </c>
      <c r="H174" s="234">
        <f>IF(H$110='weitere Besondere Leistungen'!$N$207,'weitere Besondere Leistungen'!$L$207,0)</f>
        <v>0</v>
      </c>
      <c r="I174" s="234">
        <f>IF(I$110='weitere Besondere Leistungen'!$N$207,'weitere Besondere Leistungen'!$L$207,0)</f>
        <v>0</v>
      </c>
      <c r="J174" s="234">
        <f>IF(J$110='weitere Besondere Leistungen'!$N$207,'weitere Besondere Leistungen'!$L$207,0)</f>
        <v>0</v>
      </c>
      <c r="K174" s="235">
        <f>IF(K$110='weitere Besondere Leistungen'!$N$207,'weitere Besondere Leistungen'!$L$207,0)</f>
        <v>0</v>
      </c>
      <c r="X174" s="14"/>
      <c r="Y174" s="13"/>
      <c r="Z174" s="15"/>
    </row>
    <row r="175" spans="1:26" ht="14.55" x14ac:dyDescent="0.3">
      <c r="A175" s="400"/>
      <c r="B175" s="400"/>
      <c r="C175" s="233">
        <f>IF(C$110='weitere Besondere Leistungen'!$N$210,'weitere Besondere Leistungen'!$L$210,0)</f>
        <v>0</v>
      </c>
      <c r="D175" s="234">
        <f>IF(D$110='weitere Besondere Leistungen'!$N$210,'weitere Besondere Leistungen'!$L$210,0)</f>
        <v>0</v>
      </c>
      <c r="E175" s="234">
        <f>IF(E$110='weitere Besondere Leistungen'!$N$210,'weitere Besondere Leistungen'!$L$210,0)</f>
        <v>0</v>
      </c>
      <c r="F175" s="234">
        <f>IF(F$110='weitere Besondere Leistungen'!$N$210,'weitere Besondere Leistungen'!$L$210,0)</f>
        <v>0</v>
      </c>
      <c r="G175" s="234">
        <f>IF(G$110='weitere Besondere Leistungen'!$N$210,'weitere Besondere Leistungen'!$L$210,0)</f>
        <v>0</v>
      </c>
      <c r="H175" s="234">
        <f>IF(H$110='weitere Besondere Leistungen'!$N$210,'weitere Besondere Leistungen'!$L$210,0)</f>
        <v>0</v>
      </c>
      <c r="I175" s="234">
        <f>IF(I$110='weitere Besondere Leistungen'!$N$210,'weitere Besondere Leistungen'!$L$210,0)</f>
        <v>0</v>
      </c>
      <c r="J175" s="234">
        <f>IF(J$110='weitere Besondere Leistungen'!$N$210,'weitere Besondere Leistungen'!$L$210,0)</f>
        <v>0</v>
      </c>
      <c r="K175" s="235">
        <f>IF(K$110='weitere Besondere Leistungen'!$N$210,'weitere Besondere Leistungen'!$L$210,0)</f>
        <v>0</v>
      </c>
      <c r="X175" s="14"/>
      <c r="Y175" s="13"/>
      <c r="Z175" s="15"/>
    </row>
    <row r="176" spans="1:26" ht="14.55" x14ac:dyDescent="0.3">
      <c r="A176" s="400"/>
      <c r="B176" s="400"/>
      <c r="C176" s="233">
        <f>IF(C$110='weitere Besondere Leistungen'!$N$212,'weitere Besondere Leistungen'!$L$212,0)</f>
        <v>0</v>
      </c>
      <c r="D176" s="234">
        <f>IF(D$110='weitere Besondere Leistungen'!$N$212,'weitere Besondere Leistungen'!$L$212,0)</f>
        <v>0</v>
      </c>
      <c r="E176" s="234">
        <f>IF(E$110='weitere Besondere Leistungen'!$N$212,'weitere Besondere Leistungen'!$L$212,0)</f>
        <v>0</v>
      </c>
      <c r="F176" s="234">
        <f>IF(F$110='weitere Besondere Leistungen'!$N$212,'weitere Besondere Leistungen'!$L$212,0)</f>
        <v>0</v>
      </c>
      <c r="G176" s="234">
        <f>IF(G$110='weitere Besondere Leistungen'!$N$212,'weitere Besondere Leistungen'!$L$212,0)</f>
        <v>0</v>
      </c>
      <c r="H176" s="234">
        <f>IF(H$110='weitere Besondere Leistungen'!$N$212,'weitere Besondere Leistungen'!$L$212,0)</f>
        <v>0</v>
      </c>
      <c r="I176" s="234">
        <f>IF(I$110='weitere Besondere Leistungen'!$N$212,'weitere Besondere Leistungen'!$L$212,0)</f>
        <v>0</v>
      </c>
      <c r="J176" s="234">
        <f>IF(J$110='weitere Besondere Leistungen'!$N$212,'weitere Besondere Leistungen'!$L$212,0)</f>
        <v>0</v>
      </c>
      <c r="K176" s="235">
        <f>IF(K$110='weitere Besondere Leistungen'!$N$212,'weitere Besondere Leistungen'!$L$212,0)</f>
        <v>0</v>
      </c>
      <c r="X176" s="14"/>
      <c r="Y176" s="13"/>
      <c r="Z176" s="15"/>
    </row>
    <row r="177" spans="1:26" ht="14.55" x14ac:dyDescent="0.3">
      <c r="A177" s="400"/>
      <c r="B177" s="400"/>
      <c r="C177" s="233">
        <f>IF(C$110='weitere Besondere Leistungen'!$N$214,'weitere Besondere Leistungen'!$L$214,0)</f>
        <v>0</v>
      </c>
      <c r="D177" s="234">
        <f>IF(D$110='weitere Besondere Leistungen'!$N$214,'weitere Besondere Leistungen'!$L$214,0)</f>
        <v>0</v>
      </c>
      <c r="E177" s="234">
        <f>IF(E$110='weitere Besondere Leistungen'!$N$214,'weitere Besondere Leistungen'!$L$214,0)</f>
        <v>0</v>
      </c>
      <c r="F177" s="234">
        <f>IF(F$110='weitere Besondere Leistungen'!$N$214,'weitere Besondere Leistungen'!$L$214,0)</f>
        <v>0</v>
      </c>
      <c r="G177" s="234">
        <f>IF(G$110='weitere Besondere Leistungen'!$N$214,'weitere Besondere Leistungen'!$L$214,0)</f>
        <v>0</v>
      </c>
      <c r="H177" s="234">
        <f>IF(H$110='weitere Besondere Leistungen'!$N$214,'weitere Besondere Leistungen'!$L$214,0)</f>
        <v>0</v>
      </c>
      <c r="I177" s="234">
        <f>IF(I$110='weitere Besondere Leistungen'!$N$214,'weitere Besondere Leistungen'!$L$214,0)</f>
        <v>0</v>
      </c>
      <c r="J177" s="234">
        <f>IF(J$110='weitere Besondere Leistungen'!$N$214,'weitere Besondere Leistungen'!$L$214,0)</f>
        <v>0</v>
      </c>
      <c r="K177" s="235">
        <f>IF(K$110='weitere Besondere Leistungen'!$N$214,'weitere Besondere Leistungen'!$L$214,0)</f>
        <v>0</v>
      </c>
      <c r="X177" s="14"/>
      <c r="Y177" s="13"/>
      <c r="Z177" s="15"/>
    </row>
    <row r="178" spans="1:26" ht="14.55" x14ac:dyDescent="0.3">
      <c r="A178" s="400"/>
      <c r="B178" s="400"/>
      <c r="C178" s="233">
        <f>IF(C$110='weitere Besondere Leistungen'!$N$216,'weitere Besondere Leistungen'!$L$216,0)</f>
        <v>0</v>
      </c>
      <c r="D178" s="234">
        <f>IF(D$110='weitere Besondere Leistungen'!$N$216,'weitere Besondere Leistungen'!$L$216,0)</f>
        <v>0</v>
      </c>
      <c r="E178" s="234">
        <f>IF(E$110='weitere Besondere Leistungen'!$N$216,'weitere Besondere Leistungen'!$L$216,0)</f>
        <v>0</v>
      </c>
      <c r="F178" s="234">
        <f>IF(F$110='weitere Besondere Leistungen'!$N$216,'weitere Besondere Leistungen'!$L$216,0)</f>
        <v>0</v>
      </c>
      <c r="G178" s="234">
        <f>IF(G$110='weitere Besondere Leistungen'!$N$216,'weitere Besondere Leistungen'!$L$216,0)</f>
        <v>0</v>
      </c>
      <c r="H178" s="234">
        <f>IF(H$110='weitere Besondere Leistungen'!$N$216,'weitere Besondere Leistungen'!$L$216,0)</f>
        <v>0</v>
      </c>
      <c r="I178" s="234">
        <f>IF(I$110='weitere Besondere Leistungen'!$N$216,'weitere Besondere Leistungen'!$L$216,0)</f>
        <v>0</v>
      </c>
      <c r="J178" s="234">
        <f>IF(J$110='weitere Besondere Leistungen'!$N$216,'weitere Besondere Leistungen'!$L$216,0)</f>
        <v>0</v>
      </c>
      <c r="K178" s="235">
        <f>IF(K$110='weitere Besondere Leistungen'!$N$216,'weitere Besondere Leistungen'!$L$216,0)</f>
        <v>0</v>
      </c>
      <c r="X178" s="14"/>
      <c r="Y178" s="13"/>
      <c r="Z178" s="15"/>
    </row>
    <row r="179" spans="1:26" ht="14.55" x14ac:dyDescent="0.3">
      <c r="A179" s="400"/>
      <c r="B179" s="400"/>
      <c r="C179" s="233">
        <f>IF(C$110='weitere Besondere Leistungen'!$N$218,'weitere Besondere Leistungen'!$L$218,0)</f>
        <v>0</v>
      </c>
      <c r="D179" s="234">
        <f>IF(D$110='weitere Besondere Leistungen'!$N$218,'weitere Besondere Leistungen'!$L$218,0)</f>
        <v>0</v>
      </c>
      <c r="E179" s="234">
        <f>IF(E$110='weitere Besondere Leistungen'!$N$218,'weitere Besondere Leistungen'!$L$218,0)</f>
        <v>0</v>
      </c>
      <c r="F179" s="234">
        <f>IF(F$110='weitere Besondere Leistungen'!$N$218,'weitere Besondere Leistungen'!$L$218,0)</f>
        <v>0</v>
      </c>
      <c r="G179" s="234">
        <f>IF(G$110='weitere Besondere Leistungen'!$N$218,'weitere Besondere Leistungen'!$L$218,0)</f>
        <v>0</v>
      </c>
      <c r="H179" s="234">
        <f>IF(H$110='weitere Besondere Leistungen'!$N$218,'weitere Besondere Leistungen'!$L$218,0)</f>
        <v>0</v>
      </c>
      <c r="I179" s="234">
        <f>IF(I$110='weitere Besondere Leistungen'!$N$218,'weitere Besondere Leistungen'!$L$218,0)</f>
        <v>0</v>
      </c>
      <c r="J179" s="234">
        <f>IF(J$110='weitere Besondere Leistungen'!$N$218,'weitere Besondere Leistungen'!$L$218,0)</f>
        <v>0</v>
      </c>
      <c r="K179" s="235">
        <f>IF(K$110='weitere Besondere Leistungen'!$N$218,'weitere Besondere Leistungen'!$L$218,0)</f>
        <v>0</v>
      </c>
      <c r="X179" s="14"/>
      <c r="Y179" s="13"/>
      <c r="Z179" s="15"/>
    </row>
    <row r="180" spans="1:26" ht="14.55" x14ac:dyDescent="0.3">
      <c r="A180" s="400"/>
      <c r="B180" s="400"/>
      <c r="C180" s="233">
        <f>IF(C$110='weitere Besondere Leistungen'!$N$220,'weitere Besondere Leistungen'!$L$220,0)</f>
        <v>0</v>
      </c>
      <c r="D180" s="234">
        <f>IF(D$110='weitere Besondere Leistungen'!$N$220,'weitere Besondere Leistungen'!$L$220,0)</f>
        <v>0</v>
      </c>
      <c r="E180" s="234">
        <f>IF(E$110='weitere Besondere Leistungen'!$N$220,'weitere Besondere Leistungen'!$L$220,0)</f>
        <v>0</v>
      </c>
      <c r="F180" s="234">
        <f>IF(F$110='weitere Besondere Leistungen'!$N$220,'weitere Besondere Leistungen'!$L$220,0)</f>
        <v>0</v>
      </c>
      <c r="G180" s="234">
        <f>IF(G$110='weitere Besondere Leistungen'!$N$220,'weitere Besondere Leistungen'!$L$220,0)</f>
        <v>0</v>
      </c>
      <c r="H180" s="234">
        <f>IF(H$110='weitere Besondere Leistungen'!$N$220,'weitere Besondere Leistungen'!$L$220,0)</f>
        <v>0</v>
      </c>
      <c r="I180" s="234">
        <f>IF(I$110='weitere Besondere Leistungen'!$N$220,'weitere Besondere Leistungen'!$L$220,0)</f>
        <v>0</v>
      </c>
      <c r="J180" s="234">
        <f>IF(J$110='weitere Besondere Leistungen'!$N$220,'weitere Besondere Leistungen'!$L$220,0)</f>
        <v>0</v>
      </c>
      <c r="K180" s="235">
        <f>IF(K$110='weitere Besondere Leistungen'!$N$220,'weitere Besondere Leistungen'!$L$220,0)</f>
        <v>0</v>
      </c>
      <c r="X180" s="14"/>
      <c r="Y180" s="13"/>
      <c r="Z180" s="15"/>
    </row>
    <row r="181" spans="1:26" ht="14.55" x14ac:dyDescent="0.3">
      <c r="A181" s="400"/>
      <c r="B181" s="400"/>
      <c r="C181" s="233">
        <f>IF(C$110='weitere Besondere Leistungen'!$N$223,'weitere Besondere Leistungen'!$L$223,0)</f>
        <v>0</v>
      </c>
      <c r="D181" s="234">
        <f>IF(D$110='weitere Besondere Leistungen'!$N$223,'weitere Besondere Leistungen'!$L$223,0)</f>
        <v>0</v>
      </c>
      <c r="E181" s="234">
        <f>IF(E$110='weitere Besondere Leistungen'!$N$223,'weitere Besondere Leistungen'!$L$223,0)</f>
        <v>0</v>
      </c>
      <c r="F181" s="234">
        <f>IF(F$110='weitere Besondere Leistungen'!$N$223,'weitere Besondere Leistungen'!$L$223,0)</f>
        <v>0</v>
      </c>
      <c r="G181" s="234">
        <f>IF(G$110='weitere Besondere Leistungen'!$N$223,'weitere Besondere Leistungen'!$L$223,0)</f>
        <v>0</v>
      </c>
      <c r="H181" s="234">
        <f>IF(H$110='weitere Besondere Leistungen'!$N$223,'weitere Besondere Leistungen'!$L$223,0)</f>
        <v>0</v>
      </c>
      <c r="I181" s="234">
        <f>IF(I$110='weitere Besondere Leistungen'!$N$223,'weitere Besondere Leistungen'!$L$223,0)</f>
        <v>0</v>
      </c>
      <c r="J181" s="234">
        <f>IF(J$110='weitere Besondere Leistungen'!$N$223,'weitere Besondere Leistungen'!$L$223,0)</f>
        <v>0</v>
      </c>
      <c r="K181" s="235">
        <f>IF(K$110='weitere Besondere Leistungen'!$N$223,'weitere Besondere Leistungen'!$L$223,0)</f>
        <v>0</v>
      </c>
      <c r="X181" s="14"/>
      <c r="Y181" s="13"/>
      <c r="Z181" s="15"/>
    </row>
    <row r="182" spans="1:26" ht="14.55" x14ac:dyDescent="0.3">
      <c r="A182" s="400"/>
      <c r="B182" s="400"/>
      <c r="C182" s="233">
        <f>IF(C$110='weitere Besondere Leistungen'!$N$225,'weitere Besondere Leistungen'!$L$225,0)</f>
        <v>0</v>
      </c>
      <c r="D182" s="234">
        <f>IF(D$110='weitere Besondere Leistungen'!$N$225,'weitere Besondere Leistungen'!$L$225,0)</f>
        <v>0</v>
      </c>
      <c r="E182" s="234">
        <f>IF(E$110='weitere Besondere Leistungen'!$N$225,'weitere Besondere Leistungen'!$L$225,0)</f>
        <v>0</v>
      </c>
      <c r="F182" s="234">
        <f>IF(F$110='weitere Besondere Leistungen'!$N$225,'weitere Besondere Leistungen'!$L$225,0)</f>
        <v>0</v>
      </c>
      <c r="G182" s="234">
        <f>IF(G$110='weitere Besondere Leistungen'!$N$225,'weitere Besondere Leistungen'!$L$225,0)</f>
        <v>0</v>
      </c>
      <c r="H182" s="234">
        <f>IF(H$110='weitere Besondere Leistungen'!$N$225,'weitere Besondere Leistungen'!$L$225,0)</f>
        <v>0</v>
      </c>
      <c r="I182" s="234">
        <f>IF(I$110='weitere Besondere Leistungen'!$N$225,'weitere Besondere Leistungen'!$L$225,0)</f>
        <v>0</v>
      </c>
      <c r="J182" s="234">
        <f>IF(J$110='weitere Besondere Leistungen'!$N$225,'weitere Besondere Leistungen'!$L$225,0)</f>
        <v>0</v>
      </c>
      <c r="K182" s="235">
        <f>IF(K$110='weitere Besondere Leistungen'!$N$225,'weitere Besondere Leistungen'!$L$225,0)</f>
        <v>0</v>
      </c>
      <c r="X182" s="14"/>
      <c r="Y182" s="13"/>
      <c r="Z182" s="15"/>
    </row>
    <row r="183" spans="1:26" ht="14.55" x14ac:dyDescent="0.3">
      <c r="A183" s="400"/>
      <c r="B183" s="400"/>
      <c r="C183" s="233">
        <f>IF(C$110='weitere Besondere Leistungen'!$N$227,'weitere Besondere Leistungen'!$L$227,0)</f>
        <v>0</v>
      </c>
      <c r="D183" s="234">
        <f>IF(D$110='weitere Besondere Leistungen'!$N$227,'weitere Besondere Leistungen'!$L$227,0)</f>
        <v>0</v>
      </c>
      <c r="E183" s="234">
        <f>IF(E$110='weitere Besondere Leistungen'!$N$227,'weitere Besondere Leistungen'!$L$227,0)</f>
        <v>0</v>
      </c>
      <c r="F183" s="234">
        <f>IF(F$110='weitere Besondere Leistungen'!$N$227,'weitere Besondere Leistungen'!$L$227,0)</f>
        <v>0</v>
      </c>
      <c r="G183" s="234">
        <f>IF(G$110='weitere Besondere Leistungen'!$N$227,'weitere Besondere Leistungen'!$L$227,0)</f>
        <v>0</v>
      </c>
      <c r="H183" s="234">
        <f>IF(H$110='weitere Besondere Leistungen'!$N$227,'weitere Besondere Leistungen'!$L$227,0)</f>
        <v>0</v>
      </c>
      <c r="I183" s="234">
        <f>IF(I$110='weitere Besondere Leistungen'!$N$227,'weitere Besondere Leistungen'!$L$227,0)</f>
        <v>0</v>
      </c>
      <c r="J183" s="234">
        <f>IF(J$110='weitere Besondere Leistungen'!$N$227,'weitere Besondere Leistungen'!$L$227,0)</f>
        <v>0</v>
      </c>
      <c r="K183" s="235">
        <f>IF(K$110='weitere Besondere Leistungen'!$N$227,'weitere Besondere Leistungen'!$L$227,0)</f>
        <v>0</v>
      </c>
      <c r="X183" s="14"/>
      <c r="Y183" s="13"/>
      <c r="Z183" s="15"/>
    </row>
    <row r="184" spans="1:26" ht="14.55" x14ac:dyDescent="0.3">
      <c r="A184" s="400"/>
      <c r="B184" s="400"/>
      <c r="C184" s="233">
        <f>IF(C$110='weitere Besondere Leistungen'!$N$229,'weitere Besondere Leistungen'!$L$229,0)</f>
        <v>0</v>
      </c>
      <c r="D184" s="234">
        <f>IF(D$110='weitere Besondere Leistungen'!$N$229,'weitere Besondere Leistungen'!$L$229,0)</f>
        <v>0</v>
      </c>
      <c r="E184" s="234">
        <f>IF(E$110='weitere Besondere Leistungen'!$N$229,'weitere Besondere Leistungen'!$L$229,0)</f>
        <v>0</v>
      </c>
      <c r="F184" s="234">
        <f>IF(F$110='weitere Besondere Leistungen'!$N$229,'weitere Besondere Leistungen'!$L$229,0)</f>
        <v>0</v>
      </c>
      <c r="G184" s="234">
        <f>IF(G$110='weitere Besondere Leistungen'!$N$229,'weitere Besondere Leistungen'!$L$229,0)</f>
        <v>0</v>
      </c>
      <c r="H184" s="234">
        <f>IF(H$110='weitere Besondere Leistungen'!$N$229,'weitere Besondere Leistungen'!$L$229,0)</f>
        <v>0</v>
      </c>
      <c r="I184" s="234">
        <f>IF(I$110='weitere Besondere Leistungen'!$N$229,'weitere Besondere Leistungen'!$L$229,0)</f>
        <v>0</v>
      </c>
      <c r="J184" s="234">
        <f>IF(J$110='weitere Besondere Leistungen'!$N$229,'weitere Besondere Leistungen'!$L$229,0)</f>
        <v>0</v>
      </c>
      <c r="K184" s="235">
        <f>IF(K$110='weitere Besondere Leistungen'!$N$229,'weitere Besondere Leistungen'!$L$229,0)</f>
        <v>0</v>
      </c>
      <c r="X184" s="14"/>
      <c r="Y184" s="13"/>
      <c r="Z184" s="15"/>
    </row>
    <row r="185" spans="1:26" ht="14.55" x14ac:dyDescent="0.3">
      <c r="A185" s="400"/>
      <c r="B185" s="400"/>
      <c r="C185" s="233">
        <f>IF(C$110='weitere Besondere Leistungen'!$N$231,'weitere Besondere Leistungen'!$L$231,0)</f>
        <v>0</v>
      </c>
      <c r="D185" s="234">
        <f>IF(D$110='weitere Besondere Leistungen'!$N$231,'weitere Besondere Leistungen'!$L$231,0)</f>
        <v>0</v>
      </c>
      <c r="E185" s="234">
        <f>IF(E$110='weitere Besondere Leistungen'!$N$231,'weitere Besondere Leistungen'!$L$231,0)</f>
        <v>0</v>
      </c>
      <c r="F185" s="234">
        <f>IF(F$110='weitere Besondere Leistungen'!$N$231,'weitere Besondere Leistungen'!$L$231,0)</f>
        <v>0</v>
      </c>
      <c r="G185" s="234">
        <f>IF(G$110='weitere Besondere Leistungen'!$N$231,'weitere Besondere Leistungen'!$L$231,0)</f>
        <v>0</v>
      </c>
      <c r="H185" s="234">
        <f>IF(H$110='weitere Besondere Leistungen'!$N$231,'weitere Besondere Leistungen'!$L$231,0)</f>
        <v>0</v>
      </c>
      <c r="I185" s="234">
        <f>IF(I$110='weitere Besondere Leistungen'!$N$231,'weitere Besondere Leistungen'!$L$231,0)</f>
        <v>0</v>
      </c>
      <c r="J185" s="234">
        <f>IF(J$110='weitere Besondere Leistungen'!$N$231,'weitere Besondere Leistungen'!$L$231,0)</f>
        <v>0</v>
      </c>
      <c r="K185" s="235">
        <f>IF(K$110='weitere Besondere Leistungen'!$N$231,'weitere Besondere Leistungen'!$L$231,0)</f>
        <v>0</v>
      </c>
      <c r="X185" s="14"/>
      <c r="Y185" s="13"/>
      <c r="Z185" s="15"/>
    </row>
    <row r="186" spans="1:26" ht="14.55" x14ac:dyDescent="0.3">
      <c r="A186" s="400"/>
      <c r="B186" s="400"/>
      <c r="C186" s="233">
        <f>IF(C$110='weitere Besondere Leistungen'!$N$233,'weitere Besondere Leistungen'!$L$233,0)</f>
        <v>0</v>
      </c>
      <c r="D186" s="234">
        <f>IF(D$110='weitere Besondere Leistungen'!$N$233,'weitere Besondere Leistungen'!$L$233,0)</f>
        <v>0</v>
      </c>
      <c r="E186" s="234">
        <f>IF(E$110='weitere Besondere Leistungen'!$N$233,'weitere Besondere Leistungen'!$L$233,0)</f>
        <v>0</v>
      </c>
      <c r="F186" s="234">
        <f>IF(F$110='weitere Besondere Leistungen'!$N$233,'weitere Besondere Leistungen'!$L$233,0)</f>
        <v>0</v>
      </c>
      <c r="G186" s="234">
        <f>IF(G$110='weitere Besondere Leistungen'!$N$233,'weitere Besondere Leistungen'!$L$233,0)</f>
        <v>0</v>
      </c>
      <c r="H186" s="234">
        <f>IF(H$110='weitere Besondere Leistungen'!$N$233,'weitere Besondere Leistungen'!$L$233,0)</f>
        <v>0</v>
      </c>
      <c r="I186" s="234">
        <f>IF(I$110='weitere Besondere Leistungen'!$N$233,'weitere Besondere Leistungen'!$L$233,0)</f>
        <v>0</v>
      </c>
      <c r="J186" s="234">
        <f>IF(J$110='weitere Besondere Leistungen'!$N$233,'weitere Besondere Leistungen'!$L$233,0)</f>
        <v>0</v>
      </c>
      <c r="K186" s="235">
        <f>IF(K$110='weitere Besondere Leistungen'!$N$233,'weitere Besondere Leistungen'!$L$233,0)</f>
        <v>0</v>
      </c>
      <c r="X186" s="14"/>
      <c r="Y186" s="13"/>
      <c r="Z186" s="15"/>
    </row>
    <row r="187" spans="1:26" ht="14.55" x14ac:dyDescent="0.3">
      <c r="A187" s="400"/>
      <c r="B187" s="400"/>
      <c r="C187" s="233">
        <f>IF(C$110='weitere Besondere Leistungen'!$N$240,'weitere Besondere Leistungen'!$L$240,0)</f>
        <v>0</v>
      </c>
      <c r="D187" s="234">
        <f>IF(D$110='weitere Besondere Leistungen'!$N$240,'weitere Besondere Leistungen'!$L$240,0)</f>
        <v>0</v>
      </c>
      <c r="E187" s="234">
        <f>IF(E$110='weitere Besondere Leistungen'!$N$240,'weitere Besondere Leistungen'!$L$240,0)</f>
        <v>0</v>
      </c>
      <c r="F187" s="234">
        <f>IF(F$110='weitere Besondere Leistungen'!$N$240,'weitere Besondere Leistungen'!$L$240,0)</f>
        <v>0</v>
      </c>
      <c r="G187" s="234">
        <f>IF(G$110='weitere Besondere Leistungen'!$N$240,'weitere Besondere Leistungen'!$L$240,0)</f>
        <v>0</v>
      </c>
      <c r="H187" s="234">
        <f>IF(H$110='weitere Besondere Leistungen'!$N$240,'weitere Besondere Leistungen'!$L$240,0)</f>
        <v>0</v>
      </c>
      <c r="I187" s="234">
        <f>IF(I$110='weitere Besondere Leistungen'!$N$240,'weitere Besondere Leistungen'!$L$240,0)</f>
        <v>0</v>
      </c>
      <c r="J187" s="234">
        <f>IF(J$110='weitere Besondere Leistungen'!$N$240,'weitere Besondere Leistungen'!$L$240,0)</f>
        <v>0</v>
      </c>
      <c r="K187" s="235">
        <f>IF(K$110='weitere Besondere Leistungen'!$N$240,'weitere Besondere Leistungen'!$L$240,0)</f>
        <v>0</v>
      </c>
      <c r="X187" s="14"/>
      <c r="Y187" s="13"/>
      <c r="Z187" s="15"/>
    </row>
    <row r="188" spans="1:26" ht="14.55" x14ac:dyDescent="0.3">
      <c r="A188" s="400"/>
      <c r="B188" s="400"/>
      <c r="C188" s="233">
        <f>IF(C$110='weitere Besondere Leistungen'!$N$242,'weitere Besondere Leistungen'!$L$242,0)</f>
        <v>0</v>
      </c>
      <c r="D188" s="234">
        <f>IF(D$110='weitere Besondere Leistungen'!$N$242,'weitere Besondere Leistungen'!$L$242,0)</f>
        <v>0</v>
      </c>
      <c r="E188" s="234">
        <f>IF(E$110='weitere Besondere Leistungen'!$N$242,'weitere Besondere Leistungen'!$L$242,0)</f>
        <v>0</v>
      </c>
      <c r="F188" s="234">
        <f>IF(F$110='weitere Besondere Leistungen'!$N$242,'weitere Besondere Leistungen'!$L$242,0)</f>
        <v>0</v>
      </c>
      <c r="G188" s="234">
        <f>IF(G$110='weitere Besondere Leistungen'!$N$242,'weitere Besondere Leistungen'!$L$242,0)</f>
        <v>0</v>
      </c>
      <c r="H188" s="234">
        <f>IF(H$110='weitere Besondere Leistungen'!$N$242,'weitere Besondere Leistungen'!$L$242,0)</f>
        <v>0</v>
      </c>
      <c r="I188" s="234">
        <f>IF(I$110='weitere Besondere Leistungen'!$N$242,'weitere Besondere Leistungen'!$L$242,0)</f>
        <v>0</v>
      </c>
      <c r="J188" s="234">
        <f>IF(J$110='weitere Besondere Leistungen'!$N$242,'weitere Besondere Leistungen'!$L$242,0)</f>
        <v>0</v>
      </c>
      <c r="K188" s="235">
        <f>IF(K$110='weitere Besondere Leistungen'!$N$242,'weitere Besondere Leistungen'!$L$242,0)</f>
        <v>0</v>
      </c>
      <c r="X188" s="14"/>
      <c r="Y188" s="13"/>
      <c r="Z188" s="15"/>
    </row>
    <row r="189" spans="1:26" ht="14.55" x14ac:dyDescent="0.3">
      <c r="A189" s="400"/>
      <c r="B189" s="400"/>
      <c r="C189" s="233">
        <f>IF(C$110='weitere Besondere Leistungen'!$N$244,'weitere Besondere Leistungen'!$L$244,0)</f>
        <v>0</v>
      </c>
      <c r="D189" s="234">
        <f>IF(D$110='weitere Besondere Leistungen'!$N$244,'weitere Besondere Leistungen'!$L$244,0)</f>
        <v>0</v>
      </c>
      <c r="E189" s="234">
        <f>IF(E$110='weitere Besondere Leistungen'!$N$244,'weitere Besondere Leistungen'!$L$244,0)</f>
        <v>0</v>
      </c>
      <c r="F189" s="234">
        <f>IF(F$110='weitere Besondere Leistungen'!$N$244,'weitere Besondere Leistungen'!$L$244,0)</f>
        <v>0</v>
      </c>
      <c r="G189" s="234">
        <f>IF(G$110='weitere Besondere Leistungen'!$N$244,'weitere Besondere Leistungen'!$L$244,0)</f>
        <v>0</v>
      </c>
      <c r="H189" s="234">
        <f>IF(H$110='weitere Besondere Leistungen'!$N$244,'weitere Besondere Leistungen'!$L$244,0)</f>
        <v>0</v>
      </c>
      <c r="I189" s="234">
        <f>IF(I$110='weitere Besondere Leistungen'!$N$244,'weitere Besondere Leistungen'!$L$244,0)</f>
        <v>0</v>
      </c>
      <c r="J189" s="234">
        <f>IF(J$110='weitere Besondere Leistungen'!$N$244,'weitere Besondere Leistungen'!$L$244,0)</f>
        <v>0</v>
      </c>
      <c r="K189" s="235">
        <f>IF(K$110='weitere Besondere Leistungen'!$N$244,'weitere Besondere Leistungen'!$L$244,0)</f>
        <v>0</v>
      </c>
      <c r="X189" s="14"/>
      <c r="Y189" s="13"/>
      <c r="Z189" s="15"/>
    </row>
    <row r="190" spans="1:26" ht="14.55" x14ac:dyDescent="0.3">
      <c r="A190" s="400"/>
      <c r="B190" s="400"/>
      <c r="C190" s="233">
        <f>IF(C$110='weitere Besondere Leistungen'!$N$246,'weitere Besondere Leistungen'!$L$246,0)</f>
        <v>0</v>
      </c>
      <c r="D190" s="234">
        <f>IF(D$110='weitere Besondere Leistungen'!$N$246,'weitere Besondere Leistungen'!$L$246,0)</f>
        <v>0</v>
      </c>
      <c r="E190" s="234">
        <f>IF(E$110='weitere Besondere Leistungen'!$N$246,'weitere Besondere Leistungen'!$L$246,0)</f>
        <v>0</v>
      </c>
      <c r="F190" s="234">
        <f>IF(F$110='weitere Besondere Leistungen'!$N$246,'weitere Besondere Leistungen'!$L$246,0)</f>
        <v>0</v>
      </c>
      <c r="G190" s="234">
        <f>IF(G$110='weitere Besondere Leistungen'!$N$246,'weitere Besondere Leistungen'!$L$246,0)</f>
        <v>0</v>
      </c>
      <c r="H190" s="234">
        <f>IF(H$110='weitere Besondere Leistungen'!$N$246,'weitere Besondere Leistungen'!$L$246,0)</f>
        <v>0</v>
      </c>
      <c r="I190" s="234">
        <f>IF(I$110='weitere Besondere Leistungen'!$N$246,'weitere Besondere Leistungen'!$L$246,0)</f>
        <v>0</v>
      </c>
      <c r="J190" s="234">
        <f>IF(J$110='weitere Besondere Leistungen'!$N$246,'weitere Besondere Leistungen'!$L$246,0)</f>
        <v>0</v>
      </c>
      <c r="K190" s="235">
        <f>IF(K$110='weitere Besondere Leistungen'!$N$246,'weitere Besondere Leistungen'!$L$246,0)</f>
        <v>0</v>
      </c>
      <c r="X190" s="14"/>
      <c r="Y190" s="13"/>
      <c r="Z190" s="15"/>
    </row>
    <row r="191" spans="1:26" ht="14.55" x14ac:dyDescent="0.3">
      <c r="A191" s="400"/>
      <c r="B191" s="400"/>
      <c r="C191" s="233">
        <f>IF(C$110='weitere Besondere Leistungen'!$N$249,'weitere Besondere Leistungen'!$L$249,0)</f>
        <v>0</v>
      </c>
      <c r="D191" s="234">
        <f>IF(D$110='weitere Besondere Leistungen'!$N$249,'weitere Besondere Leistungen'!$L$249,0)</f>
        <v>0</v>
      </c>
      <c r="E191" s="234">
        <f>IF(E$110='weitere Besondere Leistungen'!$N$249,'weitere Besondere Leistungen'!$L$249,0)</f>
        <v>0</v>
      </c>
      <c r="F191" s="234">
        <f>IF(F$110='weitere Besondere Leistungen'!$N$249,'weitere Besondere Leistungen'!$L$249,0)</f>
        <v>0</v>
      </c>
      <c r="G191" s="234">
        <f>IF(G$110='weitere Besondere Leistungen'!$N$249,'weitere Besondere Leistungen'!$L$249,0)</f>
        <v>0</v>
      </c>
      <c r="H191" s="234">
        <f>IF(H$110='weitere Besondere Leistungen'!$N$249,'weitere Besondere Leistungen'!$L$249,0)</f>
        <v>0</v>
      </c>
      <c r="I191" s="234">
        <f>IF(I$110='weitere Besondere Leistungen'!$N$249,'weitere Besondere Leistungen'!$L$249,0)</f>
        <v>0</v>
      </c>
      <c r="J191" s="234">
        <f>IF(J$110='weitere Besondere Leistungen'!$N$249,'weitere Besondere Leistungen'!$L$249,0)</f>
        <v>0</v>
      </c>
      <c r="K191" s="235">
        <f>IF(K$110='weitere Besondere Leistungen'!$N$249,'weitere Besondere Leistungen'!$L$249,0)</f>
        <v>0</v>
      </c>
      <c r="X191" s="14"/>
      <c r="Y191" s="13"/>
      <c r="Z191" s="15"/>
    </row>
    <row r="192" spans="1:26" ht="14.55" x14ac:dyDescent="0.3">
      <c r="A192" s="400"/>
      <c r="B192" s="400"/>
      <c r="C192" s="233">
        <f>IF(C$110='weitere Besondere Leistungen'!$N$253,'weitere Besondere Leistungen'!$L$253,0)</f>
        <v>0</v>
      </c>
      <c r="D192" s="234">
        <f>IF(D$110='weitere Besondere Leistungen'!$N$253,'weitere Besondere Leistungen'!$L$253,0)</f>
        <v>0</v>
      </c>
      <c r="E192" s="234">
        <f>IF(E$110='weitere Besondere Leistungen'!$N$253,'weitere Besondere Leistungen'!$L$253,0)</f>
        <v>0</v>
      </c>
      <c r="F192" s="234">
        <f>IF(F$110='weitere Besondere Leistungen'!$N$253,'weitere Besondere Leistungen'!$L$253,0)</f>
        <v>0</v>
      </c>
      <c r="G192" s="234">
        <f>IF(G$110='weitere Besondere Leistungen'!$N$253,'weitere Besondere Leistungen'!$L$253,0)</f>
        <v>0</v>
      </c>
      <c r="H192" s="234">
        <f>IF(H$110='weitere Besondere Leistungen'!$N$253,'weitere Besondere Leistungen'!$L$253,0)</f>
        <v>0</v>
      </c>
      <c r="I192" s="234">
        <f>IF(I$110='weitere Besondere Leistungen'!$N$253,'weitere Besondere Leistungen'!$L$253,0)</f>
        <v>0</v>
      </c>
      <c r="J192" s="234">
        <f>IF(J$110='weitere Besondere Leistungen'!$N$253,'weitere Besondere Leistungen'!$L$253,0)</f>
        <v>0</v>
      </c>
      <c r="K192" s="235">
        <f>IF(K$110='weitere Besondere Leistungen'!$N$253,'weitere Besondere Leistungen'!$L$253,0)</f>
        <v>0</v>
      </c>
      <c r="X192" s="14"/>
      <c r="Y192" s="13"/>
      <c r="Z192" s="15"/>
    </row>
    <row r="193" spans="1:26" ht="14.55" x14ac:dyDescent="0.3">
      <c r="A193" s="400"/>
      <c r="B193" s="400"/>
      <c r="C193" s="233">
        <f>IF(C$110='weitere Besondere Leistungen'!$N$255,'weitere Besondere Leistungen'!$L$255,0)</f>
        <v>0</v>
      </c>
      <c r="D193" s="234">
        <f>IF(D$110='weitere Besondere Leistungen'!$N$255,'weitere Besondere Leistungen'!$L$255,0)</f>
        <v>0</v>
      </c>
      <c r="E193" s="234">
        <f>IF(E$110='weitere Besondere Leistungen'!$N$255,'weitere Besondere Leistungen'!$L$255,0)</f>
        <v>0</v>
      </c>
      <c r="F193" s="234">
        <f>IF(F$110='weitere Besondere Leistungen'!$N$255,'weitere Besondere Leistungen'!$L$255,0)</f>
        <v>0</v>
      </c>
      <c r="G193" s="234">
        <f>IF(G$110='weitere Besondere Leistungen'!$N$255,'weitere Besondere Leistungen'!$L$255,0)</f>
        <v>0</v>
      </c>
      <c r="H193" s="234">
        <f>IF(H$110='weitere Besondere Leistungen'!$N$255,'weitere Besondere Leistungen'!$L$255,0)</f>
        <v>0</v>
      </c>
      <c r="I193" s="234">
        <f>IF(I$110='weitere Besondere Leistungen'!$N$255,'weitere Besondere Leistungen'!$L$255,0)</f>
        <v>0</v>
      </c>
      <c r="J193" s="234">
        <f>IF(J$110='weitere Besondere Leistungen'!$N$255,'weitere Besondere Leistungen'!$L$255,0)</f>
        <v>0</v>
      </c>
      <c r="K193" s="235">
        <f>IF(K$110='weitere Besondere Leistungen'!$N$255,'weitere Besondere Leistungen'!$L$255,0)</f>
        <v>0</v>
      </c>
      <c r="X193" s="14"/>
      <c r="Y193" s="13"/>
      <c r="Z193" s="15"/>
    </row>
    <row r="194" spans="1:26" ht="14.55" x14ac:dyDescent="0.3">
      <c r="A194" s="400"/>
      <c r="B194" s="400"/>
      <c r="C194" s="233">
        <f>IF(C$110='weitere Besondere Leistungen'!$N$257,'weitere Besondere Leistungen'!$L$257,0)</f>
        <v>0</v>
      </c>
      <c r="D194" s="234">
        <f>IF(D$110='weitere Besondere Leistungen'!$N$257,'weitere Besondere Leistungen'!$L$257,0)</f>
        <v>0</v>
      </c>
      <c r="E194" s="234">
        <f>IF(E$110='weitere Besondere Leistungen'!$N$257,'weitere Besondere Leistungen'!$L$257,0)</f>
        <v>0</v>
      </c>
      <c r="F194" s="234">
        <f>IF(F$110='weitere Besondere Leistungen'!$N$257,'weitere Besondere Leistungen'!$L$257,0)</f>
        <v>0</v>
      </c>
      <c r="G194" s="234">
        <f>IF(G$110='weitere Besondere Leistungen'!$N$257,'weitere Besondere Leistungen'!$L$257,0)</f>
        <v>0</v>
      </c>
      <c r="H194" s="234">
        <f>IF(H$110='weitere Besondere Leistungen'!$N$257,'weitere Besondere Leistungen'!$L$257,0)</f>
        <v>0</v>
      </c>
      <c r="I194" s="234">
        <f>IF(I$110='weitere Besondere Leistungen'!$N$257,'weitere Besondere Leistungen'!$L$257,0)</f>
        <v>0</v>
      </c>
      <c r="J194" s="234">
        <f>IF(J$110='weitere Besondere Leistungen'!$N$257,'weitere Besondere Leistungen'!$L$257,0)</f>
        <v>0</v>
      </c>
      <c r="K194" s="235">
        <f>IF(K$110='weitere Besondere Leistungen'!$N$257,'weitere Besondere Leistungen'!$L$257,0)</f>
        <v>0</v>
      </c>
      <c r="X194" s="14"/>
      <c r="Y194" s="13"/>
      <c r="Z194" s="15"/>
    </row>
    <row r="195" spans="1:26" ht="14.55" x14ac:dyDescent="0.3">
      <c r="A195" s="400"/>
      <c r="B195" s="400"/>
      <c r="C195" s="233">
        <f>IF(C$110='weitere Besondere Leistungen'!$N$262,'weitere Besondere Leistungen'!$L$262,0)</f>
        <v>0</v>
      </c>
      <c r="D195" s="234">
        <f>IF(D$110='weitere Besondere Leistungen'!$N$262,'weitere Besondere Leistungen'!$L$262,0)</f>
        <v>0</v>
      </c>
      <c r="E195" s="234">
        <f>IF(E$110='weitere Besondere Leistungen'!$N$262,'weitere Besondere Leistungen'!$L$262,0)</f>
        <v>0</v>
      </c>
      <c r="F195" s="234">
        <f>IF(F$110='weitere Besondere Leistungen'!$N$262,'weitere Besondere Leistungen'!$L$262,0)</f>
        <v>0</v>
      </c>
      <c r="G195" s="234">
        <f>IF(G$110='weitere Besondere Leistungen'!$N$262,'weitere Besondere Leistungen'!$L$262,0)</f>
        <v>0</v>
      </c>
      <c r="H195" s="234">
        <f>IF(H$110='weitere Besondere Leistungen'!$N$262,'weitere Besondere Leistungen'!$L$262,0)</f>
        <v>0</v>
      </c>
      <c r="I195" s="234">
        <f>IF(I$110='weitere Besondere Leistungen'!$N$262,'weitere Besondere Leistungen'!$L$262,0)</f>
        <v>0</v>
      </c>
      <c r="J195" s="234">
        <f>IF(J$110='weitere Besondere Leistungen'!$N$262,'weitere Besondere Leistungen'!$L$262,0)</f>
        <v>0</v>
      </c>
      <c r="K195" s="235">
        <f>IF(K$110='weitere Besondere Leistungen'!$N$262,'weitere Besondere Leistungen'!$L$262,0)</f>
        <v>0</v>
      </c>
      <c r="X195" s="14"/>
      <c r="Y195" s="13"/>
      <c r="Z195" s="15"/>
    </row>
    <row r="196" spans="1:26" ht="14.55" x14ac:dyDescent="0.3">
      <c r="A196" s="400"/>
      <c r="B196" s="400"/>
      <c r="C196" s="233">
        <f>IF(C$110='weitere Besondere Leistungen'!$N$264,'weitere Besondere Leistungen'!$L$264,0)</f>
        <v>0</v>
      </c>
      <c r="D196" s="234">
        <f>IF(D$110='weitere Besondere Leistungen'!$N$264,'weitere Besondere Leistungen'!$L$264,0)</f>
        <v>0</v>
      </c>
      <c r="E196" s="234">
        <f>IF(E$110='weitere Besondere Leistungen'!$N$264,'weitere Besondere Leistungen'!$L$264,0)</f>
        <v>0</v>
      </c>
      <c r="F196" s="234">
        <f>IF(F$110='weitere Besondere Leistungen'!$N$264,'weitere Besondere Leistungen'!$L$264,0)</f>
        <v>0</v>
      </c>
      <c r="G196" s="234">
        <f>IF(G$110='weitere Besondere Leistungen'!$N$264,'weitere Besondere Leistungen'!$L$264,0)</f>
        <v>0</v>
      </c>
      <c r="H196" s="234">
        <f>IF(H$110='weitere Besondere Leistungen'!$N$264,'weitere Besondere Leistungen'!$L$264,0)</f>
        <v>0</v>
      </c>
      <c r="I196" s="234">
        <f>IF(I$110='weitere Besondere Leistungen'!$N$264,'weitere Besondere Leistungen'!$L$264,0)</f>
        <v>0</v>
      </c>
      <c r="J196" s="234">
        <f>IF(J$110='weitere Besondere Leistungen'!$N$264,'weitere Besondere Leistungen'!$L$264,0)</f>
        <v>0</v>
      </c>
      <c r="K196" s="235">
        <f>IF(K$110='weitere Besondere Leistungen'!$N$264,'weitere Besondere Leistungen'!$L$264,0)</f>
        <v>0</v>
      </c>
      <c r="X196" s="14"/>
      <c r="Y196" s="13"/>
      <c r="Z196" s="15"/>
    </row>
    <row r="197" spans="1:26" ht="14.55" x14ac:dyDescent="0.3">
      <c r="A197" s="400"/>
      <c r="B197" s="400"/>
      <c r="C197" s="233">
        <f>IF(C$110='weitere Besondere Leistungen'!$N$266,'weitere Besondere Leistungen'!$L$266,0)</f>
        <v>0</v>
      </c>
      <c r="D197" s="234">
        <f>IF(D$110='weitere Besondere Leistungen'!$N$266,'weitere Besondere Leistungen'!$L$266,0)</f>
        <v>0</v>
      </c>
      <c r="E197" s="234">
        <f>IF(E$110='weitere Besondere Leistungen'!$N$266,'weitere Besondere Leistungen'!$L$266,0)</f>
        <v>0</v>
      </c>
      <c r="F197" s="234">
        <f>IF(F$110='weitere Besondere Leistungen'!$N$266,'weitere Besondere Leistungen'!$L$266,0)</f>
        <v>0</v>
      </c>
      <c r="G197" s="234">
        <f>IF(G$110='weitere Besondere Leistungen'!$N$266,'weitere Besondere Leistungen'!$L$266,0)</f>
        <v>0</v>
      </c>
      <c r="H197" s="234">
        <f>IF(H$110='weitere Besondere Leistungen'!$N$266,'weitere Besondere Leistungen'!$L$266,0)</f>
        <v>0</v>
      </c>
      <c r="I197" s="234">
        <f>IF(I$110='weitere Besondere Leistungen'!$N$266,'weitere Besondere Leistungen'!$L$266,0)</f>
        <v>0</v>
      </c>
      <c r="J197" s="234">
        <f>IF(J$110='weitere Besondere Leistungen'!$N$266,'weitere Besondere Leistungen'!$L$266,0)</f>
        <v>0</v>
      </c>
      <c r="K197" s="235">
        <f>IF(K$110='weitere Besondere Leistungen'!$N$266,'weitere Besondere Leistungen'!$L$266,0)</f>
        <v>0</v>
      </c>
      <c r="X197" s="14"/>
      <c r="Y197" s="13"/>
      <c r="Z197" s="15"/>
    </row>
    <row r="198" spans="1:26" ht="14.55" x14ac:dyDescent="0.3">
      <c r="A198" s="400"/>
      <c r="B198" s="400"/>
      <c r="C198" s="233">
        <f>IF(C$110='weitere Besondere Leistungen'!$N$268,'weitere Besondere Leistungen'!$L$268,0)</f>
        <v>0</v>
      </c>
      <c r="D198" s="234">
        <f>IF(D$110='weitere Besondere Leistungen'!$N$268,'weitere Besondere Leistungen'!$L$268,0)</f>
        <v>0</v>
      </c>
      <c r="E198" s="234">
        <f>IF(E$110='weitere Besondere Leistungen'!$N$268,'weitere Besondere Leistungen'!$L$268,0)</f>
        <v>0</v>
      </c>
      <c r="F198" s="234">
        <f>IF(F$110='weitere Besondere Leistungen'!$N$268,'weitere Besondere Leistungen'!$L$268,0)</f>
        <v>0</v>
      </c>
      <c r="G198" s="234">
        <f>IF(G$110='weitere Besondere Leistungen'!$N$268,'weitere Besondere Leistungen'!$L$268,0)</f>
        <v>0</v>
      </c>
      <c r="H198" s="234">
        <f>IF(H$110='weitere Besondere Leistungen'!$N$268,'weitere Besondere Leistungen'!$L$268,0)</f>
        <v>0</v>
      </c>
      <c r="I198" s="234">
        <f>IF(I$110='weitere Besondere Leistungen'!$N$268,'weitere Besondere Leistungen'!$L$268,0)</f>
        <v>0</v>
      </c>
      <c r="J198" s="234">
        <f>IF(J$110='weitere Besondere Leistungen'!$N$268,'weitere Besondere Leistungen'!$L$268,0)</f>
        <v>0</v>
      </c>
      <c r="K198" s="235">
        <f>IF(K$110='weitere Besondere Leistungen'!$N$268,'weitere Besondere Leistungen'!$L$268,0)</f>
        <v>0</v>
      </c>
      <c r="X198" s="14"/>
      <c r="Y198" s="13"/>
      <c r="Z198" s="15"/>
    </row>
    <row r="199" spans="1:26" ht="14.55" x14ac:dyDescent="0.3">
      <c r="A199" s="400"/>
      <c r="B199" s="400"/>
      <c r="C199" s="233">
        <f>IF(C$110='weitere Besondere Leistungen'!$N$270,'weitere Besondere Leistungen'!$L$270,0)</f>
        <v>0</v>
      </c>
      <c r="D199" s="234">
        <f>IF(D$110='weitere Besondere Leistungen'!$N$270,'weitere Besondere Leistungen'!$L$270,0)</f>
        <v>0</v>
      </c>
      <c r="E199" s="234">
        <f>IF(E$110='weitere Besondere Leistungen'!$N$270,'weitere Besondere Leistungen'!$L$270,0)</f>
        <v>0</v>
      </c>
      <c r="F199" s="234">
        <f>IF(F$110='weitere Besondere Leistungen'!$N$270,'weitere Besondere Leistungen'!$L$270,0)</f>
        <v>0</v>
      </c>
      <c r="G199" s="234">
        <f>IF(G$110='weitere Besondere Leistungen'!$N$270,'weitere Besondere Leistungen'!$L$270,0)</f>
        <v>0</v>
      </c>
      <c r="H199" s="234">
        <f>IF(H$110='weitere Besondere Leistungen'!$N$270,'weitere Besondere Leistungen'!$L$270,0)</f>
        <v>0</v>
      </c>
      <c r="I199" s="234">
        <f>IF(I$110='weitere Besondere Leistungen'!$N$270,'weitere Besondere Leistungen'!$L$270,0)</f>
        <v>0</v>
      </c>
      <c r="J199" s="234">
        <f>IF(J$110='weitere Besondere Leistungen'!$N$270,'weitere Besondere Leistungen'!$L$270,0)</f>
        <v>0</v>
      </c>
      <c r="K199" s="235">
        <f>IF(K$110='weitere Besondere Leistungen'!$N$270,'weitere Besondere Leistungen'!$L$270,0)</f>
        <v>0</v>
      </c>
      <c r="X199" s="14"/>
      <c r="Y199" s="13"/>
      <c r="Z199" s="15"/>
    </row>
    <row r="200" spans="1:26" ht="14.55" x14ac:dyDescent="0.3">
      <c r="A200" s="400"/>
      <c r="B200" s="400"/>
      <c r="C200" s="233">
        <f>IF(C$110='weitere Besondere Leistungen'!$N$272,'weitere Besondere Leistungen'!$L$272,0)</f>
        <v>0</v>
      </c>
      <c r="D200" s="234">
        <f>IF(D$110='weitere Besondere Leistungen'!$N$272,'weitere Besondere Leistungen'!$L$272,0)</f>
        <v>0</v>
      </c>
      <c r="E200" s="234">
        <f>IF(E$110='weitere Besondere Leistungen'!$N$272,'weitere Besondere Leistungen'!$L$272,0)</f>
        <v>0</v>
      </c>
      <c r="F200" s="234">
        <f>IF(F$110='weitere Besondere Leistungen'!$N$272,'weitere Besondere Leistungen'!$L$272,0)</f>
        <v>0</v>
      </c>
      <c r="G200" s="234">
        <f>IF(G$110='weitere Besondere Leistungen'!$N$272,'weitere Besondere Leistungen'!$L$272,0)</f>
        <v>0</v>
      </c>
      <c r="H200" s="234">
        <f>IF(H$110='weitere Besondere Leistungen'!$N$272,'weitere Besondere Leistungen'!$L$272,0)</f>
        <v>0</v>
      </c>
      <c r="I200" s="234">
        <f>IF(I$110='weitere Besondere Leistungen'!$N$272,'weitere Besondere Leistungen'!$L$272,0)</f>
        <v>0</v>
      </c>
      <c r="J200" s="234">
        <f>IF(J$110='weitere Besondere Leistungen'!$N$272,'weitere Besondere Leistungen'!$L$272,0)</f>
        <v>0</v>
      </c>
      <c r="K200" s="235">
        <f>IF(K$110='weitere Besondere Leistungen'!$N$272,'weitere Besondere Leistungen'!$L$272,0)</f>
        <v>0</v>
      </c>
      <c r="X200" s="14"/>
      <c r="Y200" s="13"/>
      <c r="Z200" s="15"/>
    </row>
    <row r="201" spans="1:26" ht="14.55" x14ac:dyDescent="0.3">
      <c r="A201" s="400"/>
      <c r="B201" s="400"/>
      <c r="C201" s="233">
        <f>IF(C$110='weitere Besondere Leistungen'!$N$274,'weitere Besondere Leistungen'!$L$274,0)</f>
        <v>0</v>
      </c>
      <c r="D201" s="234">
        <f>IF(D$110='weitere Besondere Leistungen'!$N$274,'weitere Besondere Leistungen'!$L$274,0)</f>
        <v>0</v>
      </c>
      <c r="E201" s="234">
        <f>IF(E$110='weitere Besondere Leistungen'!$N$274,'weitere Besondere Leistungen'!$L$274,0)</f>
        <v>0</v>
      </c>
      <c r="F201" s="234">
        <f>IF(F$110='weitere Besondere Leistungen'!$N$274,'weitere Besondere Leistungen'!$L$274,0)</f>
        <v>0</v>
      </c>
      <c r="G201" s="234">
        <f>IF(G$110='weitere Besondere Leistungen'!$N$274,'weitere Besondere Leistungen'!$L$274,0)</f>
        <v>0</v>
      </c>
      <c r="H201" s="234">
        <f>IF(H$110='weitere Besondere Leistungen'!$N$274,'weitere Besondere Leistungen'!$L$274,0)</f>
        <v>0</v>
      </c>
      <c r="I201" s="234">
        <f>IF(I$110='weitere Besondere Leistungen'!$N$274,'weitere Besondere Leistungen'!$L$274,0)</f>
        <v>0</v>
      </c>
      <c r="J201" s="234">
        <f>IF(J$110='weitere Besondere Leistungen'!$N$274,'weitere Besondere Leistungen'!$L$274,0)</f>
        <v>0</v>
      </c>
      <c r="K201" s="235">
        <f>IF(K$110='weitere Besondere Leistungen'!$N$274,'weitere Besondere Leistungen'!$L$274,0)</f>
        <v>0</v>
      </c>
      <c r="X201" s="14"/>
      <c r="Y201" s="13"/>
      <c r="Z201" s="15"/>
    </row>
    <row r="202" spans="1:26" ht="14.55" x14ac:dyDescent="0.3">
      <c r="A202" s="400"/>
      <c r="B202" s="400"/>
      <c r="C202" s="233">
        <f>IF(C$110='weitere Besondere Leistungen'!$N$276,'weitere Besondere Leistungen'!$L$276,0)</f>
        <v>0</v>
      </c>
      <c r="D202" s="234">
        <f>IF(D$110='weitere Besondere Leistungen'!$N$276,'weitere Besondere Leistungen'!$L$276,0)</f>
        <v>0</v>
      </c>
      <c r="E202" s="234">
        <f>IF(E$110='weitere Besondere Leistungen'!$N$276,'weitere Besondere Leistungen'!$L$276,0)</f>
        <v>0</v>
      </c>
      <c r="F202" s="234">
        <f>IF(F$110='weitere Besondere Leistungen'!$N$276,'weitere Besondere Leistungen'!$L$276,0)</f>
        <v>0</v>
      </c>
      <c r="G202" s="234">
        <f>IF(G$110='weitere Besondere Leistungen'!$N$276,'weitere Besondere Leistungen'!$L$276,0)</f>
        <v>0</v>
      </c>
      <c r="H202" s="234">
        <f>IF(H$110='weitere Besondere Leistungen'!$N$276,'weitere Besondere Leistungen'!$L$276,0)</f>
        <v>0</v>
      </c>
      <c r="I202" s="234">
        <f>IF(I$110='weitere Besondere Leistungen'!$N$276,'weitere Besondere Leistungen'!$L$276,0)</f>
        <v>0</v>
      </c>
      <c r="J202" s="234">
        <f>IF(J$110='weitere Besondere Leistungen'!$N$276,'weitere Besondere Leistungen'!$L$276,0)</f>
        <v>0</v>
      </c>
      <c r="K202" s="235">
        <f>IF(K$110='weitere Besondere Leistungen'!$N$276,'weitere Besondere Leistungen'!$L$276,0)</f>
        <v>0</v>
      </c>
      <c r="X202" s="14"/>
      <c r="Y202" s="13"/>
      <c r="Z202" s="15"/>
    </row>
    <row r="203" spans="1:26" ht="14.55" x14ac:dyDescent="0.3">
      <c r="A203" s="400"/>
      <c r="B203" s="400"/>
      <c r="C203" s="233">
        <f>IF(C$110='weitere Besondere Leistungen'!$N$278,'weitere Besondere Leistungen'!$L$278,0)</f>
        <v>0</v>
      </c>
      <c r="D203" s="234">
        <f>IF(D$110='weitere Besondere Leistungen'!$N$278,'weitere Besondere Leistungen'!$L$278,0)</f>
        <v>0</v>
      </c>
      <c r="E203" s="234">
        <f>IF(E$110='weitere Besondere Leistungen'!$N$278,'weitere Besondere Leistungen'!$L$278,0)</f>
        <v>0</v>
      </c>
      <c r="F203" s="234">
        <f>IF(F$110='weitere Besondere Leistungen'!$N$278,'weitere Besondere Leistungen'!$L$278,0)</f>
        <v>0</v>
      </c>
      <c r="G203" s="234">
        <f>IF(G$110='weitere Besondere Leistungen'!$N$278,'weitere Besondere Leistungen'!$L$278,0)</f>
        <v>0</v>
      </c>
      <c r="H203" s="234">
        <f>IF(H$110='weitere Besondere Leistungen'!$N$278,'weitere Besondere Leistungen'!$L$278,0)</f>
        <v>0</v>
      </c>
      <c r="I203" s="234">
        <f>IF(I$110='weitere Besondere Leistungen'!$N$278,'weitere Besondere Leistungen'!$L$278,0)</f>
        <v>0</v>
      </c>
      <c r="J203" s="234">
        <f>IF(J$110='weitere Besondere Leistungen'!$N$278,'weitere Besondere Leistungen'!$L$278,0)</f>
        <v>0</v>
      </c>
      <c r="K203" s="235">
        <f>IF(K$110='weitere Besondere Leistungen'!$N$278,'weitere Besondere Leistungen'!$L$278,0)</f>
        <v>0</v>
      </c>
      <c r="X203" s="14"/>
      <c r="Y203" s="13"/>
      <c r="Z203" s="15"/>
    </row>
    <row r="204" spans="1:26" ht="14.55" x14ac:dyDescent="0.3">
      <c r="A204" s="400"/>
      <c r="B204" s="400"/>
      <c r="C204" s="233">
        <f>IF(C$110='weitere Besondere Leistungen'!$N$280,'weitere Besondere Leistungen'!$L$280,0)</f>
        <v>0</v>
      </c>
      <c r="D204" s="234">
        <f>IF(D$110='weitere Besondere Leistungen'!$N$280,'weitere Besondere Leistungen'!$L$280,0)</f>
        <v>0</v>
      </c>
      <c r="E204" s="234">
        <f>IF(E$110='weitere Besondere Leistungen'!$N$280,'weitere Besondere Leistungen'!$L$280,0)</f>
        <v>0</v>
      </c>
      <c r="F204" s="234">
        <f>IF(F$110='weitere Besondere Leistungen'!$N$280,'weitere Besondere Leistungen'!$L$280,0)</f>
        <v>0</v>
      </c>
      <c r="G204" s="234">
        <f>IF(G$110='weitere Besondere Leistungen'!$N$280,'weitere Besondere Leistungen'!$L$280,0)</f>
        <v>0</v>
      </c>
      <c r="H204" s="234">
        <f>IF(H$110='weitere Besondere Leistungen'!$N$280,'weitere Besondere Leistungen'!$L$280,0)</f>
        <v>0</v>
      </c>
      <c r="I204" s="234">
        <f>IF(I$110='weitere Besondere Leistungen'!$N$280,'weitere Besondere Leistungen'!$L$280,0)</f>
        <v>0</v>
      </c>
      <c r="J204" s="234">
        <f>IF(J$110='weitere Besondere Leistungen'!$N$280,'weitere Besondere Leistungen'!$L$280,0)</f>
        <v>0</v>
      </c>
      <c r="K204" s="235">
        <f>IF(K$110='weitere Besondere Leistungen'!$N$280,'weitere Besondere Leistungen'!$L$280,0)</f>
        <v>0</v>
      </c>
      <c r="X204" s="14"/>
      <c r="Y204" s="13"/>
      <c r="Z204" s="15"/>
    </row>
    <row r="205" spans="1:26" ht="14.55" x14ac:dyDescent="0.3">
      <c r="A205" s="400"/>
      <c r="B205" s="400"/>
      <c r="C205" s="233">
        <f>IF(C$110='weitere Besondere Leistungen'!$N$282,'weitere Besondere Leistungen'!$L$282,0)</f>
        <v>0</v>
      </c>
      <c r="D205" s="234">
        <f>IF(D$110='weitere Besondere Leistungen'!$N$282,'weitere Besondere Leistungen'!$L$282,0)</f>
        <v>0</v>
      </c>
      <c r="E205" s="234">
        <f>IF(E$110='weitere Besondere Leistungen'!$N$282,'weitere Besondere Leistungen'!$L$282,0)</f>
        <v>0</v>
      </c>
      <c r="F205" s="234">
        <f>IF(F$110='weitere Besondere Leistungen'!$N$282,'weitere Besondere Leistungen'!$L$282,0)</f>
        <v>0</v>
      </c>
      <c r="G205" s="234">
        <f>IF(G$110='weitere Besondere Leistungen'!$N$282,'weitere Besondere Leistungen'!$L$282,0)</f>
        <v>0</v>
      </c>
      <c r="H205" s="234">
        <f>IF(H$110='weitere Besondere Leistungen'!$N$282,'weitere Besondere Leistungen'!$L$282,0)</f>
        <v>0</v>
      </c>
      <c r="I205" s="234">
        <f>IF(I$110='weitere Besondere Leistungen'!$N$282,'weitere Besondere Leistungen'!$L$282,0)</f>
        <v>0</v>
      </c>
      <c r="J205" s="234">
        <f>IF(J$110='weitere Besondere Leistungen'!$N$282,'weitere Besondere Leistungen'!$L$282,0)</f>
        <v>0</v>
      </c>
      <c r="K205" s="235">
        <f>IF(K$110='weitere Besondere Leistungen'!$N$282,'weitere Besondere Leistungen'!$L$282,0)</f>
        <v>0</v>
      </c>
      <c r="X205" s="14"/>
      <c r="Y205" s="13"/>
      <c r="Z205" s="15"/>
    </row>
    <row r="206" spans="1:26" ht="14.55" x14ac:dyDescent="0.3">
      <c r="A206" s="400"/>
      <c r="B206" s="400"/>
      <c r="C206" s="233">
        <f>IF(C$110='weitere Besondere Leistungen'!$N$284,'weitere Besondere Leistungen'!$L$284,0)</f>
        <v>0</v>
      </c>
      <c r="D206" s="234">
        <f>IF(D$110='weitere Besondere Leistungen'!$N$284,'weitere Besondere Leistungen'!$L$284,0)</f>
        <v>0</v>
      </c>
      <c r="E206" s="234">
        <f>IF(E$110='weitere Besondere Leistungen'!$N$284,'weitere Besondere Leistungen'!$L$284,0)</f>
        <v>0</v>
      </c>
      <c r="F206" s="234">
        <f>IF(F$110='weitere Besondere Leistungen'!$N$284,'weitere Besondere Leistungen'!$L$284,0)</f>
        <v>0</v>
      </c>
      <c r="G206" s="234">
        <f>IF(G$110='weitere Besondere Leistungen'!$N$284,'weitere Besondere Leistungen'!$L$284,0)</f>
        <v>0</v>
      </c>
      <c r="H206" s="234">
        <f>IF(H$110='weitere Besondere Leistungen'!$N$284,'weitere Besondere Leistungen'!$L$284,0)</f>
        <v>0</v>
      </c>
      <c r="I206" s="234">
        <f>IF(I$110='weitere Besondere Leistungen'!$N$284,'weitere Besondere Leistungen'!$L$284,0)</f>
        <v>0</v>
      </c>
      <c r="J206" s="234">
        <f>IF(J$110='weitere Besondere Leistungen'!$N$284,'weitere Besondere Leistungen'!$L$284,0)</f>
        <v>0</v>
      </c>
      <c r="K206" s="235">
        <f>IF(K$110='weitere Besondere Leistungen'!$N$284,'weitere Besondere Leistungen'!$L$284,0)</f>
        <v>0</v>
      </c>
      <c r="X206" s="14"/>
      <c r="Y206" s="13"/>
      <c r="Z206" s="15"/>
    </row>
    <row r="207" spans="1:26" ht="14.55" x14ac:dyDescent="0.3">
      <c r="A207" s="400"/>
      <c r="B207" s="400"/>
      <c r="C207" s="233">
        <f>IF(C$110='weitere Besondere Leistungen'!$N$286,'weitere Besondere Leistungen'!$L$286,0)</f>
        <v>0</v>
      </c>
      <c r="D207" s="234">
        <f>IF(D$110='weitere Besondere Leistungen'!$N$286,'weitere Besondere Leistungen'!$L$286,0)</f>
        <v>0</v>
      </c>
      <c r="E207" s="234">
        <f>IF(E$110='weitere Besondere Leistungen'!$N$286,'weitere Besondere Leistungen'!$L$286,0)</f>
        <v>0</v>
      </c>
      <c r="F207" s="234">
        <f>IF(F$110='weitere Besondere Leistungen'!$N$286,'weitere Besondere Leistungen'!$L$286,0)</f>
        <v>0</v>
      </c>
      <c r="G207" s="234">
        <f>IF(G$110='weitere Besondere Leistungen'!$N$286,'weitere Besondere Leistungen'!$L$286,0)</f>
        <v>0</v>
      </c>
      <c r="H207" s="234">
        <f>IF(H$110='weitere Besondere Leistungen'!$N$286,'weitere Besondere Leistungen'!$L$286,0)</f>
        <v>0</v>
      </c>
      <c r="I207" s="234">
        <f>IF(I$110='weitere Besondere Leistungen'!$N$286,'weitere Besondere Leistungen'!$L$286,0)</f>
        <v>0</v>
      </c>
      <c r="J207" s="234">
        <f>IF(J$110='weitere Besondere Leistungen'!$N$286,'weitere Besondere Leistungen'!$L$286,0)</f>
        <v>0</v>
      </c>
      <c r="K207" s="235">
        <f>IF(K$110='weitere Besondere Leistungen'!$N$286,'weitere Besondere Leistungen'!$L$286,0)</f>
        <v>0</v>
      </c>
      <c r="X207" s="14"/>
      <c r="Y207" s="13"/>
      <c r="Z207" s="15"/>
    </row>
    <row r="208" spans="1:26" ht="14.55" x14ac:dyDescent="0.3">
      <c r="A208" s="400"/>
      <c r="B208" s="400"/>
      <c r="C208" s="233">
        <f>IF(C$110='weitere Besondere Leistungen'!$N$288,'weitere Besondere Leistungen'!$L$288,0)</f>
        <v>0</v>
      </c>
      <c r="D208" s="234">
        <f>IF(D$110='weitere Besondere Leistungen'!$N$288,'weitere Besondere Leistungen'!$L$288,0)</f>
        <v>0</v>
      </c>
      <c r="E208" s="234">
        <f>IF(E$110='weitere Besondere Leistungen'!$N$288,'weitere Besondere Leistungen'!$L$288,0)</f>
        <v>0</v>
      </c>
      <c r="F208" s="234">
        <f>IF(F$110='weitere Besondere Leistungen'!$N$288,'weitere Besondere Leistungen'!$L$288,0)</f>
        <v>0</v>
      </c>
      <c r="G208" s="234">
        <f>IF(G$110='weitere Besondere Leistungen'!$N$288,'weitere Besondere Leistungen'!$L$288,0)</f>
        <v>0</v>
      </c>
      <c r="H208" s="234">
        <f>IF(H$110='weitere Besondere Leistungen'!$N$288,'weitere Besondere Leistungen'!$L$288,0)</f>
        <v>0</v>
      </c>
      <c r="I208" s="234">
        <f>IF(I$110='weitere Besondere Leistungen'!$N$288,'weitere Besondere Leistungen'!$L$288,0)</f>
        <v>0</v>
      </c>
      <c r="J208" s="234">
        <f>IF(J$110='weitere Besondere Leistungen'!$N$288,'weitere Besondere Leistungen'!$L$288,0)</f>
        <v>0</v>
      </c>
      <c r="K208" s="235">
        <f>IF(K$110='weitere Besondere Leistungen'!$N$288,'weitere Besondere Leistungen'!$L$288,0)</f>
        <v>0</v>
      </c>
      <c r="X208" s="14"/>
      <c r="Y208" s="13"/>
      <c r="Z208" s="15"/>
    </row>
    <row r="209" spans="1:26" ht="14.55" x14ac:dyDescent="0.3">
      <c r="A209" s="400"/>
      <c r="B209" s="400"/>
      <c r="C209" s="233">
        <f>IF(C$110='weitere Besondere Leistungen'!$N$290,'weitere Besondere Leistungen'!$L$290,0)</f>
        <v>0</v>
      </c>
      <c r="D209" s="234">
        <f>IF(D$110='weitere Besondere Leistungen'!$N$290,'weitere Besondere Leistungen'!$L$290,0)</f>
        <v>0</v>
      </c>
      <c r="E209" s="234">
        <f>IF(E$110='weitere Besondere Leistungen'!$N$290,'weitere Besondere Leistungen'!$L$290,0)</f>
        <v>0</v>
      </c>
      <c r="F209" s="234">
        <f>IF(F$110='weitere Besondere Leistungen'!$N$290,'weitere Besondere Leistungen'!$L$290,0)</f>
        <v>0</v>
      </c>
      <c r="G209" s="234">
        <f>IF(G$110='weitere Besondere Leistungen'!$N$290,'weitere Besondere Leistungen'!$L$290,0)</f>
        <v>0</v>
      </c>
      <c r="H209" s="234">
        <f>IF(H$110='weitere Besondere Leistungen'!$N$290,'weitere Besondere Leistungen'!$L$290,0)</f>
        <v>0</v>
      </c>
      <c r="I209" s="234">
        <f>IF(I$110='weitere Besondere Leistungen'!$N$290,'weitere Besondere Leistungen'!$L$290,0)</f>
        <v>0</v>
      </c>
      <c r="J209" s="234">
        <f>IF(J$110='weitere Besondere Leistungen'!$N$290,'weitere Besondere Leistungen'!$L$290,0)</f>
        <v>0</v>
      </c>
      <c r="K209" s="235">
        <f>IF(K$110='weitere Besondere Leistungen'!$N$290,'weitere Besondere Leistungen'!$L$290,0)</f>
        <v>0</v>
      </c>
      <c r="X209" s="14"/>
      <c r="Y209" s="13"/>
      <c r="Z209" s="15"/>
    </row>
    <row r="210" spans="1:26" ht="14.55" x14ac:dyDescent="0.3">
      <c r="A210" s="400"/>
      <c r="B210" s="400"/>
      <c r="C210" s="233">
        <f>IF(C$110='weitere Besondere Leistungen'!$N$292,'weitere Besondere Leistungen'!$L$292,0)</f>
        <v>0</v>
      </c>
      <c r="D210" s="234">
        <f>IF(D$110='weitere Besondere Leistungen'!$N$292,'weitere Besondere Leistungen'!$L$292,0)</f>
        <v>0</v>
      </c>
      <c r="E210" s="234">
        <f>IF(E$110='weitere Besondere Leistungen'!$N$292,'weitere Besondere Leistungen'!$L$292,0)</f>
        <v>0</v>
      </c>
      <c r="F210" s="234">
        <f>IF(F$110='weitere Besondere Leistungen'!$N$292,'weitere Besondere Leistungen'!$L$292,0)</f>
        <v>0</v>
      </c>
      <c r="G210" s="234">
        <f>IF(G$110='weitere Besondere Leistungen'!$N$292,'weitere Besondere Leistungen'!$L$292,0)</f>
        <v>0</v>
      </c>
      <c r="H210" s="234">
        <f>IF(H$110='weitere Besondere Leistungen'!$N$292,'weitere Besondere Leistungen'!$L$292,0)</f>
        <v>0</v>
      </c>
      <c r="I210" s="234">
        <f>IF(I$110='weitere Besondere Leistungen'!$N$292,'weitere Besondere Leistungen'!$L$292,0)</f>
        <v>0</v>
      </c>
      <c r="J210" s="234">
        <f>IF(J$110='weitere Besondere Leistungen'!$N$292,'weitere Besondere Leistungen'!$L$292,0)</f>
        <v>0</v>
      </c>
      <c r="K210" s="235">
        <f>IF(K$110='weitere Besondere Leistungen'!$N$292,'weitere Besondere Leistungen'!$L$292,0)</f>
        <v>0</v>
      </c>
      <c r="X210" s="14"/>
      <c r="Y210" s="13"/>
      <c r="Z210" s="15"/>
    </row>
    <row r="211" spans="1:26" ht="14.55" x14ac:dyDescent="0.3">
      <c r="A211" s="400"/>
      <c r="B211" s="400"/>
      <c r="C211" s="233">
        <f>IF(C$110='weitere Besondere Leistungen'!$N$295,'weitere Besondere Leistungen'!$L$295,0)</f>
        <v>0</v>
      </c>
      <c r="D211" s="234">
        <f>IF(D$110='weitere Besondere Leistungen'!$N$295,'weitere Besondere Leistungen'!$L$295,0)</f>
        <v>0</v>
      </c>
      <c r="E211" s="234">
        <f>IF(E$110='weitere Besondere Leistungen'!$N$295,'weitere Besondere Leistungen'!$L$295,0)</f>
        <v>0</v>
      </c>
      <c r="F211" s="234">
        <f>IF(F$110='weitere Besondere Leistungen'!$N$295,'weitere Besondere Leistungen'!$L$295,0)</f>
        <v>0</v>
      </c>
      <c r="G211" s="234">
        <f>IF(G$110='weitere Besondere Leistungen'!$N$295,'weitere Besondere Leistungen'!$L$295,0)</f>
        <v>0</v>
      </c>
      <c r="H211" s="234">
        <f>IF(H$110='weitere Besondere Leistungen'!$N$295,'weitere Besondere Leistungen'!$L$295,0)</f>
        <v>0</v>
      </c>
      <c r="I211" s="234">
        <f>IF(I$110='weitere Besondere Leistungen'!$N$295,'weitere Besondere Leistungen'!$L$295,0)</f>
        <v>0</v>
      </c>
      <c r="J211" s="234">
        <f>IF(J$110='weitere Besondere Leistungen'!$N$295,'weitere Besondere Leistungen'!$L$295,0)</f>
        <v>0</v>
      </c>
      <c r="K211" s="235">
        <f>IF(K$110='weitere Besondere Leistungen'!$N$295,'weitere Besondere Leistungen'!$L$295,0)</f>
        <v>0</v>
      </c>
      <c r="X211" s="14"/>
      <c r="Y211" s="13"/>
      <c r="Z211" s="15"/>
    </row>
    <row r="212" spans="1:26" ht="14.55" x14ac:dyDescent="0.3">
      <c r="A212" s="400"/>
      <c r="B212" s="400"/>
      <c r="C212" s="233">
        <f>IF(C$110='weitere Besondere Leistungen'!$N$297,'weitere Besondere Leistungen'!$L$297,0)</f>
        <v>0</v>
      </c>
      <c r="D212" s="234">
        <f>IF(D$110='weitere Besondere Leistungen'!$N$297,'weitere Besondere Leistungen'!$L$297,0)</f>
        <v>0</v>
      </c>
      <c r="E212" s="234">
        <f>IF(E$110='weitere Besondere Leistungen'!$N$297,'weitere Besondere Leistungen'!$L$297,0)</f>
        <v>0</v>
      </c>
      <c r="F212" s="234">
        <f>IF(F$110='weitere Besondere Leistungen'!$N$297,'weitere Besondere Leistungen'!$L$297,0)</f>
        <v>0</v>
      </c>
      <c r="G212" s="234">
        <f>IF(G$110='weitere Besondere Leistungen'!$N$297,'weitere Besondere Leistungen'!$L$297,0)</f>
        <v>0</v>
      </c>
      <c r="H212" s="234">
        <f>IF(H$110='weitere Besondere Leistungen'!$N$297,'weitere Besondere Leistungen'!$L$297,0)</f>
        <v>0</v>
      </c>
      <c r="I212" s="234">
        <f>IF(I$110='weitere Besondere Leistungen'!$N$297,'weitere Besondere Leistungen'!$L$297,0)</f>
        <v>0</v>
      </c>
      <c r="J212" s="234">
        <f>IF(J$110='weitere Besondere Leistungen'!$N$297,'weitere Besondere Leistungen'!$L$297,0)</f>
        <v>0</v>
      </c>
      <c r="K212" s="235">
        <f>IF(K$110='weitere Besondere Leistungen'!$N$297,'weitere Besondere Leistungen'!$L$297,0)</f>
        <v>0</v>
      </c>
      <c r="X212" s="14"/>
      <c r="Y212" s="13"/>
      <c r="Z212" s="15"/>
    </row>
    <row r="213" spans="1:26" ht="14.55" x14ac:dyDescent="0.3">
      <c r="A213" s="400"/>
      <c r="B213" s="400"/>
      <c r="C213" s="233">
        <f>IF(C$110='weitere Besondere Leistungen'!$N$300,'weitere Besondere Leistungen'!$L$300,0)</f>
        <v>0</v>
      </c>
      <c r="D213" s="234">
        <f>IF(D$110='weitere Besondere Leistungen'!$N$300,'weitere Besondere Leistungen'!$L$300,0)</f>
        <v>0</v>
      </c>
      <c r="E213" s="234">
        <f>IF(E$110='weitere Besondere Leistungen'!$N$300,'weitere Besondere Leistungen'!$L$300,0)</f>
        <v>0</v>
      </c>
      <c r="F213" s="234">
        <f>IF(F$110='weitere Besondere Leistungen'!$N$300,'weitere Besondere Leistungen'!$L$300,0)</f>
        <v>0</v>
      </c>
      <c r="G213" s="234">
        <f>IF(G$110='weitere Besondere Leistungen'!$N$300,'weitere Besondere Leistungen'!$L$300,0)</f>
        <v>0</v>
      </c>
      <c r="H213" s="234">
        <f>IF(H$110='weitere Besondere Leistungen'!$N$300,'weitere Besondere Leistungen'!$L$300,0)</f>
        <v>0</v>
      </c>
      <c r="I213" s="234">
        <f>IF(I$110='weitere Besondere Leistungen'!$N$300,'weitere Besondere Leistungen'!$L$300,0)</f>
        <v>0</v>
      </c>
      <c r="J213" s="234">
        <f>IF(J$110='weitere Besondere Leistungen'!$N$300,'weitere Besondere Leistungen'!$L$300,0)</f>
        <v>0</v>
      </c>
      <c r="K213" s="235">
        <f>IF(K$110='weitere Besondere Leistungen'!$N$300,'weitere Besondere Leistungen'!$L$300,0)</f>
        <v>0</v>
      </c>
      <c r="X213" s="14"/>
      <c r="Y213" s="13"/>
      <c r="Z213" s="15"/>
    </row>
    <row r="214" spans="1:26" ht="14.55" x14ac:dyDescent="0.3">
      <c r="A214" s="400"/>
      <c r="B214" s="400"/>
      <c r="C214" s="233">
        <f>IF(C$110='weitere Besondere Leistungen'!$N$302,'weitere Besondere Leistungen'!$L$302,0)</f>
        <v>0</v>
      </c>
      <c r="D214" s="234">
        <f>IF(D$110='weitere Besondere Leistungen'!$N$302,'weitere Besondere Leistungen'!$L$302,0)</f>
        <v>0</v>
      </c>
      <c r="E214" s="234">
        <f>IF(E$110='weitere Besondere Leistungen'!$N$302,'weitere Besondere Leistungen'!$L$302,0)</f>
        <v>0</v>
      </c>
      <c r="F214" s="234">
        <f>IF(F$110='weitere Besondere Leistungen'!$N$302,'weitere Besondere Leistungen'!$L$302,0)</f>
        <v>0</v>
      </c>
      <c r="G214" s="234">
        <f>IF(G$110='weitere Besondere Leistungen'!$N$302,'weitere Besondere Leistungen'!$L$302,0)</f>
        <v>0</v>
      </c>
      <c r="H214" s="234">
        <f>IF(H$110='weitere Besondere Leistungen'!$N$302,'weitere Besondere Leistungen'!$L$302,0)</f>
        <v>0</v>
      </c>
      <c r="I214" s="234">
        <f>IF(I$110='weitere Besondere Leistungen'!$N$302,'weitere Besondere Leistungen'!$L$302,0)</f>
        <v>0</v>
      </c>
      <c r="J214" s="234">
        <f>IF(J$110='weitere Besondere Leistungen'!$N$302,'weitere Besondere Leistungen'!$L$302,0)</f>
        <v>0</v>
      </c>
      <c r="K214" s="235">
        <f>IF(K$110='weitere Besondere Leistungen'!$N$302,'weitere Besondere Leistungen'!$L$302,0)</f>
        <v>0</v>
      </c>
      <c r="X214" s="14"/>
      <c r="Y214" s="13"/>
      <c r="Z214" s="15"/>
    </row>
    <row r="215" spans="1:26" ht="14.55" x14ac:dyDescent="0.3">
      <c r="A215" s="400"/>
      <c r="B215" s="400"/>
      <c r="C215" s="233">
        <f>IF(C$110='weitere Besondere Leistungen'!$N$304,'weitere Besondere Leistungen'!$L$304,0)</f>
        <v>0</v>
      </c>
      <c r="D215" s="234">
        <f>IF(D$110='weitere Besondere Leistungen'!$N$304,'weitere Besondere Leistungen'!$L$304,0)</f>
        <v>0</v>
      </c>
      <c r="E215" s="234">
        <f>IF(E$110='weitere Besondere Leistungen'!$N$304,'weitere Besondere Leistungen'!$L$304,0)</f>
        <v>0</v>
      </c>
      <c r="F215" s="234">
        <f>IF(F$110='weitere Besondere Leistungen'!$N$304,'weitere Besondere Leistungen'!$L$304,0)</f>
        <v>0</v>
      </c>
      <c r="G215" s="234">
        <f>IF(G$110='weitere Besondere Leistungen'!$N$304,'weitere Besondere Leistungen'!$L$304,0)</f>
        <v>0</v>
      </c>
      <c r="H215" s="234">
        <f>IF(H$110='weitere Besondere Leistungen'!$N$304,'weitere Besondere Leistungen'!$L$304,0)</f>
        <v>0</v>
      </c>
      <c r="I215" s="234">
        <f>IF(I$110='weitere Besondere Leistungen'!$N$304,'weitere Besondere Leistungen'!$L$304,0)</f>
        <v>0</v>
      </c>
      <c r="J215" s="234">
        <f>IF(J$110='weitere Besondere Leistungen'!$N$304,'weitere Besondere Leistungen'!$L$304,0)</f>
        <v>0</v>
      </c>
      <c r="K215" s="235">
        <f>IF(K$110='weitere Besondere Leistungen'!$N$304,'weitere Besondere Leistungen'!$L$304,0)</f>
        <v>0</v>
      </c>
      <c r="X215" s="14"/>
      <c r="Y215" s="13"/>
      <c r="Z215" s="15"/>
    </row>
    <row r="216" spans="1:26" ht="14.55" x14ac:dyDescent="0.3">
      <c r="A216" s="400"/>
      <c r="B216" s="400"/>
      <c r="C216" s="233">
        <f>IF(C$110='weitere Besondere Leistungen'!$N$306,'weitere Besondere Leistungen'!$L$306,0)</f>
        <v>0</v>
      </c>
      <c r="D216" s="234">
        <f>IF(D$110='weitere Besondere Leistungen'!$N$306,'weitere Besondere Leistungen'!$L$306,0)</f>
        <v>0</v>
      </c>
      <c r="E216" s="234">
        <f>IF(E$110='weitere Besondere Leistungen'!$N$306,'weitere Besondere Leistungen'!$L$306,0)</f>
        <v>0</v>
      </c>
      <c r="F216" s="234">
        <f>IF(F$110='weitere Besondere Leistungen'!$N$306,'weitere Besondere Leistungen'!$L$306,0)</f>
        <v>0</v>
      </c>
      <c r="G216" s="234">
        <f>IF(G$110='weitere Besondere Leistungen'!$N$306,'weitere Besondere Leistungen'!$L$306,0)</f>
        <v>0</v>
      </c>
      <c r="H216" s="234">
        <f>IF(H$110='weitere Besondere Leistungen'!$N$306,'weitere Besondere Leistungen'!$L$306,0)</f>
        <v>0</v>
      </c>
      <c r="I216" s="234">
        <f>IF(I$110='weitere Besondere Leistungen'!$N$306,'weitere Besondere Leistungen'!$L$306,0)</f>
        <v>0</v>
      </c>
      <c r="J216" s="234">
        <f>IF(J$110='weitere Besondere Leistungen'!$N$306,'weitere Besondere Leistungen'!$L$306,0)</f>
        <v>0</v>
      </c>
      <c r="K216" s="235">
        <f>IF(K$110='weitere Besondere Leistungen'!$N$306,'weitere Besondere Leistungen'!$L$306,0)</f>
        <v>0</v>
      </c>
      <c r="X216" s="14"/>
      <c r="Y216" s="13"/>
      <c r="Z216" s="15"/>
    </row>
    <row r="217" spans="1:26" ht="14.55" x14ac:dyDescent="0.3">
      <c r="A217" s="400"/>
      <c r="B217" s="400"/>
      <c r="C217" s="233">
        <f>IF(C$110='weitere Besondere Leistungen'!$N$308,'weitere Besondere Leistungen'!$L$308,0)</f>
        <v>0</v>
      </c>
      <c r="D217" s="234">
        <f>IF(D$110='weitere Besondere Leistungen'!$N$308,'weitere Besondere Leistungen'!$L$308,0)</f>
        <v>0</v>
      </c>
      <c r="E217" s="234">
        <f>IF(E$110='weitere Besondere Leistungen'!$N$308,'weitere Besondere Leistungen'!$L$308,0)</f>
        <v>0</v>
      </c>
      <c r="F217" s="234">
        <f>IF(F$110='weitere Besondere Leistungen'!$N$308,'weitere Besondere Leistungen'!$L$308,0)</f>
        <v>0</v>
      </c>
      <c r="G217" s="234">
        <f>IF(G$110='weitere Besondere Leistungen'!$N$308,'weitere Besondere Leistungen'!$L$308,0)</f>
        <v>0</v>
      </c>
      <c r="H217" s="234">
        <f>IF(H$110='weitere Besondere Leistungen'!$N$308,'weitere Besondere Leistungen'!$L$308,0)</f>
        <v>0</v>
      </c>
      <c r="I217" s="234">
        <f>IF(I$110='weitere Besondere Leistungen'!$N$308,'weitere Besondere Leistungen'!$L$308,0)</f>
        <v>0</v>
      </c>
      <c r="J217" s="234">
        <f>IF(J$110='weitere Besondere Leistungen'!$N$308,'weitere Besondere Leistungen'!$L$308,0)</f>
        <v>0</v>
      </c>
      <c r="K217" s="235">
        <f>IF(K$110='weitere Besondere Leistungen'!$N$308,'weitere Besondere Leistungen'!$L$308,0)</f>
        <v>0</v>
      </c>
      <c r="X217" s="14"/>
      <c r="Y217" s="13"/>
      <c r="Z217" s="15"/>
    </row>
    <row r="218" spans="1:26" ht="14.55" x14ac:dyDescent="0.3">
      <c r="A218" s="400"/>
      <c r="B218" s="400"/>
      <c r="C218" s="233">
        <f>IF(C$110='weitere Besondere Leistungen'!$N$310,'weitere Besondere Leistungen'!$L$310,0)</f>
        <v>0</v>
      </c>
      <c r="D218" s="234">
        <f>IF(D$110='weitere Besondere Leistungen'!$N$310,'weitere Besondere Leistungen'!$L$310,0)</f>
        <v>0</v>
      </c>
      <c r="E218" s="234">
        <f>IF(E$110='weitere Besondere Leistungen'!$N$310,'weitere Besondere Leistungen'!$L$310,0)</f>
        <v>0</v>
      </c>
      <c r="F218" s="234">
        <f>IF(F$110='weitere Besondere Leistungen'!$N$310,'weitere Besondere Leistungen'!$L$310,0)</f>
        <v>0</v>
      </c>
      <c r="G218" s="234">
        <f>IF(G$110='weitere Besondere Leistungen'!$N$310,'weitere Besondere Leistungen'!$L$310,0)</f>
        <v>0</v>
      </c>
      <c r="H218" s="234">
        <f>IF(H$110='weitere Besondere Leistungen'!$N$310,'weitere Besondere Leistungen'!$L$310,0)</f>
        <v>0</v>
      </c>
      <c r="I218" s="234">
        <f>IF(I$110='weitere Besondere Leistungen'!$N$310,'weitere Besondere Leistungen'!$L$310,0)</f>
        <v>0</v>
      </c>
      <c r="J218" s="234">
        <f>IF(J$110='weitere Besondere Leistungen'!$N$310,'weitere Besondere Leistungen'!$L$310,0)</f>
        <v>0</v>
      </c>
      <c r="K218" s="235">
        <f>IF(K$110='weitere Besondere Leistungen'!$N$310,'weitere Besondere Leistungen'!$L$310,0)</f>
        <v>0</v>
      </c>
      <c r="X218" s="14"/>
      <c r="Y218" s="13"/>
      <c r="Z218" s="15"/>
    </row>
    <row r="219" spans="1:26" ht="14.55" x14ac:dyDescent="0.3">
      <c r="A219" s="400"/>
      <c r="B219" s="400"/>
      <c r="C219" s="233">
        <f>IF(C$110='weitere Besondere Leistungen'!$N$312,'weitere Besondere Leistungen'!$L$312,0)</f>
        <v>0</v>
      </c>
      <c r="D219" s="234">
        <f>IF(D$110='weitere Besondere Leistungen'!$N$312,'weitere Besondere Leistungen'!$L$312,0)</f>
        <v>0</v>
      </c>
      <c r="E219" s="234">
        <f>IF(E$110='weitere Besondere Leistungen'!$N$312,'weitere Besondere Leistungen'!$L$312,0)</f>
        <v>0</v>
      </c>
      <c r="F219" s="234">
        <f>IF(F$110='weitere Besondere Leistungen'!$N$312,'weitere Besondere Leistungen'!$L$312,0)</f>
        <v>0</v>
      </c>
      <c r="G219" s="234">
        <f>IF(G$110='weitere Besondere Leistungen'!$N$312,'weitere Besondere Leistungen'!$L$312,0)</f>
        <v>0</v>
      </c>
      <c r="H219" s="234">
        <f>IF(H$110='weitere Besondere Leistungen'!$N$312,'weitere Besondere Leistungen'!$L$312,0)</f>
        <v>0</v>
      </c>
      <c r="I219" s="234">
        <f>IF(I$110='weitere Besondere Leistungen'!$N$312,'weitere Besondere Leistungen'!$L$312,0)</f>
        <v>0</v>
      </c>
      <c r="J219" s="234">
        <f>IF(J$110='weitere Besondere Leistungen'!$N$312,'weitere Besondere Leistungen'!$L$312,0)</f>
        <v>0</v>
      </c>
      <c r="K219" s="235">
        <f>IF(K$110='weitere Besondere Leistungen'!$N$312,'weitere Besondere Leistungen'!$L$312,0)</f>
        <v>0</v>
      </c>
      <c r="X219" s="14"/>
      <c r="Y219" s="13"/>
      <c r="Z219" s="15"/>
    </row>
    <row r="220" spans="1:26" ht="14.55" x14ac:dyDescent="0.3">
      <c r="A220" s="400"/>
      <c r="B220" s="400"/>
      <c r="C220" s="233">
        <f>IF(C$110='weitere Besondere Leistungen'!$N$314,'weitere Besondere Leistungen'!$L$314,0)</f>
        <v>0</v>
      </c>
      <c r="D220" s="234">
        <f>IF(D$110='weitere Besondere Leistungen'!$N$314,'weitere Besondere Leistungen'!$L$314,0)</f>
        <v>0</v>
      </c>
      <c r="E220" s="234">
        <f>IF(E$110='weitere Besondere Leistungen'!$N$314,'weitere Besondere Leistungen'!$L$314,0)</f>
        <v>0</v>
      </c>
      <c r="F220" s="234">
        <f>IF(F$110='weitere Besondere Leistungen'!$N$314,'weitere Besondere Leistungen'!$L$314,0)</f>
        <v>0</v>
      </c>
      <c r="G220" s="234">
        <f>IF(G$110='weitere Besondere Leistungen'!$N$314,'weitere Besondere Leistungen'!$L$314,0)</f>
        <v>0</v>
      </c>
      <c r="H220" s="234">
        <f>IF(H$110='weitere Besondere Leistungen'!$N$314,'weitere Besondere Leistungen'!$L$314,0)</f>
        <v>0</v>
      </c>
      <c r="I220" s="234">
        <f>IF(I$110='weitere Besondere Leistungen'!$N$314,'weitere Besondere Leistungen'!$L$314,0)</f>
        <v>0</v>
      </c>
      <c r="J220" s="234">
        <f>IF(J$110='weitere Besondere Leistungen'!$N$314,'weitere Besondere Leistungen'!$L$314,0)</f>
        <v>0</v>
      </c>
      <c r="K220" s="235">
        <f>IF(K$110='weitere Besondere Leistungen'!$N$314,'weitere Besondere Leistungen'!$L$314,0)</f>
        <v>0</v>
      </c>
      <c r="X220" s="14"/>
      <c r="Y220" s="13"/>
      <c r="Z220" s="15"/>
    </row>
    <row r="221" spans="1:26" ht="14.55" x14ac:dyDescent="0.3">
      <c r="A221" s="400"/>
      <c r="B221" s="400"/>
      <c r="C221" s="233">
        <f>IF(C$110='weitere Besondere Leistungen'!$N$316,'weitere Besondere Leistungen'!$L$316,0)</f>
        <v>0</v>
      </c>
      <c r="D221" s="234">
        <f>IF(D$110='weitere Besondere Leistungen'!$N$316,'weitere Besondere Leistungen'!$L$316,0)</f>
        <v>0</v>
      </c>
      <c r="E221" s="234">
        <f>IF(E$110='weitere Besondere Leistungen'!$N$316,'weitere Besondere Leistungen'!$L$316,0)</f>
        <v>0</v>
      </c>
      <c r="F221" s="234">
        <f>IF(F$110='weitere Besondere Leistungen'!$N$316,'weitere Besondere Leistungen'!$L$316,0)</f>
        <v>0</v>
      </c>
      <c r="G221" s="234">
        <f>IF(G$110='weitere Besondere Leistungen'!$N$316,'weitere Besondere Leistungen'!$L$316,0)</f>
        <v>0</v>
      </c>
      <c r="H221" s="234">
        <f>IF(H$110='weitere Besondere Leistungen'!$N$316,'weitere Besondere Leistungen'!$L$316,0)</f>
        <v>0</v>
      </c>
      <c r="I221" s="234">
        <f>IF(I$110='weitere Besondere Leistungen'!$N$316,'weitere Besondere Leistungen'!$L$316,0)</f>
        <v>0</v>
      </c>
      <c r="J221" s="234">
        <f>IF(J$110='weitere Besondere Leistungen'!$N$316,'weitere Besondere Leistungen'!$L$316,0)</f>
        <v>0</v>
      </c>
      <c r="K221" s="235">
        <f>IF(K$110='weitere Besondere Leistungen'!$N$316,'weitere Besondere Leistungen'!$L$316,0)</f>
        <v>0</v>
      </c>
      <c r="X221" s="14"/>
      <c r="Y221" s="13"/>
      <c r="Z221" s="15"/>
    </row>
    <row r="222" spans="1:26" ht="14.55" x14ac:dyDescent="0.3">
      <c r="A222" s="400"/>
      <c r="B222" s="400"/>
      <c r="C222" s="233">
        <f>IF(C$110='weitere Besondere Leistungen'!$N$318,'weitere Besondere Leistungen'!$L$318,0)</f>
        <v>0</v>
      </c>
      <c r="D222" s="234">
        <f>IF(D$110='weitere Besondere Leistungen'!$N$318,'weitere Besondere Leistungen'!$L$318,0)</f>
        <v>0</v>
      </c>
      <c r="E222" s="234">
        <f>IF(E$110='weitere Besondere Leistungen'!$N$318,'weitere Besondere Leistungen'!$L$318,0)</f>
        <v>0</v>
      </c>
      <c r="F222" s="234">
        <f>IF(F$110='weitere Besondere Leistungen'!$N$318,'weitere Besondere Leistungen'!$L$318,0)</f>
        <v>0</v>
      </c>
      <c r="G222" s="234">
        <f>IF(G$110='weitere Besondere Leistungen'!$N$318,'weitere Besondere Leistungen'!$L$318,0)</f>
        <v>0</v>
      </c>
      <c r="H222" s="234">
        <f>IF(H$110='weitere Besondere Leistungen'!$N$318,'weitere Besondere Leistungen'!$L$318,0)</f>
        <v>0</v>
      </c>
      <c r="I222" s="234">
        <f>IF(I$110='weitere Besondere Leistungen'!$N$318,'weitere Besondere Leistungen'!$L$318,0)</f>
        <v>0</v>
      </c>
      <c r="J222" s="234">
        <f>IF(J$110='weitere Besondere Leistungen'!$N$318,'weitere Besondere Leistungen'!$L$318,0)</f>
        <v>0</v>
      </c>
      <c r="K222" s="235">
        <f>IF(K$110='weitere Besondere Leistungen'!$N$318,'weitere Besondere Leistungen'!$L$318,0)</f>
        <v>0</v>
      </c>
      <c r="X222" s="14"/>
      <c r="Y222" s="13"/>
      <c r="Z222" s="15"/>
    </row>
    <row r="223" spans="1:26" ht="14.55" x14ac:dyDescent="0.3">
      <c r="A223" s="400"/>
      <c r="B223" s="400"/>
      <c r="C223" s="233">
        <f>IF(C$110='weitere Besondere Leistungen'!$N$320,'weitere Besondere Leistungen'!$L$320,0)</f>
        <v>0</v>
      </c>
      <c r="D223" s="234">
        <f>IF(D$110='weitere Besondere Leistungen'!$N$320,'weitere Besondere Leistungen'!$L$320,0)</f>
        <v>0</v>
      </c>
      <c r="E223" s="234">
        <f>IF(E$110='weitere Besondere Leistungen'!$N$320,'weitere Besondere Leistungen'!$L$320,0)</f>
        <v>0</v>
      </c>
      <c r="F223" s="234">
        <f>IF(F$110='weitere Besondere Leistungen'!$N$320,'weitere Besondere Leistungen'!$L$320,0)</f>
        <v>0</v>
      </c>
      <c r="G223" s="234">
        <f>IF(G$110='weitere Besondere Leistungen'!$N$320,'weitere Besondere Leistungen'!$L$320,0)</f>
        <v>0</v>
      </c>
      <c r="H223" s="234">
        <f>IF(H$110='weitere Besondere Leistungen'!$N$320,'weitere Besondere Leistungen'!$L$320,0)</f>
        <v>0</v>
      </c>
      <c r="I223" s="234">
        <f>IF(I$110='weitere Besondere Leistungen'!$N$320,'weitere Besondere Leistungen'!$L$320,0)</f>
        <v>0</v>
      </c>
      <c r="J223" s="234">
        <f>IF(J$110='weitere Besondere Leistungen'!$N$320,'weitere Besondere Leistungen'!$L$320,0)</f>
        <v>0</v>
      </c>
      <c r="K223" s="235">
        <f>IF(K$110='weitere Besondere Leistungen'!$N$320,'weitere Besondere Leistungen'!$L$320,0)</f>
        <v>0</v>
      </c>
      <c r="X223" s="14"/>
      <c r="Y223" s="13"/>
      <c r="Z223" s="15"/>
    </row>
    <row r="224" spans="1:26" ht="14.55" x14ac:dyDescent="0.3">
      <c r="A224" s="400"/>
      <c r="B224" s="400"/>
      <c r="C224" s="233">
        <f>IF(C$110='weitere Besondere Leistungen'!$N$322,'weitere Besondere Leistungen'!$L$322,0)</f>
        <v>0</v>
      </c>
      <c r="D224" s="234">
        <f>IF(D$110='weitere Besondere Leistungen'!$N$322,'weitere Besondere Leistungen'!$L$322,0)</f>
        <v>0</v>
      </c>
      <c r="E224" s="234">
        <f>IF(E$110='weitere Besondere Leistungen'!$N$322,'weitere Besondere Leistungen'!$L$322,0)</f>
        <v>0</v>
      </c>
      <c r="F224" s="234">
        <f>IF(F$110='weitere Besondere Leistungen'!$N$322,'weitere Besondere Leistungen'!$L$322,0)</f>
        <v>0</v>
      </c>
      <c r="G224" s="234">
        <f>IF(G$110='weitere Besondere Leistungen'!$N$322,'weitere Besondere Leistungen'!$L$322,0)</f>
        <v>0</v>
      </c>
      <c r="H224" s="234">
        <f>IF(H$110='weitere Besondere Leistungen'!$N$322,'weitere Besondere Leistungen'!$L$322,0)</f>
        <v>0</v>
      </c>
      <c r="I224" s="234">
        <f>IF(I$110='weitere Besondere Leistungen'!$N$322,'weitere Besondere Leistungen'!$L$322,0)</f>
        <v>0</v>
      </c>
      <c r="J224" s="234">
        <f>IF(J$110='weitere Besondere Leistungen'!$N$322,'weitere Besondere Leistungen'!$L$322,0)</f>
        <v>0</v>
      </c>
      <c r="K224" s="235">
        <f>IF(K$110='weitere Besondere Leistungen'!$N$322,'weitere Besondere Leistungen'!$L$322,0)</f>
        <v>0</v>
      </c>
      <c r="X224" s="14"/>
      <c r="Y224" s="13"/>
      <c r="Z224" s="15"/>
    </row>
    <row r="225" spans="1:26 16384:16384" ht="14.55" x14ac:dyDescent="0.3">
      <c r="A225" s="400"/>
      <c r="B225" s="400"/>
      <c r="C225" s="233">
        <f>IF(C$110='weitere Besondere Leistungen'!$N$324,'weitere Besondere Leistungen'!$L$324,0)</f>
        <v>0</v>
      </c>
      <c r="D225" s="234">
        <f>IF(D$110='weitere Besondere Leistungen'!$N$324,'weitere Besondere Leistungen'!$L$324,0)</f>
        <v>0</v>
      </c>
      <c r="E225" s="234">
        <f>IF(E$110='weitere Besondere Leistungen'!$N$324,'weitere Besondere Leistungen'!$L$324,0)</f>
        <v>0</v>
      </c>
      <c r="F225" s="234">
        <f>IF(F$110='weitere Besondere Leistungen'!$N$324,'weitere Besondere Leistungen'!$L$324,0)</f>
        <v>0</v>
      </c>
      <c r="G225" s="234">
        <f>IF(G$110='weitere Besondere Leistungen'!$N$324,'weitere Besondere Leistungen'!$L$324,0)</f>
        <v>0</v>
      </c>
      <c r="H225" s="234">
        <f>IF(H$110='weitere Besondere Leistungen'!$N$324,'weitere Besondere Leistungen'!$L$324,0)</f>
        <v>0</v>
      </c>
      <c r="I225" s="234">
        <f>IF(I$110='weitere Besondere Leistungen'!$N$324,'weitere Besondere Leistungen'!$L$324,0)</f>
        <v>0</v>
      </c>
      <c r="J225" s="234">
        <f>IF(J$110='weitere Besondere Leistungen'!$N$324,'weitere Besondere Leistungen'!$L$324,0)</f>
        <v>0</v>
      </c>
      <c r="K225" s="235">
        <f>IF(K$110='weitere Besondere Leistungen'!$N$324,'weitere Besondere Leistungen'!$L$324,0)</f>
        <v>0</v>
      </c>
      <c r="X225" s="14"/>
      <c r="Y225" s="13"/>
      <c r="Z225" s="15"/>
    </row>
    <row r="226" spans="1:26 16384:16384" ht="14.55" x14ac:dyDescent="0.3">
      <c r="A226" s="400"/>
      <c r="B226" s="400"/>
      <c r="C226" s="233">
        <f>IF(C$110='weitere Besondere Leistungen'!$N$326,'weitere Besondere Leistungen'!$L$326,0)</f>
        <v>0</v>
      </c>
      <c r="D226" s="234">
        <f>IF(D$110='weitere Besondere Leistungen'!$N$326,'weitere Besondere Leistungen'!$L$326,0)</f>
        <v>0</v>
      </c>
      <c r="E226" s="234">
        <f>IF(E$110='weitere Besondere Leistungen'!$N$326,'weitere Besondere Leistungen'!$L$326,0)</f>
        <v>0</v>
      </c>
      <c r="F226" s="234">
        <f>IF(F$110='weitere Besondere Leistungen'!$N$326,'weitere Besondere Leistungen'!$L$326,0)</f>
        <v>0</v>
      </c>
      <c r="G226" s="234">
        <f>IF(G$110='weitere Besondere Leistungen'!$N$326,'weitere Besondere Leistungen'!$L$326,0)</f>
        <v>0</v>
      </c>
      <c r="H226" s="234">
        <f>IF(H$110='weitere Besondere Leistungen'!$N$326,'weitere Besondere Leistungen'!$L$326,0)</f>
        <v>0</v>
      </c>
      <c r="I226" s="234">
        <f>IF(I$110='weitere Besondere Leistungen'!$N$326,'weitere Besondere Leistungen'!$L$326,0)</f>
        <v>0</v>
      </c>
      <c r="J226" s="234">
        <f>IF(J$110='weitere Besondere Leistungen'!$N$326,'weitere Besondere Leistungen'!$L$326,0)</f>
        <v>0</v>
      </c>
      <c r="K226" s="235">
        <f>IF(K$110='weitere Besondere Leistungen'!$N$326,'weitere Besondere Leistungen'!$L$326,0)</f>
        <v>0</v>
      </c>
      <c r="X226" s="14"/>
      <c r="Y226" s="13"/>
      <c r="Z226" s="15"/>
    </row>
    <row r="227" spans="1:26 16384:16384" ht="14.55" x14ac:dyDescent="0.3">
      <c r="A227" s="400"/>
      <c r="B227" s="400"/>
      <c r="C227" s="233">
        <f>IF(C$110='weitere Besondere Leistungen'!$N$328,'weitere Besondere Leistungen'!$L$328,0)</f>
        <v>0</v>
      </c>
      <c r="D227" s="234">
        <f>IF(D$110='weitere Besondere Leistungen'!$N$328,'weitere Besondere Leistungen'!$L$328,0)</f>
        <v>0</v>
      </c>
      <c r="E227" s="234">
        <f>IF(E$110='weitere Besondere Leistungen'!$N$328,'weitere Besondere Leistungen'!$L$328,0)</f>
        <v>0</v>
      </c>
      <c r="F227" s="234">
        <f>IF(F$110='weitere Besondere Leistungen'!$N$328,'weitere Besondere Leistungen'!$L$328,0)</f>
        <v>0</v>
      </c>
      <c r="G227" s="234">
        <f>IF(G$110='weitere Besondere Leistungen'!$N$328,'weitere Besondere Leistungen'!$L$328,0)</f>
        <v>0</v>
      </c>
      <c r="H227" s="234">
        <f>IF(H$110='weitere Besondere Leistungen'!$N$328,'weitere Besondere Leistungen'!$L$328,0)</f>
        <v>0</v>
      </c>
      <c r="I227" s="234">
        <f>IF(I$110='weitere Besondere Leistungen'!$N$328,'weitere Besondere Leistungen'!$L$328,0)</f>
        <v>0</v>
      </c>
      <c r="J227" s="234">
        <f>IF(J$110='weitere Besondere Leistungen'!$N$328,'weitere Besondere Leistungen'!$L$328,0)</f>
        <v>0</v>
      </c>
      <c r="K227" s="235">
        <f>IF(K$110='weitere Besondere Leistungen'!$N$328,'weitere Besondere Leistungen'!$L$328,0)</f>
        <v>0</v>
      </c>
      <c r="X227" s="14"/>
      <c r="Y227" s="13"/>
      <c r="Z227" s="15"/>
    </row>
    <row r="228" spans="1:26 16384:16384" ht="15.2" thickBot="1" x14ac:dyDescent="0.35">
      <c r="A228" s="400"/>
      <c r="B228" s="400"/>
      <c r="C228" s="236">
        <f>IF(C$110='weitere Besondere Leistungen'!$N$330,'weitere Besondere Leistungen'!$L$330,0)</f>
        <v>0</v>
      </c>
      <c r="D228" s="237">
        <f>IF(D$110='weitere Besondere Leistungen'!$N$330,'weitere Besondere Leistungen'!$L$330,0)</f>
        <v>0</v>
      </c>
      <c r="E228" s="237">
        <f>IF(E$110='weitere Besondere Leistungen'!$N$330,'weitere Besondere Leistungen'!$L$330,0)</f>
        <v>0</v>
      </c>
      <c r="F228" s="237">
        <f>IF(F$110='weitere Besondere Leistungen'!$N$330,'weitere Besondere Leistungen'!$L$330,0)</f>
        <v>0</v>
      </c>
      <c r="G228" s="237">
        <f>IF(G$110='weitere Besondere Leistungen'!$N$330,'weitere Besondere Leistungen'!$L$330,0)</f>
        <v>0</v>
      </c>
      <c r="H228" s="237">
        <f>IF(H$110='weitere Besondere Leistungen'!$N$330,'weitere Besondere Leistungen'!$L$330,0)</f>
        <v>0</v>
      </c>
      <c r="I228" s="237">
        <f>IF(I$110='weitere Besondere Leistungen'!$N$330,'weitere Besondere Leistungen'!$L$330,0)</f>
        <v>0</v>
      </c>
      <c r="J228" s="237">
        <f>IF(J$110='weitere Besondere Leistungen'!$N$330,'weitere Besondere Leistungen'!$L$330,0)</f>
        <v>0</v>
      </c>
      <c r="K228" s="238">
        <f>IF(K$110='weitere Besondere Leistungen'!$N$330,'weitere Besondere Leistungen'!$L$330,0)</f>
        <v>0</v>
      </c>
      <c r="X228" s="14"/>
      <c r="Y228" s="13"/>
      <c r="Z228" s="15"/>
    </row>
    <row r="229" spans="1:26 16384:16384" ht="15.2" thickBot="1" x14ac:dyDescent="0.35">
      <c r="A229" s="2146" t="s">
        <v>357</v>
      </c>
      <c r="B229" s="2146"/>
      <c r="C229" s="389">
        <f t="shared" ref="C229:K229" si="6">SUM(C166:C228)</f>
        <v>0</v>
      </c>
      <c r="D229" s="389">
        <f t="shared" si="6"/>
        <v>0</v>
      </c>
      <c r="E229" s="389">
        <f t="shared" si="6"/>
        <v>0</v>
      </c>
      <c r="F229" s="389">
        <f t="shared" si="6"/>
        <v>0</v>
      </c>
      <c r="G229" s="389">
        <f t="shared" si="6"/>
        <v>0</v>
      </c>
      <c r="H229" s="389">
        <f t="shared" si="6"/>
        <v>0</v>
      </c>
      <c r="I229" s="389">
        <f t="shared" si="6"/>
        <v>0</v>
      </c>
      <c r="J229" s="389">
        <f t="shared" si="6"/>
        <v>0</v>
      </c>
      <c r="K229" s="389">
        <f t="shared" si="6"/>
        <v>0</v>
      </c>
      <c r="X229" s="14"/>
      <c r="Y229" s="13"/>
      <c r="Z229" s="15"/>
      <c r="XFD229" s="1" t="s">
        <v>830</v>
      </c>
    </row>
    <row r="230" spans="1:26 16384:16384" ht="15.2" thickBot="1" x14ac:dyDescent="0.35">
      <c r="A230" s="400"/>
      <c r="B230" s="400"/>
      <c r="C230" s="2148" t="str">
        <f>'weitere Besondere Leistungen'!B333</f>
        <v xml:space="preserve"> Besondere Leistungen Plancontrolling</v>
      </c>
      <c r="D230" s="2149"/>
      <c r="E230" s="2149"/>
      <c r="F230" s="2149"/>
      <c r="G230" s="2149"/>
      <c r="H230" s="2149"/>
      <c r="I230" s="2149"/>
      <c r="J230" s="2149"/>
      <c r="K230" s="1999"/>
      <c r="X230" s="14"/>
      <c r="Y230" s="13"/>
      <c r="Z230" s="15"/>
    </row>
    <row r="231" spans="1:26 16384:16384" ht="14.55" x14ac:dyDescent="0.3">
      <c r="A231" s="400"/>
      <c r="B231" s="400"/>
      <c r="C231" s="230">
        <f>IF(C$110='weitere Besondere Leistungen'!$N$336,'weitere Besondere Leistungen'!$L$336,0)</f>
        <v>0</v>
      </c>
      <c r="D231" s="230">
        <f>IF(D$110='weitere Besondere Leistungen'!$N$336,'weitere Besondere Leistungen'!$L$336,0)</f>
        <v>0</v>
      </c>
      <c r="E231" s="230">
        <f>IF(E$110='weitere Besondere Leistungen'!$N$336,'weitere Besondere Leistungen'!$L$336,0)</f>
        <v>0</v>
      </c>
      <c r="F231" s="230">
        <f>IF(F$110='weitere Besondere Leistungen'!$N$336,'weitere Besondere Leistungen'!$L$336,0)</f>
        <v>0</v>
      </c>
      <c r="G231" s="230">
        <f>IF(G$110='weitere Besondere Leistungen'!$N$336,'weitere Besondere Leistungen'!$L$336,0)</f>
        <v>0</v>
      </c>
      <c r="H231" s="230">
        <f>IF(H$110='weitere Besondere Leistungen'!$N$336,'weitere Besondere Leistungen'!$L$336,0)</f>
        <v>0</v>
      </c>
      <c r="I231" s="230">
        <f>IF(I$110='weitere Besondere Leistungen'!$N$336,'weitere Besondere Leistungen'!$L$336,0)</f>
        <v>0</v>
      </c>
      <c r="J231" s="230">
        <f>IF(J$110='weitere Besondere Leistungen'!$N$336,'weitere Besondere Leistungen'!$L$336,0)</f>
        <v>0</v>
      </c>
      <c r="K231" s="587">
        <f>IF(K$110='weitere Besondere Leistungen'!$N$336,'weitere Besondere Leistungen'!$L$336,0)</f>
        <v>0</v>
      </c>
      <c r="X231" s="14"/>
      <c r="Y231" s="13"/>
      <c r="Z231" s="15"/>
    </row>
    <row r="232" spans="1:26 16384:16384" ht="14.55" x14ac:dyDescent="0.3">
      <c r="A232" s="400"/>
      <c r="B232" s="400"/>
      <c r="C232" s="233">
        <f>IF(C$110='weitere Besondere Leistungen'!$N$339,'weitere Besondere Leistungen'!$L$339,0)</f>
        <v>0</v>
      </c>
      <c r="D232" s="233">
        <f>IF(D$110='weitere Besondere Leistungen'!$N$339,'weitere Besondere Leistungen'!$L$339,0)</f>
        <v>0</v>
      </c>
      <c r="E232" s="233">
        <f>IF(E$110='weitere Besondere Leistungen'!$N$339,'weitere Besondere Leistungen'!$L$339,0)</f>
        <v>0</v>
      </c>
      <c r="F232" s="233">
        <f>IF(F$110='weitere Besondere Leistungen'!$N$339,'weitere Besondere Leistungen'!$L$339,0)</f>
        <v>0</v>
      </c>
      <c r="G232" s="233">
        <f>IF(G$110='weitere Besondere Leistungen'!$N$339,'weitere Besondere Leistungen'!$L$339,0)</f>
        <v>0</v>
      </c>
      <c r="H232" s="233">
        <f>IF(H$110='weitere Besondere Leistungen'!$N$339,'weitere Besondere Leistungen'!$L$339,0)</f>
        <v>0</v>
      </c>
      <c r="I232" s="233">
        <f>IF(I$110='weitere Besondere Leistungen'!$N$339,'weitere Besondere Leistungen'!$L$339,0)</f>
        <v>0</v>
      </c>
      <c r="J232" s="233">
        <f>IF(J$110='weitere Besondere Leistungen'!$N$339,'weitere Besondere Leistungen'!$L$339,0)</f>
        <v>0</v>
      </c>
      <c r="K232" s="588">
        <f>IF(K$110='weitere Besondere Leistungen'!$N$339,'weitere Besondere Leistungen'!$L$339,0)</f>
        <v>0</v>
      </c>
      <c r="X232" s="14"/>
      <c r="Y232" s="13"/>
      <c r="Z232" s="15"/>
    </row>
    <row r="233" spans="1:26 16384:16384" ht="14.55" x14ac:dyDescent="0.3">
      <c r="A233" s="400"/>
      <c r="B233" s="400"/>
      <c r="C233" s="233">
        <f>IF(C$110='weitere Besondere Leistungen'!$N$342,'weitere Besondere Leistungen'!$L$342,0)</f>
        <v>0</v>
      </c>
      <c r="D233" s="233">
        <f>IF(D$110='weitere Besondere Leistungen'!$N$342,'weitere Besondere Leistungen'!$L$342,0)</f>
        <v>0</v>
      </c>
      <c r="E233" s="233">
        <f>IF(E$110='weitere Besondere Leistungen'!$N$342,'weitere Besondere Leistungen'!$L$342,0)</f>
        <v>0</v>
      </c>
      <c r="F233" s="233">
        <f>IF(F$110='weitere Besondere Leistungen'!$N$342,'weitere Besondere Leistungen'!$L$342,0)</f>
        <v>0</v>
      </c>
      <c r="G233" s="233">
        <f>IF(G$110='weitere Besondere Leistungen'!$N$342,'weitere Besondere Leistungen'!$L$342,0)</f>
        <v>0</v>
      </c>
      <c r="H233" s="233">
        <f>IF(H$110='weitere Besondere Leistungen'!$N$342,'weitere Besondere Leistungen'!$L$342,0)</f>
        <v>0</v>
      </c>
      <c r="I233" s="233">
        <f>IF(I$110='weitere Besondere Leistungen'!$N$342,'weitere Besondere Leistungen'!$L$342,0)</f>
        <v>0</v>
      </c>
      <c r="J233" s="233">
        <f>IF(J$110='weitere Besondere Leistungen'!$N$342,'weitere Besondere Leistungen'!$L$342,0)</f>
        <v>0</v>
      </c>
      <c r="K233" s="588">
        <f>IF(K$110='weitere Besondere Leistungen'!$N$342,'weitere Besondere Leistungen'!$L$342,0)</f>
        <v>0</v>
      </c>
      <c r="X233" s="14"/>
      <c r="Y233" s="13"/>
      <c r="Z233" s="15"/>
    </row>
    <row r="234" spans="1:26 16384:16384" ht="14.55" x14ac:dyDescent="0.3">
      <c r="A234" s="400"/>
      <c r="B234" s="400"/>
      <c r="C234" s="233">
        <f>IF(C$110='weitere Besondere Leistungen'!$N$345,'weitere Besondere Leistungen'!$L$345,0)</f>
        <v>0</v>
      </c>
      <c r="D234" s="233">
        <f>IF(D$110='weitere Besondere Leistungen'!$N$345,'weitere Besondere Leistungen'!$L$345,0)</f>
        <v>0</v>
      </c>
      <c r="E234" s="233">
        <f>IF(E$110='weitere Besondere Leistungen'!$N$345,'weitere Besondere Leistungen'!$L$345,0)</f>
        <v>0</v>
      </c>
      <c r="F234" s="233">
        <f>IF(F$110='weitere Besondere Leistungen'!$N$345,'weitere Besondere Leistungen'!$L$345,0)</f>
        <v>0</v>
      </c>
      <c r="G234" s="233">
        <f>IF(G$110='weitere Besondere Leistungen'!$N$345,'weitere Besondere Leistungen'!$L$345,0)</f>
        <v>0</v>
      </c>
      <c r="H234" s="233">
        <f>IF(H$110='weitere Besondere Leistungen'!$N$345,'weitere Besondere Leistungen'!$L$345,0)</f>
        <v>0</v>
      </c>
      <c r="I234" s="233">
        <f>IF(I$110='weitere Besondere Leistungen'!$N$345,'weitere Besondere Leistungen'!$L$345,0)</f>
        <v>0</v>
      </c>
      <c r="J234" s="233">
        <f>IF(J$110='weitere Besondere Leistungen'!$N$345,'weitere Besondere Leistungen'!$L$345,0)</f>
        <v>0</v>
      </c>
      <c r="K234" s="588">
        <f>IF(K$110='weitere Besondere Leistungen'!$N$345,'weitere Besondere Leistungen'!$L$345,0)</f>
        <v>0</v>
      </c>
      <c r="X234" s="14"/>
      <c r="Y234" s="13"/>
      <c r="Z234" s="15"/>
    </row>
    <row r="235" spans="1:26 16384:16384" ht="15.2" thickBot="1" x14ac:dyDescent="0.35">
      <c r="A235" s="400"/>
      <c r="B235" s="400"/>
      <c r="C235" s="236">
        <f>IF(C$110='weitere Besondere Leistungen'!$N$349,'weitere Besondere Leistungen'!$L$349,0)</f>
        <v>0</v>
      </c>
      <c r="D235" s="236">
        <f>IF(D$110='weitere Besondere Leistungen'!$N$349,'weitere Besondere Leistungen'!$L$349,0)</f>
        <v>0</v>
      </c>
      <c r="E235" s="236">
        <f>IF(E$110='weitere Besondere Leistungen'!$N$349,'weitere Besondere Leistungen'!$L$349,0)</f>
        <v>0</v>
      </c>
      <c r="F235" s="236">
        <f>IF(F$110='weitere Besondere Leistungen'!$N$349,'weitere Besondere Leistungen'!$L$349,0)</f>
        <v>0</v>
      </c>
      <c r="G235" s="236">
        <f>IF(G$110='weitere Besondere Leistungen'!$N$349,'weitere Besondere Leistungen'!$L$349,0)</f>
        <v>0</v>
      </c>
      <c r="H235" s="236">
        <f>IF(H$110='weitere Besondere Leistungen'!$N$349,'weitere Besondere Leistungen'!$L$349,0)</f>
        <v>0</v>
      </c>
      <c r="I235" s="236">
        <f>IF(I$110='weitere Besondere Leistungen'!$N$349,'weitere Besondere Leistungen'!$L$349,0)</f>
        <v>0</v>
      </c>
      <c r="J235" s="236">
        <f>IF(J$110='weitere Besondere Leistungen'!$N$349,'weitere Besondere Leistungen'!$L$349,0)</f>
        <v>0</v>
      </c>
      <c r="K235" s="589">
        <f>IF(K$110='weitere Besondere Leistungen'!$N$349,'weitere Besondere Leistungen'!$L$349,0)</f>
        <v>0</v>
      </c>
      <c r="X235" s="14"/>
      <c r="Y235" s="13"/>
      <c r="Z235" s="15"/>
    </row>
    <row r="236" spans="1:26 16384:16384" ht="14.55" x14ac:dyDescent="0.3">
      <c r="A236" s="400"/>
      <c r="B236" s="400" t="s">
        <v>357</v>
      </c>
      <c r="C236" s="390">
        <f t="shared" ref="C236:K236" si="7">SUM(C231:C235)</f>
        <v>0</v>
      </c>
      <c r="D236" s="390">
        <f t="shared" si="7"/>
        <v>0</v>
      </c>
      <c r="E236" s="390">
        <f t="shared" si="7"/>
        <v>0</v>
      </c>
      <c r="F236" s="390">
        <f t="shared" si="7"/>
        <v>0</v>
      </c>
      <c r="G236" s="390">
        <f t="shared" si="7"/>
        <v>0</v>
      </c>
      <c r="H236" s="390">
        <f t="shared" si="7"/>
        <v>0</v>
      </c>
      <c r="I236" s="390">
        <f t="shared" si="7"/>
        <v>0</v>
      </c>
      <c r="J236" s="390">
        <f t="shared" si="7"/>
        <v>0</v>
      </c>
      <c r="K236" s="390">
        <f t="shared" si="7"/>
        <v>0</v>
      </c>
      <c r="X236" s="14"/>
      <c r="Y236" s="13"/>
      <c r="Z236" s="15"/>
    </row>
    <row r="237" spans="1:26 16384:16384" ht="14.55" x14ac:dyDescent="0.3">
      <c r="A237" s="400"/>
      <c r="B237" s="400"/>
      <c r="C237" s="390"/>
      <c r="D237" s="390"/>
      <c r="E237" s="390"/>
      <c r="F237" s="390"/>
      <c r="G237" s="390"/>
      <c r="H237" s="390"/>
      <c r="I237" s="390"/>
      <c r="J237" s="390"/>
      <c r="K237" s="390"/>
      <c r="X237" s="14"/>
      <c r="Y237" s="13"/>
      <c r="Z237" s="15"/>
    </row>
    <row r="238" spans="1:26 16384:16384" ht="14.55" x14ac:dyDescent="0.3">
      <c r="B238" s="471" t="s">
        <v>831</v>
      </c>
      <c r="C238" s="279">
        <v>1</v>
      </c>
      <c r="D238" s="279">
        <v>2</v>
      </c>
      <c r="E238" s="279">
        <v>3</v>
      </c>
      <c r="F238" s="279">
        <v>4</v>
      </c>
      <c r="G238" s="279">
        <v>5</v>
      </c>
      <c r="H238" s="279">
        <v>6</v>
      </c>
      <c r="I238" s="279">
        <v>7</v>
      </c>
      <c r="J238" s="279">
        <v>8</v>
      </c>
      <c r="K238" s="279">
        <v>9</v>
      </c>
      <c r="X238" s="14"/>
      <c r="Y238" s="13"/>
      <c r="Z238" s="15"/>
    </row>
    <row r="239" spans="1:26 16384:16384" ht="14.55" x14ac:dyDescent="0.3">
      <c r="A239" s="2143" t="s">
        <v>832</v>
      </c>
      <c r="B239" s="2143"/>
      <c r="C239" s="254">
        <f t="shared" ref="C239:K239" si="8">C156+C147+C141+C106+C132+C164+C229+C236</f>
        <v>0</v>
      </c>
      <c r="D239" s="254">
        <f t="shared" si="8"/>
        <v>0</v>
      </c>
      <c r="E239" s="254">
        <f t="shared" si="8"/>
        <v>0</v>
      </c>
      <c r="F239" s="254">
        <f t="shared" si="8"/>
        <v>0</v>
      </c>
      <c r="G239" s="254">
        <f t="shared" si="8"/>
        <v>0</v>
      </c>
      <c r="H239" s="254">
        <f t="shared" si="8"/>
        <v>0</v>
      </c>
      <c r="I239" s="254">
        <f t="shared" si="8"/>
        <v>0</v>
      </c>
      <c r="J239" s="254">
        <f t="shared" si="8"/>
        <v>0</v>
      </c>
      <c r="K239" s="254">
        <f t="shared" si="8"/>
        <v>0</v>
      </c>
      <c r="X239" s="14"/>
      <c r="Y239" s="13"/>
      <c r="Z239" s="15"/>
    </row>
    <row r="240" spans="1:26 16384:16384" ht="14.55" x14ac:dyDescent="0.3">
      <c r="B240" s="1">
        <v>2</v>
      </c>
      <c r="C240" s="245">
        <f>D239</f>
        <v>0</v>
      </c>
      <c r="D240" s="245"/>
      <c r="E240" s="245"/>
      <c r="F240" s="245"/>
      <c r="G240" s="245"/>
      <c r="H240" s="245"/>
      <c r="I240" s="245"/>
      <c r="J240" s="245"/>
      <c r="X240" s="14"/>
      <c r="Y240" s="13"/>
      <c r="Z240" s="15"/>
    </row>
    <row r="241" spans="2:26" ht="14.55" x14ac:dyDescent="0.3">
      <c r="B241" s="1">
        <v>3</v>
      </c>
      <c r="C241" s="245">
        <f>E239</f>
        <v>0</v>
      </c>
      <c r="D241" s="245"/>
      <c r="E241" s="245"/>
      <c r="F241" s="245"/>
      <c r="G241" s="245"/>
      <c r="H241" s="245"/>
      <c r="I241" s="245"/>
      <c r="J241" s="245"/>
      <c r="X241" s="14"/>
      <c r="Y241" s="13"/>
      <c r="Z241" s="15"/>
    </row>
    <row r="242" spans="2:26" ht="14.55" x14ac:dyDescent="0.3">
      <c r="B242" s="1">
        <v>4</v>
      </c>
      <c r="C242" s="245">
        <f>F239</f>
        <v>0</v>
      </c>
      <c r="D242" s="245"/>
      <c r="E242" s="245"/>
      <c r="F242" s="245"/>
      <c r="G242" s="245"/>
      <c r="H242" s="245"/>
      <c r="I242" s="245"/>
      <c r="J242" s="245"/>
      <c r="X242" s="14"/>
      <c r="Y242" s="13"/>
      <c r="Z242" s="15"/>
    </row>
    <row r="243" spans="2:26" ht="14.55" x14ac:dyDescent="0.3">
      <c r="B243" s="1">
        <v>5</v>
      </c>
      <c r="C243" s="245">
        <f>G239</f>
        <v>0</v>
      </c>
      <c r="D243" s="245"/>
      <c r="E243" s="245"/>
      <c r="F243" s="245"/>
      <c r="G243" s="245"/>
      <c r="H243" s="245"/>
      <c r="I243" s="245"/>
      <c r="J243" s="245"/>
      <c r="X243" s="14"/>
      <c r="Y243" s="13"/>
      <c r="Z243" s="15"/>
    </row>
    <row r="244" spans="2:26" ht="14.55" x14ac:dyDescent="0.3">
      <c r="B244" s="1">
        <v>6</v>
      </c>
      <c r="C244" s="245">
        <f>H239</f>
        <v>0</v>
      </c>
      <c r="D244" s="245"/>
      <c r="E244" s="245"/>
      <c r="F244" s="245"/>
      <c r="G244" s="245"/>
      <c r="H244" s="245"/>
      <c r="I244" s="245"/>
      <c r="J244" s="245"/>
      <c r="X244" s="14"/>
      <c r="Y244" s="13"/>
      <c r="Z244" s="15"/>
    </row>
    <row r="245" spans="2:26" ht="14.55" x14ac:dyDescent="0.3">
      <c r="B245" s="1">
        <v>7</v>
      </c>
      <c r="C245" s="245">
        <f>I239</f>
        <v>0</v>
      </c>
      <c r="D245" s="245"/>
      <c r="E245" s="245"/>
      <c r="F245" s="245"/>
      <c r="G245" s="245"/>
      <c r="H245" s="245"/>
      <c r="I245" s="245"/>
      <c r="J245" s="245"/>
      <c r="X245" s="14"/>
      <c r="Y245" s="13"/>
      <c r="Z245" s="15"/>
    </row>
    <row r="246" spans="2:26" ht="14.55" x14ac:dyDescent="0.3">
      <c r="B246" s="1">
        <v>8</v>
      </c>
      <c r="C246" s="245">
        <f>J239</f>
        <v>0</v>
      </c>
      <c r="D246" s="245"/>
      <c r="E246" s="245"/>
      <c r="F246" s="245"/>
      <c r="G246" s="245"/>
      <c r="H246" s="245"/>
      <c r="I246" s="245"/>
      <c r="J246" s="245"/>
      <c r="X246" s="14"/>
      <c r="Y246" s="13"/>
      <c r="Z246" s="15"/>
    </row>
    <row r="247" spans="2:26" ht="14.55" x14ac:dyDescent="0.3">
      <c r="B247" s="1">
        <v>9</v>
      </c>
      <c r="C247" s="245">
        <f>K239</f>
        <v>0</v>
      </c>
      <c r="D247" s="245"/>
      <c r="E247" s="245"/>
      <c r="F247" s="245"/>
      <c r="G247" s="245"/>
      <c r="H247" s="245"/>
      <c r="I247" s="245"/>
      <c r="J247" s="245"/>
      <c r="X247" s="14"/>
      <c r="Y247" s="13"/>
      <c r="Z247" s="15"/>
    </row>
    <row r="248" spans="2:26" ht="14.55" x14ac:dyDescent="0.3">
      <c r="C248" s="245"/>
      <c r="D248" s="245"/>
      <c r="E248" s="245"/>
      <c r="F248" s="245"/>
      <c r="G248" s="245"/>
      <c r="H248" s="245"/>
      <c r="I248" s="245"/>
      <c r="J248" s="245"/>
      <c r="X248" s="14"/>
      <c r="Y248" s="13"/>
      <c r="Z248" s="15"/>
    </row>
    <row r="249" spans="2:26" ht="14.55" x14ac:dyDescent="0.3">
      <c r="C249" s="245"/>
      <c r="D249" s="245"/>
      <c r="E249" s="245"/>
      <c r="F249" s="245"/>
      <c r="G249" s="245"/>
      <c r="H249" s="245"/>
      <c r="I249" s="245"/>
      <c r="J249" s="245"/>
      <c r="X249" s="14"/>
      <c r="Y249" s="13"/>
      <c r="Z249" s="15"/>
    </row>
    <row r="250" spans="2:26" ht="14.55" x14ac:dyDescent="0.3">
      <c r="C250" s="245"/>
      <c r="D250" s="245"/>
      <c r="E250" s="245"/>
      <c r="F250" s="245"/>
      <c r="G250" s="245"/>
      <c r="H250" s="245"/>
      <c r="I250" s="245"/>
      <c r="J250" s="245"/>
      <c r="X250" s="14"/>
      <c r="Y250" s="13"/>
      <c r="Z250" s="15"/>
    </row>
    <row r="251" spans="2:26" ht="14.55" x14ac:dyDescent="0.3">
      <c r="C251" s="245"/>
      <c r="D251" s="245"/>
      <c r="E251" s="245"/>
      <c r="F251" s="245"/>
      <c r="G251" s="245"/>
      <c r="H251" s="245"/>
      <c r="I251" s="245"/>
      <c r="J251" s="245"/>
      <c r="X251" s="14"/>
      <c r="Y251" s="13"/>
      <c r="Z251" s="15"/>
    </row>
    <row r="252" spans="2:26" ht="14.55" x14ac:dyDescent="0.3">
      <c r="C252" s="245"/>
      <c r="D252" s="245"/>
      <c r="E252" s="245"/>
      <c r="F252" s="245"/>
      <c r="G252" s="245"/>
      <c r="H252" s="245"/>
      <c r="I252" s="245"/>
      <c r="J252" s="245"/>
      <c r="X252" s="14"/>
      <c r="Y252" s="13"/>
      <c r="Z252" s="15"/>
    </row>
    <row r="253" spans="2:26" ht="14.55" x14ac:dyDescent="0.3">
      <c r="C253" s="245"/>
      <c r="D253" s="245"/>
      <c r="E253" s="245"/>
      <c r="F253" s="245"/>
      <c r="G253" s="245"/>
      <c r="H253" s="245"/>
      <c r="I253" s="245"/>
      <c r="J253" s="245"/>
      <c r="X253" s="14"/>
      <c r="Y253" s="13"/>
      <c r="Z253" s="15"/>
    </row>
    <row r="254" spans="2:26" ht="14.55" x14ac:dyDescent="0.3">
      <c r="C254" s="245"/>
      <c r="D254" s="245"/>
      <c r="E254" s="245"/>
      <c r="F254" s="245"/>
      <c r="G254" s="245"/>
      <c r="H254" s="245"/>
      <c r="I254" s="245"/>
      <c r="J254" s="245"/>
      <c r="X254" s="14"/>
      <c r="Y254" s="13"/>
      <c r="Z254" s="15"/>
    </row>
    <row r="255" spans="2:26" ht="14.55" x14ac:dyDescent="0.3">
      <c r="X255" s="14"/>
      <c r="Y255" s="13"/>
      <c r="Z255" s="15"/>
    </row>
    <row r="256" spans="2:26" ht="14.55" x14ac:dyDescent="0.3">
      <c r="X256" s="14"/>
      <c r="Y256" s="13"/>
      <c r="Z256" s="15"/>
    </row>
    <row r="257" spans="24:26" ht="14.55" x14ac:dyDescent="0.3">
      <c r="X257" s="14"/>
      <c r="Y257" s="13"/>
      <c r="Z257" s="15"/>
    </row>
    <row r="258" spans="24:26" ht="14.55" x14ac:dyDescent="0.3">
      <c r="X258" s="14"/>
      <c r="Y258" s="13"/>
      <c r="Z258" s="15"/>
    </row>
    <row r="259" spans="24:26" ht="14.55" x14ac:dyDescent="0.3">
      <c r="X259" s="14"/>
      <c r="Y259" s="13"/>
      <c r="Z259" s="15"/>
    </row>
    <row r="260" spans="24:26" ht="14.55" x14ac:dyDescent="0.3">
      <c r="X260" s="14"/>
      <c r="Y260" s="13"/>
      <c r="Z260" s="15"/>
    </row>
    <row r="261" spans="24:26" ht="14.55" x14ac:dyDescent="0.3">
      <c r="X261" s="14"/>
      <c r="Y261" s="13"/>
      <c r="Z261" s="15"/>
    </row>
    <row r="262" spans="24:26" ht="14.55" x14ac:dyDescent="0.3">
      <c r="X262" s="14"/>
      <c r="Y262" s="13"/>
      <c r="Z262" s="15"/>
    </row>
    <row r="263" spans="24:26" ht="14.55" x14ac:dyDescent="0.3">
      <c r="X263" s="14"/>
      <c r="Y263" s="13"/>
      <c r="Z263" s="15"/>
    </row>
    <row r="264" spans="24:26" ht="14.55" x14ac:dyDescent="0.3">
      <c r="X264" s="14"/>
      <c r="Y264" s="13"/>
      <c r="Z264" s="15"/>
    </row>
    <row r="265" spans="24:26" ht="14.55" x14ac:dyDescent="0.3">
      <c r="X265" s="14"/>
      <c r="Y265" s="13"/>
      <c r="Z265" s="15"/>
    </row>
    <row r="266" spans="24:26" ht="14.55" x14ac:dyDescent="0.3">
      <c r="X266" s="14"/>
      <c r="Y266" s="13"/>
      <c r="Z266" s="15"/>
    </row>
    <row r="267" spans="24:26" ht="14.55" x14ac:dyDescent="0.3">
      <c r="X267" s="14"/>
      <c r="Y267" s="13"/>
      <c r="Z267" s="15"/>
    </row>
    <row r="268" spans="24:26" ht="14.55" x14ac:dyDescent="0.3">
      <c r="X268" s="14"/>
      <c r="Y268" s="13"/>
      <c r="Z268" s="15"/>
    </row>
    <row r="269" spans="24:26" ht="14.55" x14ac:dyDescent="0.3">
      <c r="X269" s="14"/>
      <c r="Y269" s="13"/>
      <c r="Z269" s="15"/>
    </row>
    <row r="270" spans="24:26" ht="14.55" x14ac:dyDescent="0.3">
      <c r="X270" s="14"/>
      <c r="Y270" s="13"/>
      <c r="Z270" s="15"/>
    </row>
    <row r="271" spans="24:26" ht="14.55" x14ac:dyDescent="0.3">
      <c r="X271" s="14"/>
      <c r="Y271" s="13"/>
      <c r="Z271" s="15"/>
    </row>
    <row r="272" spans="24:26" ht="14.55" x14ac:dyDescent="0.3">
      <c r="X272" s="14"/>
      <c r="Y272" s="13"/>
      <c r="Z272" s="15"/>
    </row>
    <row r="273" spans="3:26" ht="14.55" x14ac:dyDescent="0.3">
      <c r="X273" s="14"/>
      <c r="Y273" s="13"/>
      <c r="Z273" s="15"/>
    </row>
    <row r="274" spans="3:26" ht="14.55" x14ac:dyDescent="0.3">
      <c r="X274" s="14"/>
      <c r="Y274" s="13"/>
      <c r="Z274" s="15"/>
    </row>
    <row r="275" spans="3:26" ht="14.55" x14ac:dyDescent="0.3">
      <c r="X275" s="14"/>
      <c r="Y275" s="13"/>
      <c r="Z275" s="15"/>
    </row>
    <row r="276" spans="3:26" ht="14.55" x14ac:dyDescent="0.3">
      <c r="X276" s="14"/>
      <c r="Y276" s="13"/>
      <c r="Z276" s="15"/>
    </row>
    <row r="277" spans="3:26" ht="14.55" x14ac:dyDescent="0.3">
      <c r="X277" s="14"/>
      <c r="Y277" s="13"/>
      <c r="Z277" s="15"/>
    </row>
    <row r="278" spans="3:26" ht="14.55" x14ac:dyDescent="0.3">
      <c r="X278" s="14"/>
      <c r="Y278" s="13"/>
      <c r="Z278" s="15"/>
    </row>
    <row r="279" spans="3:26" ht="14.55" x14ac:dyDescent="0.3">
      <c r="C279" s="83"/>
      <c r="D279" s="83"/>
      <c r="E279" s="83"/>
      <c r="F279" s="83"/>
      <c r="G279" s="83"/>
      <c r="H279" s="83"/>
      <c r="I279" s="83"/>
      <c r="J279" s="83"/>
      <c r="K279" s="83"/>
      <c r="L279" s="83"/>
      <c r="M279" s="83"/>
      <c r="N279" s="83"/>
      <c r="O279" s="83"/>
      <c r="P279" s="83"/>
      <c r="Q279" s="83"/>
      <c r="R279" s="83"/>
      <c r="S279" s="83"/>
      <c r="T279" s="83"/>
      <c r="X279" s="14"/>
      <c r="Y279" s="13"/>
      <c r="Z279" s="15"/>
    </row>
    <row r="280" spans="3:26" ht="14.55" x14ac:dyDescent="0.3">
      <c r="C280" s="83"/>
      <c r="D280" s="83"/>
      <c r="E280" s="83"/>
      <c r="F280" s="83"/>
      <c r="G280" s="83"/>
      <c r="H280" s="83"/>
      <c r="I280" s="83"/>
      <c r="J280" s="83"/>
      <c r="K280" s="83"/>
      <c r="L280" s="83"/>
      <c r="M280" s="83"/>
      <c r="N280" s="83"/>
      <c r="O280" s="83"/>
      <c r="P280" s="83"/>
      <c r="Q280" s="83"/>
      <c r="R280" s="83"/>
      <c r="S280" s="83"/>
      <c r="T280" s="83"/>
      <c r="X280" s="14"/>
      <c r="Y280" s="13"/>
      <c r="Z280" s="15"/>
    </row>
    <row r="281" spans="3:26" ht="14.55" x14ac:dyDescent="0.3">
      <c r="C281" s="83"/>
      <c r="D281" s="83"/>
      <c r="E281" s="83"/>
      <c r="F281" s="83"/>
      <c r="G281" s="83"/>
      <c r="H281" s="83"/>
      <c r="I281" s="83"/>
      <c r="J281" s="83"/>
      <c r="K281" s="83"/>
      <c r="L281" s="83"/>
      <c r="M281" s="83"/>
      <c r="N281" s="83"/>
      <c r="O281" s="83"/>
      <c r="P281" s="83"/>
      <c r="Q281" s="83"/>
      <c r="R281" s="83"/>
      <c r="S281" s="83"/>
      <c r="T281" s="83"/>
      <c r="X281" s="14"/>
      <c r="Y281" s="13"/>
      <c r="Z281" s="15"/>
    </row>
    <row r="282" spans="3:26" ht="14.55" x14ac:dyDescent="0.3">
      <c r="C282" s="83"/>
      <c r="D282" s="83"/>
      <c r="E282" s="83"/>
      <c r="F282" s="83"/>
      <c r="G282" s="83"/>
      <c r="H282" s="83"/>
      <c r="I282" s="83"/>
      <c r="J282" s="83"/>
      <c r="K282" s="83"/>
      <c r="L282" s="83"/>
      <c r="M282" s="83"/>
      <c r="N282" s="83"/>
      <c r="O282" s="83"/>
      <c r="P282" s="83"/>
      <c r="Q282" s="83"/>
      <c r="R282" s="83"/>
      <c r="S282" s="83"/>
      <c r="T282" s="83"/>
      <c r="X282" s="14"/>
      <c r="Y282" s="13"/>
      <c r="Z282" s="15"/>
    </row>
    <row r="283" spans="3:26" ht="14.55" x14ac:dyDescent="0.3">
      <c r="C283" s="83"/>
      <c r="D283" s="83"/>
      <c r="E283" s="83"/>
      <c r="F283" s="83"/>
      <c r="G283" s="83"/>
      <c r="H283" s="83"/>
      <c r="I283" s="83"/>
      <c r="J283" s="83"/>
      <c r="K283" s="83"/>
      <c r="L283" s="83"/>
      <c r="M283" s="83"/>
      <c r="N283" s="83"/>
      <c r="O283" s="83"/>
      <c r="P283" s="83"/>
      <c r="Q283" s="83"/>
      <c r="R283" s="83"/>
      <c r="S283" s="83"/>
      <c r="T283" s="83"/>
      <c r="X283" s="14"/>
      <c r="Y283" s="13"/>
      <c r="Z283" s="15"/>
    </row>
    <row r="284" spans="3:26" ht="14.55" x14ac:dyDescent="0.3">
      <c r="C284" s="83"/>
      <c r="D284" s="83"/>
      <c r="E284" s="83"/>
      <c r="F284" s="83"/>
      <c r="G284" s="83"/>
      <c r="H284" s="83"/>
      <c r="I284" s="83"/>
      <c r="J284" s="83"/>
      <c r="K284" s="83"/>
      <c r="L284" s="83"/>
      <c r="M284" s="83"/>
      <c r="N284" s="83"/>
      <c r="O284" s="83"/>
      <c r="P284" s="83"/>
      <c r="Q284" s="83"/>
      <c r="R284" s="83"/>
      <c r="S284" s="83"/>
      <c r="T284" s="83"/>
      <c r="X284" s="14"/>
      <c r="Y284" s="13"/>
      <c r="Z284" s="15"/>
    </row>
    <row r="285" spans="3:26" ht="14.55" x14ac:dyDescent="0.3">
      <c r="C285" s="83"/>
      <c r="D285" s="83"/>
      <c r="E285" s="83"/>
      <c r="F285" s="83"/>
      <c r="G285" s="83"/>
      <c r="H285" s="83"/>
      <c r="I285" s="83"/>
      <c r="J285" s="83"/>
      <c r="K285" s="83"/>
      <c r="L285" s="83"/>
      <c r="M285" s="83"/>
      <c r="N285" s="83"/>
      <c r="O285" s="83"/>
      <c r="P285" s="83"/>
      <c r="Q285" s="83"/>
      <c r="R285" s="83"/>
      <c r="S285" s="83"/>
      <c r="T285" s="83"/>
      <c r="X285" s="14"/>
      <c r="Y285" s="13"/>
      <c r="Z285" s="15"/>
    </row>
    <row r="286" spans="3:26" ht="14.55" x14ac:dyDescent="0.3">
      <c r="C286" s="83"/>
      <c r="D286" s="83"/>
      <c r="E286" s="83"/>
      <c r="F286" s="83"/>
      <c r="G286" s="83"/>
      <c r="H286" s="83"/>
      <c r="I286" s="83"/>
      <c r="J286" s="83"/>
      <c r="K286" s="83"/>
      <c r="L286" s="83"/>
      <c r="M286" s="83"/>
      <c r="N286" s="83"/>
      <c r="O286" s="83"/>
      <c r="P286" s="83"/>
      <c r="Q286" s="83"/>
      <c r="R286" s="83"/>
      <c r="S286" s="83"/>
      <c r="T286" s="83"/>
      <c r="X286" s="14"/>
      <c r="Y286" s="13"/>
      <c r="Z286" s="15"/>
    </row>
    <row r="287" spans="3:26" ht="14.55" x14ac:dyDescent="0.3">
      <c r="X287" s="14"/>
      <c r="Y287" s="13"/>
      <c r="Z287" s="15"/>
    </row>
    <row r="288" spans="3:26" ht="14.55" x14ac:dyDescent="0.3">
      <c r="X288" s="14"/>
      <c r="Y288" s="13"/>
      <c r="Z288" s="15"/>
    </row>
    <row r="289" spans="24:26" ht="14.55" x14ac:dyDescent="0.3">
      <c r="X289" s="14"/>
      <c r="Y289" s="13"/>
      <c r="Z289" s="15"/>
    </row>
    <row r="290" spans="24:26" ht="14.55" x14ac:dyDescent="0.3">
      <c r="X290" s="14"/>
      <c r="Y290" s="13"/>
      <c r="Z290" s="15"/>
    </row>
    <row r="291" spans="24:26" ht="14.55" x14ac:dyDescent="0.3">
      <c r="X291" s="14"/>
      <c r="Y291" s="13"/>
      <c r="Z291" s="15"/>
    </row>
    <row r="292" spans="24:26" ht="14.55" x14ac:dyDescent="0.3">
      <c r="X292" s="14"/>
      <c r="Y292" s="13"/>
      <c r="Z292" s="15"/>
    </row>
    <row r="293" spans="24:26" ht="14.55" x14ac:dyDescent="0.3">
      <c r="X293" s="14"/>
      <c r="Y293" s="13"/>
      <c r="Z293" s="15"/>
    </row>
    <row r="294" spans="24:26" ht="14.55" x14ac:dyDescent="0.3">
      <c r="X294" s="14"/>
      <c r="Y294" s="13"/>
      <c r="Z294" s="15"/>
    </row>
    <row r="295" spans="24:26" ht="14.55" x14ac:dyDescent="0.3">
      <c r="X295" s="14"/>
      <c r="Y295" s="13"/>
      <c r="Z295" s="15"/>
    </row>
    <row r="296" spans="24:26" ht="14.55" x14ac:dyDescent="0.3">
      <c r="X296" s="14"/>
      <c r="Y296" s="13"/>
      <c r="Z296" s="15"/>
    </row>
    <row r="297" spans="24:26" ht="14.55" x14ac:dyDescent="0.3">
      <c r="X297" s="14"/>
      <c r="Y297" s="13"/>
      <c r="Z297" s="15"/>
    </row>
    <row r="298" spans="24:26" ht="14.55" x14ac:dyDescent="0.3">
      <c r="X298" s="14"/>
      <c r="Y298" s="13"/>
      <c r="Z298" s="15"/>
    </row>
    <row r="299" spans="24:26" ht="14.55" x14ac:dyDescent="0.3">
      <c r="X299" s="14"/>
      <c r="Y299" s="13"/>
      <c r="Z299" s="15"/>
    </row>
    <row r="300" spans="24:26" ht="14.55" x14ac:dyDescent="0.3">
      <c r="X300" s="14"/>
      <c r="Y300" s="13"/>
      <c r="Z300" s="15"/>
    </row>
    <row r="301" spans="24:26" ht="14.55" x14ac:dyDescent="0.3">
      <c r="X301" s="14"/>
      <c r="Y301" s="13"/>
      <c r="Z301" s="15"/>
    </row>
    <row r="302" spans="24:26" ht="14.55" x14ac:dyDescent="0.3">
      <c r="X302" s="14"/>
      <c r="Y302" s="13"/>
      <c r="Z302" s="15"/>
    </row>
    <row r="303" spans="24:26" ht="14.55" x14ac:dyDescent="0.3">
      <c r="X303" s="14"/>
      <c r="Y303" s="13"/>
      <c r="Z303" s="15"/>
    </row>
    <row r="304" spans="24:26" ht="14.55" x14ac:dyDescent="0.3">
      <c r="X304" s="14"/>
      <c r="Y304" s="13"/>
      <c r="Z304" s="15"/>
    </row>
    <row r="305" spans="24:26" ht="14.55" x14ac:dyDescent="0.3">
      <c r="X305" s="14"/>
      <c r="Y305" s="13"/>
      <c r="Z305" s="15"/>
    </row>
    <row r="306" spans="24:26" ht="14.55" x14ac:dyDescent="0.3">
      <c r="X306" s="14"/>
      <c r="Y306" s="13"/>
      <c r="Z306" s="15"/>
    </row>
    <row r="307" spans="24:26" ht="14.55" x14ac:dyDescent="0.3">
      <c r="X307" s="14"/>
      <c r="Y307" s="13"/>
      <c r="Z307" s="15"/>
    </row>
    <row r="308" spans="24:26" ht="14.55" x14ac:dyDescent="0.3">
      <c r="X308" s="14"/>
      <c r="Y308" s="13"/>
      <c r="Z308" s="15"/>
    </row>
    <row r="309" spans="24:26" ht="14.55" x14ac:dyDescent="0.3">
      <c r="X309" s="14"/>
      <c r="Y309" s="13"/>
      <c r="Z309" s="15"/>
    </row>
    <row r="310" spans="24:26" ht="14.55" x14ac:dyDescent="0.3">
      <c r="X310" s="14"/>
      <c r="Y310" s="13"/>
      <c r="Z310" s="15"/>
    </row>
    <row r="311" spans="24:26" ht="14.55" x14ac:dyDescent="0.3">
      <c r="X311" s="14"/>
      <c r="Y311" s="13"/>
      <c r="Z311" s="15"/>
    </row>
    <row r="312" spans="24:26" ht="14.55" x14ac:dyDescent="0.3">
      <c r="X312" s="14"/>
      <c r="Y312" s="13"/>
      <c r="Z312" s="15"/>
    </row>
    <row r="313" spans="24:26" ht="14.55" x14ac:dyDescent="0.3">
      <c r="X313" s="14"/>
      <c r="Y313" s="13"/>
      <c r="Z313" s="15"/>
    </row>
    <row r="314" spans="24:26" ht="14.55" x14ac:dyDescent="0.3">
      <c r="X314" s="14"/>
      <c r="Y314" s="13"/>
      <c r="Z314" s="15"/>
    </row>
    <row r="315" spans="24:26" ht="14.55" x14ac:dyDescent="0.3">
      <c r="X315" s="14"/>
      <c r="Y315" s="13"/>
      <c r="Z315" s="15"/>
    </row>
    <row r="316" spans="24:26" ht="14.55" x14ac:dyDescent="0.3">
      <c r="X316" s="14"/>
      <c r="Y316" s="13"/>
      <c r="Z316" s="15"/>
    </row>
    <row r="317" spans="24:26" ht="14.55" x14ac:dyDescent="0.3">
      <c r="X317" s="14"/>
      <c r="Y317" s="13"/>
      <c r="Z317" s="15"/>
    </row>
    <row r="318" spans="24:26" ht="14.55" x14ac:dyDescent="0.3">
      <c r="X318" s="14"/>
      <c r="Y318" s="13"/>
      <c r="Z318" s="15"/>
    </row>
    <row r="319" spans="24:26" ht="14.55" x14ac:dyDescent="0.3">
      <c r="X319" s="14"/>
      <c r="Y319" s="13"/>
      <c r="Z319" s="15"/>
    </row>
    <row r="320" spans="24:26" ht="14.55" x14ac:dyDescent="0.3">
      <c r="X320" s="14"/>
      <c r="Y320" s="13"/>
      <c r="Z320" s="15"/>
    </row>
    <row r="321" spans="24:26" ht="14.55" x14ac:dyDescent="0.3">
      <c r="X321" s="14"/>
      <c r="Y321" s="13"/>
      <c r="Z321" s="15"/>
    </row>
    <row r="322" spans="24:26" ht="14.55" x14ac:dyDescent="0.3">
      <c r="X322" s="14"/>
      <c r="Y322" s="13"/>
      <c r="Z322" s="15"/>
    </row>
    <row r="323" spans="24:26" ht="14.55" x14ac:dyDescent="0.3">
      <c r="X323" s="14"/>
      <c r="Y323" s="13"/>
      <c r="Z323" s="15"/>
    </row>
    <row r="324" spans="24:26" ht="14.55" x14ac:dyDescent="0.3">
      <c r="X324" s="14"/>
      <c r="Y324" s="13"/>
      <c r="Z324" s="15"/>
    </row>
    <row r="325" spans="24:26" ht="14.55" x14ac:dyDescent="0.3">
      <c r="X325" s="14"/>
      <c r="Y325" s="13"/>
      <c r="Z325" s="15"/>
    </row>
    <row r="326" spans="24:26" ht="14.55" x14ac:dyDescent="0.3">
      <c r="X326" s="14"/>
      <c r="Y326" s="13"/>
      <c r="Z326" s="15"/>
    </row>
    <row r="327" spans="24:26" ht="14.55" x14ac:dyDescent="0.3">
      <c r="X327" s="14"/>
      <c r="Y327" s="13"/>
      <c r="Z327" s="15"/>
    </row>
    <row r="328" spans="24:26" ht="14.55" x14ac:dyDescent="0.3">
      <c r="X328" s="14"/>
      <c r="Y328" s="13"/>
      <c r="Z328" s="15"/>
    </row>
    <row r="329" spans="24:26" ht="14.55" x14ac:dyDescent="0.3">
      <c r="X329" s="14"/>
      <c r="Y329" s="13"/>
      <c r="Z329" s="15"/>
    </row>
    <row r="330" spans="24:26" ht="14.55" x14ac:dyDescent="0.3">
      <c r="X330" s="14"/>
      <c r="Y330" s="13"/>
      <c r="Z330" s="15"/>
    </row>
    <row r="331" spans="24:26" ht="14.55" x14ac:dyDescent="0.3">
      <c r="X331" s="14"/>
      <c r="Y331" s="13"/>
      <c r="Z331" s="15"/>
    </row>
    <row r="332" spans="24:26" ht="14.55" x14ac:dyDescent="0.3">
      <c r="X332" s="14"/>
      <c r="Y332" s="13"/>
      <c r="Z332" s="15"/>
    </row>
    <row r="333" spans="24:26" ht="14.55" x14ac:dyDescent="0.3">
      <c r="X333" s="14"/>
      <c r="Y333" s="13"/>
      <c r="Z333" s="15"/>
    </row>
    <row r="334" spans="24:26" ht="14.55" x14ac:dyDescent="0.3">
      <c r="X334" s="14"/>
      <c r="Y334" s="13"/>
      <c r="Z334" s="15"/>
    </row>
    <row r="335" spans="24:26" ht="14.55" x14ac:dyDescent="0.3">
      <c r="X335" s="14"/>
      <c r="Y335" s="13"/>
      <c r="Z335" s="15"/>
    </row>
    <row r="336" spans="24:26" ht="14.55" x14ac:dyDescent="0.3">
      <c r="X336" s="14"/>
      <c r="Y336" s="13"/>
      <c r="Z336" s="15"/>
    </row>
    <row r="337" spans="24:26" ht="14.55" x14ac:dyDescent="0.3">
      <c r="X337" s="14"/>
      <c r="Y337" s="13"/>
      <c r="Z337" s="15"/>
    </row>
    <row r="338" spans="24:26" ht="14.55" x14ac:dyDescent="0.3">
      <c r="X338" s="14"/>
      <c r="Y338" s="13"/>
      <c r="Z338" s="15"/>
    </row>
    <row r="339" spans="24:26" ht="14.55" x14ac:dyDescent="0.3">
      <c r="X339" s="14"/>
      <c r="Y339" s="13"/>
      <c r="Z339" s="15"/>
    </row>
    <row r="340" spans="24:26" ht="14.55" x14ac:dyDescent="0.3">
      <c r="X340" s="14"/>
      <c r="Y340" s="13"/>
      <c r="Z340" s="15"/>
    </row>
    <row r="341" spans="24:26" ht="14.55" x14ac:dyDescent="0.3">
      <c r="X341" s="14"/>
      <c r="Y341" s="13"/>
      <c r="Z341" s="15"/>
    </row>
    <row r="342" spans="24:26" ht="14.55" x14ac:dyDescent="0.3">
      <c r="X342" s="14"/>
      <c r="Y342" s="13"/>
      <c r="Z342" s="15"/>
    </row>
    <row r="343" spans="24:26" ht="14.55" x14ac:dyDescent="0.3">
      <c r="X343" s="14"/>
      <c r="Y343" s="13"/>
      <c r="Z343" s="15"/>
    </row>
    <row r="344" spans="24:26" ht="14.55" x14ac:dyDescent="0.3">
      <c r="X344" s="14"/>
      <c r="Y344" s="13"/>
      <c r="Z344" s="15"/>
    </row>
    <row r="345" spans="24:26" ht="14.55" x14ac:dyDescent="0.3">
      <c r="X345" s="14"/>
      <c r="Y345" s="13"/>
      <c r="Z345" s="15"/>
    </row>
    <row r="346" spans="24:26" ht="14.55" x14ac:dyDescent="0.3">
      <c r="X346" s="14"/>
      <c r="Y346" s="13"/>
      <c r="Z346" s="15"/>
    </row>
    <row r="347" spans="24:26" ht="14.55" x14ac:dyDescent="0.3">
      <c r="X347" s="14"/>
      <c r="Y347" s="13"/>
      <c r="Z347" s="15"/>
    </row>
    <row r="348" spans="24:26" ht="14.55" x14ac:dyDescent="0.3">
      <c r="X348" s="14"/>
      <c r="Y348" s="13"/>
      <c r="Z348" s="15"/>
    </row>
    <row r="349" spans="24:26" ht="14.55" x14ac:dyDescent="0.3">
      <c r="X349" s="14"/>
      <c r="Y349" s="13"/>
      <c r="Z349" s="15"/>
    </row>
    <row r="350" spans="24:26" ht="14.55" x14ac:dyDescent="0.3">
      <c r="X350" s="14"/>
      <c r="Y350" s="13"/>
      <c r="Z350" s="15"/>
    </row>
    <row r="351" spans="24:26" ht="14.55" x14ac:dyDescent="0.3">
      <c r="X351" s="14"/>
      <c r="Y351" s="13"/>
      <c r="Z351" s="15"/>
    </row>
    <row r="352" spans="24:26" ht="14.55" x14ac:dyDescent="0.3">
      <c r="X352" s="14"/>
      <c r="Y352" s="13"/>
      <c r="Z352" s="15"/>
    </row>
    <row r="353" spans="24:26" ht="14.55" x14ac:dyDescent="0.3">
      <c r="X353" s="14"/>
      <c r="Y353" s="13"/>
      <c r="Z353" s="15"/>
    </row>
    <row r="354" spans="24:26" ht="14.55" x14ac:dyDescent="0.3">
      <c r="X354" s="14"/>
      <c r="Y354" s="13"/>
      <c r="Z354" s="15"/>
    </row>
    <row r="355" spans="24:26" ht="14.55" x14ac:dyDescent="0.3">
      <c r="X355" s="14"/>
      <c r="Y355" s="13"/>
      <c r="Z355" s="15"/>
    </row>
    <row r="356" spans="24:26" ht="14.55" x14ac:dyDescent="0.3">
      <c r="X356" s="14"/>
      <c r="Y356" s="13"/>
      <c r="Z356" s="15"/>
    </row>
    <row r="357" spans="24:26" ht="14.55" x14ac:dyDescent="0.3">
      <c r="X357" s="14"/>
      <c r="Y357" s="13"/>
      <c r="Z357" s="15"/>
    </row>
    <row r="358" spans="24:26" ht="14.55" x14ac:dyDescent="0.3">
      <c r="X358" s="14"/>
      <c r="Y358" s="13"/>
      <c r="Z358" s="15"/>
    </row>
    <row r="359" spans="24:26" ht="14.55" x14ac:dyDescent="0.3">
      <c r="X359" s="14"/>
      <c r="Y359" s="13"/>
      <c r="Z359" s="15"/>
    </row>
    <row r="360" spans="24:26" ht="14.55" x14ac:dyDescent="0.3">
      <c r="X360" s="14"/>
      <c r="Y360" s="13"/>
      <c r="Z360" s="15"/>
    </row>
    <row r="361" spans="24:26" ht="14.55" x14ac:dyDescent="0.3">
      <c r="X361" s="14"/>
      <c r="Y361" s="13"/>
      <c r="Z361" s="15"/>
    </row>
    <row r="362" spans="24:26" ht="14.55" x14ac:dyDescent="0.3">
      <c r="X362" s="14"/>
      <c r="Y362" s="13"/>
      <c r="Z362" s="15"/>
    </row>
    <row r="363" spans="24:26" ht="14.55" x14ac:dyDescent="0.3">
      <c r="X363" s="14"/>
      <c r="Y363" s="13"/>
      <c r="Z363" s="15"/>
    </row>
    <row r="364" spans="24:26" ht="14.55" x14ac:dyDescent="0.3">
      <c r="X364" s="14"/>
      <c r="Y364" s="13"/>
      <c r="Z364" s="15"/>
    </row>
    <row r="365" spans="24:26" ht="14.55" x14ac:dyDescent="0.3">
      <c r="X365" s="14"/>
      <c r="Y365" s="13"/>
      <c r="Z365" s="15"/>
    </row>
    <row r="366" spans="24:26" ht="14.55" x14ac:dyDescent="0.3">
      <c r="X366" s="14"/>
      <c r="Y366" s="13"/>
      <c r="Z366" s="15"/>
    </row>
    <row r="367" spans="24:26" ht="14.55" x14ac:dyDescent="0.3">
      <c r="X367" s="14"/>
      <c r="Y367" s="13"/>
      <c r="Z367" s="15"/>
    </row>
    <row r="368" spans="24:26" ht="14.55" x14ac:dyDescent="0.3">
      <c r="X368" s="14"/>
      <c r="Y368" s="13"/>
      <c r="Z368" s="15"/>
    </row>
    <row r="369" spans="24:26" ht="14.55" x14ac:dyDescent="0.3">
      <c r="X369" s="14"/>
      <c r="Y369" s="13"/>
      <c r="Z369" s="15"/>
    </row>
    <row r="370" spans="24:26" ht="14.55" x14ac:dyDescent="0.3">
      <c r="X370" s="14"/>
      <c r="Y370" s="13"/>
      <c r="Z370" s="15"/>
    </row>
    <row r="371" spans="24:26" ht="14.55" x14ac:dyDescent="0.3">
      <c r="X371" s="14"/>
      <c r="Y371" s="13"/>
      <c r="Z371" s="15"/>
    </row>
    <row r="372" spans="24:26" ht="14.55" x14ac:dyDescent="0.3">
      <c r="X372" s="14"/>
      <c r="Y372" s="13"/>
      <c r="Z372" s="15"/>
    </row>
    <row r="373" spans="24:26" ht="14.55" x14ac:dyDescent="0.3">
      <c r="X373" s="14"/>
      <c r="Y373" s="13"/>
      <c r="Z373" s="15"/>
    </row>
    <row r="374" spans="24:26" ht="14.55" x14ac:dyDescent="0.3">
      <c r="X374" s="14"/>
      <c r="Y374" s="13"/>
      <c r="Z374" s="15"/>
    </row>
    <row r="375" spans="24:26" ht="14.55" x14ac:dyDescent="0.3">
      <c r="X375" s="14"/>
      <c r="Y375" s="13"/>
      <c r="Z375" s="15"/>
    </row>
    <row r="376" spans="24:26" ht="14.55" x14ac:dyDescent="0.3">
      <c r="X376" s="14"/>
      <c r="Y376" s="13"/>
      <c r="Z376" s="15"/>
    </row>
    <row r="377" spans="24:26" ht="14.55" x14ac:dyDescent="0.3">
      <c r="X377" s="14"/>
      <c r="Y377" s="13"/>
      <c r="Z377" s="15"/>
    </row>
    <row r="378" spans="24:26" ht="14.55" x14ac:dyDescent="0.3">
      <c r="X378" s="14"/>
      <c r="Y378" s="13"/>
      <c r="Z378" s="15"/>
    </row>
    <row r="379" spans="24:26" ht="14.55" x14ac:dyDescent="0.3">
      <c r="X379" s="14"/>
      <c r="Y379" s="13"/>
      <c r="Z379" s="15"/>
    </row>
    <row r="380" spans="24:26" ht="14.55" x14ac:dyDescent="0.3">
      <c r="X380" s="14"/>
      <c r="Y380" s="13"/>
      <c r="Z380" s="15"/>
    </row>
    <row r="381" spans="24:26" ht="14.55" x14ac:dyDescent="0.3">
      <c r="X381" s="14"/>
      <c r="Y381" s="13"/>
      <c r="Z381" s="15"/>
    </row>
    <row r="382" spans="24:26" ht="14.55" x14ac:dyDescent="0.3">
      <c r="X382" s="14"/>
      <c r="Y382" s="13"/>
      <c r="Z382" s="15"/>
    </row>
    <row r="383" spans="24:26" ht="14.55" x14ac:dyDescent="0.3">
      <c r="X383" s="14"/>
      <c r="Y383" s="13"/>
      <c r="Z383" s="15"/>
    </row>
    <row r="384" spans="24:26" ht="14.55" x14ac:dyDescent="0.3">
      <c r="X384" s="14"/>
      <c r="Y384" s="13"/>
      <c r="Z384" s="15"/>
    </row>
    <row r="385" spans="24:26" ht="14.55" x14ac:dyDescent="0.3">
      <c r="X385" s="14"/>
      <c r="Y385" s="13"/>
      <c r="Z385" s="15"/>
    </row>
    <row r="386" spans="24:26" ht="14.55" x14ac:dyDescent="0.3">
      <c r="X386" s="14"/>
      <c r="Y386" s="13"/>
      <c r="Z386" s="15"/>
    </row>
    <row r="387" spans="24:26" ht="14.55" x14ac:dyDescent="0.3">
      <c r="X387" s="14"/>
      <c r="Y387" s="13"/>
      <c r="Z387" s="15"/>
    </row>
    <row r="388" spans="24:26" ht="14.55" x14ac:dyDescent="0.3">
      <c r="X388" s="14"/>
      <c r="Y388" s="13"/>
      <c r="Z388" s="15"/>
    </row>
    <row r="389" spans="24:26" ht="14.55" x14ac:dyDescent="0.3">
      <c r="X389" s="14"/>
      <c r="Y389" s="13"/>
      <c r="Z389" s="15"/>
    </row>
    <row r="390" spans="24:26" ht="14.55" x14ac:dyDescent="0.3">
      <c r="X390" s="14"/>
      <c r="Y390" s="13"/>
      <c r="Z390" s="15"/>
    </row>
    <row r="391" spans="24:26" ht="14.55" x14ac:dyDescent="0.3">
      <c r="X391" s="14"/>
      <c r="Y391" s="13"/>
      <c r="Z391" s="15"/>
    </row>
    <row r="392" spans="24:26" ht="14.55" x14ac:dyDescent="0.3">
      <c r="X392" s="14"/>
      <c r="Y392" s="13"/>
      <c r="Z392" s="15"/>
    </row>
    <row r="393" spans="24:26" ht="14.55" x14ac:dyDescent="0.3">
      <c r="X393" s="14"/>
      <c r="Y393" s="13"/>
      <c r="Z393" s="15"/>
    </row>
    <row r="394" spans="24:26" ht="14.55" x14ac:dyDescent="0.3">
      <c r="X394" s="14"/>
      <c r="Y394" s="13"/>
      <c r="Z394" s="15"/>
    </row>
    <row r="395" spans="24:26" ht="14.55" x14ac:dyDescent="0.3">
      <c r="X395" s="14"/>
      <c r="Y395" s="13"/>
      <c r="Z395" s="15"/>
    </row>
    <row r="396" spans="24:26" ht="14.55" x14ac:dyDescent="0.3">
      <c r="X396" s="14"/>
      <c r="Y396" s="13"/>
      <c r="Z396" s="15"/>
    </row>
    <row r="397" spans="24:26" ht="14.55" x14ac:dyDescent="0.3">
      <c r="X397" s="14"/>
      <c r="Y397" s="13"/>
      <c r="Z397" s="15"/>
    </row>
    <row r="398" spans="24:26" ht="14.55" x14ac:dyDescent="0.3">
      <c r="X398" s="14"/>
      <c r="Y398" s="13"/>
      <c r="Z398" s="15"/>
    </row>
    <row r="399" spans="24:26" ht="14.55" x14ac:dyDescent="0.3">
      <c r="X399" s="14"/>
      <c r="Y399" s="13"/>
      <c r="Z399" s="15"/>
    </row>
    <row r="400" spans="24:26" ht="14.55" x14ac:dyDescent="0.3">
      <c r="X400" s="14"/>
      <c r="Y400" s="13"/>
      <c r="Z400" s="15"/>
    </row>
    <row r="401" spans="24:26" ht="14.55" x14ac:dyDescent="0.3">
      <c r="X401" s="14"/>
      <c r="Y401" s="13"/>
      <c r="Z401" s="15"/>
    </row>
    <row r="402" spans="24:26" ht="14.55" x14ac:dyDescent="0.3">
      <c r="X402" s="14"/>
      <c r="Y402" s="13"/>
      <c r="Z402" s="15"/>
    </row>
    <row r="403" spans="24:26" ht="14.55" x14ac:dyDescent="0.3">
      <c r="X403" s="14"/>
      <c r="Y403" s="13"/>
      <c r="Z403" s="15"/>
    </row>
    <row r="404" spans="24:26" ht="14.55" x14ac:dyDescent="0.3">
      <c r="X404" s="14"/>
      <c r="Y404" s="13"/>
      <c r="Z404" s="15"/>
    </row>
    <row r="405" spans="24:26" ht="14.55" x14ac:dyDescent="0.3">
      <c r="X405" s="14"/>
      <c r="Y405" s="13"/>
      <c r="Z405" s="15"/>
    </row>
    <row r="406" spans="24:26" ht="14.55" x14ac:dyDescent="0.3">
      <c r="X406" s="14"/>
      <c r="Y406" s="13"/>
      <c r="Z406" s="15"/>
    </row>
    <row r="407" spans="24:26" ht="14.55" x14ac:dyDescent="0.3">
      <c r="X407" s="14"/>
      <c r="Y407" s="13"/>
      <c r="Z407" s="15"/>
    </row>
    <row r="408" spans="24:26" ht="14.55" x14ac:dyDescent="0.3">
      <c r="X408" s="14"/>
      <c r="Y408" s="13"/>
      <c r="Z408" s="15"/>
    </row>
    <row r="409" spans="24:26" ht="14.55" x14ac:dyDescent="0.3">
      <c r="X409" s="14"/>
      <c r="Y409" s="13"/>
      <c r="Z409" s="15"/>
    </row>
    <row r="410" spans="24:26" ht="14.55" x14ac:dyDescent="0.3">
      <c r="X410" s="14"/>
      <c r="Y410" s="13"/>
      <c r="Z410" s="15"/>
    </row>
    <row r="411" spans="24:26" ht="14.55" x14ac:dyDescent="0.3">
      <c r="X411" s="14"/>
      <c r="Y411" s="13"/>
      <c r="Z411" s="15"/>
    </row>
    <row r="412" spans="24:26" ht="14.55" x14ac:dyDescent="0.3">
      <c r="X412" s="14"/>
      <c r="Y412" s="13"/>
      <c r="Z412" s="15"/>
    </row>
    <row r="413" spans="24:26" ht="14.55" x14ac:dyDescent="0.3">
      <c r="X413" s="14"/>
      <c r="Y413" s="13"/>
      <c r="Z413" s="15"/>
    </row>
    <row r="414" spans="24:26" ht="14.55" x14ac:dyDescent="0.3">
      <c r="X414" s="14"/>
      <c r="Y414" s="13"/>
      <c r="Z414" s="15"/>
    </row>
    <row r="415" spans="24:26" ht="14.55" x14ac:dyDescent="0.3">
      <c r="X415" s="14"/>
      <c r="Y415" s="13"/>
      <c r="Z415" s="15"/>
    </row>
    <row r="416" spans="24:26" ht="14.55" x14ac:dyDescent="0.3">
      <c r="X416" s="14"/>
      <c r="Y416" s="13"/>
      <c r="Z416" s="15"/>
    </row>
    <row r="417" spans="24:26" ht="14.55" x14ac:dyDescent="0.3">
      <c r="X417" s="14"/>
      <c r="Y417" s="13"/>
      <c r="Z417" s="15"/>
    </row>
    <row r="418" spans="24:26" ht="14.55" x14ac:dyDescent="0.3">
      <c r="X418" s="14"/>
      <c r="Y418" s="13"/>
      <c r="Z418" s="15"/>
    </row>
    <row r="419" spans="24:26" ht="14.55" x14ac:dyDescent="0.3">
      <c r="X419" s="14"/>
      <c r="Y419" s="13"/>
      <c r="Z419" s="15"/>
    </row>
    <row r="420" spans="24:26" ht="14.55" x14ac:dyDescent="0.3">
      <c r="X420" s="14"/>
      <c r="Y420" s="13"/>
      <c r="Z420" s="15"/>
    </row>
    <row r="421" spans="24:26" ht="14.55" x14ac:dyDescent="0.3">
      <c r="X421" s="14"/>
      <c r="Y421" s="13"/>
      <c r="Z421" s="15"/>
    </row>
    <row r="422" spans="24:26" ht="14.55" x14ac:dyDescent="0.3">
      <c r="X422" s="14"/>
      <c r="Y422" s="13"/>
      <c r="Z422" s="15"/>
    </row>
    <row r="423" spans="24:26" ht="14.55" x14ac:dyDescent="0.3">
      <c r="X423" s="14"/>
      <c r="Y423" s="13"/>
      <c r="Z423" s="15"/>
    </row>
    <row r="424" spans="24:26" ht="14.55" x14ac:dyDescent="0.3">
      <c r="X424" s="14"/>
      <c r="Y424" s="13"/>
      <c r="Z424" s="15"/>
    </row>
    <row r="425" spans="24:26" ht="14.55" x14ac:dyDescent="0.3">
      <c r="X425" s="14"/>
      <c r="Y425" s="13"/>
      <c r="Z425" s="15"/>
    </row>
    <row r="426" spans="24:26" ht="14.55" x14ac:dyDescent="0.3">
      <c r="X426" s="14"/>
      <c r="Y426" s="13"/>
      <c r="Z426" s="15"/>
    </row>
    <row r="427" spans="24:26" ht="14.55" x14ac:dyDescent="0.3">
      <c r="X427" s="14"/>
      <c r="Y427" s="13"/>
      <c r="Z427" s="15"/>
    </row>
    <row r="428" spans="24:26" ht="14.55" x14ac:dyDescent="0.3">
      <c r="X428" s="14"/>
      <c r="Y428" s="13"/>
      <c r="Z428" s="15"/>
    </row>
    <row r="429" spans="24:26" ht="14.55" x14ac:dyDescent="0.3">
      <c r="X429" s="14"/>
      <c r="Y429" s="13"/>
      <c r="Z429" s="15"/>
    </row>
    <row r="430" spans="24:26" ht="14.55" x14ac:dyDescent="0.3">
      <c r="X430" s="14"/>
      <c r="Y430" s="13"/>
      <c r="Z430" s="15"/>
    </row>
    <row r="431" spans="24:26" ht="14.55" x14ac:dyDescent="0.3">
      <c r="X431" s="14"/>
      <c r="Y431" s="13"/>
      <c r="Z431" s="15"/>
    </row>
    <row r="432" spans="24:26" ht="14.55" x14ac:dyDescent="0.3">
      <c r="X432" s="14"/>
      <c r="Y432" s="13"/>
      <c r="Z432" s="15"/>
    </row>
    <row r="433" spans="24:26" ht="14.55" x14ac:dyDescent="0.3">
      <c r="X433" s="14"/>
      <c r="Y433" s="13"/>
      <c r="Z433" s="15"/>
    </row>
    <row r="434" spans="24:26" ht="14.55" x14ac:dyDescent="0.3">
      <c r="X434" s="14"/>
      <c r="Y434" s="13"/>
      <c r="Z434" s="15"/>
    </row>
    <row r="435" spans="24:26" ht="14.55" x14ac:dyDescent="0.3">
      <c r="X435" s="14"/>
      <c r="Y435" s="13"/>
      <c r="Z435" s="15"/>
    </row>
    <row r="436" spans="24:26" ht="14.55" x14ac:dyDescent="0.3">
      <c r="X436" s="14"/>
      <c r="Y436" s="13"/>
      <c r="Z436" s="15"/>
    </row>
    <row r="437" spans="24:26" ht="14.55" x14ac:dyDescent="0.3">
      <c r="X437" s="14"/>
      <c r="Y437" s="13"/>
      <c r="Z437" s="15"/>
    </row>
    <row r="438" spans="24:26" ht="14.55" x14ac:dyDescent="0.3">
      <c r="X438" s="14"/>
      <c r="Y438" s="13"/>
      <c r="Z438" s="15"/>
    </row>
    <row r="439" spans="24:26" ht="14.55" x14ac:dyDescent="0.3">
      <c r="X439" s="14"/>
      <c r="Y439" s="13"/>
      <c r="Z439" s="15"/>
    </row>
    <row r="440" spans="24:26" ht="14.55" x14ac:dyDescent="0.3">
      <c r="X440" s="14"/>
      <c r="Y440" s="13"/>
      <c r="Z440" s="15"/>
    </row>
    <row r="441" spans="24:26" ht="14.55" x14ac:dyDescent="0.3">
      <c r="X441" s="14"/>
      <c r="Y441" s="13"/>
      <c r="Z441" s="15"/>
    </row>
    <row r="442" spans="24:26" ht="14.55" x14ac:dyDescent="0.3">
      <c r="X442" s="14"/>
      <c r="Y442" s="13"/>
      <c r="Z442" s="15"/>
    </row>
    <row r="443" spans="24:26" ht="14.55" x14ac:dyDescent="0.3">
      <c r="X443" s="14"/>
      <c r="Y443" s="13"/>
      <c r="Z443" s="15"/>
    </row>
    <row r="444" spans="24:26" ht="14.55" x14ac:dyDescent="0.3">
      <c r="X444" s="14"/>
      <c r="Y444" s="13"/>
      <c r="Z444" s="15"/>
    </row>
    <row r="445" spans="24:26" ht="14.55" x14ac:dyDescent="0.3">
      <c r="X445" s="14"/>
      <c r="Y445" s="13"/>
      <c r="Z445" s="15"/>
    </row>
    <row r="446" spans="24:26" ht="14.55" x14ac:dyDescent="0.3">
      <c r="X446" s="14"/>
      <c r="Y446" s="13"/>
      <c r="Z446" s="15"/>
    </row>
    <row r="447" spans="24:26" ht="14.55" x14ac:dyDescent="0.3">
      <c r="X447" s="14"/>
      <c r="Y447" s="13"/>
      <c r="Z447" s="15"/>
    </row>
    <row r="448" spans="24:26" ht="14.55" x14ac:dyDescent="0.3">
      <c r="X448" s="14"/>
      <c r="Y448" s="13"/>
      <c r="Z448" s="15"/>
    </row>
    <row r="449" spans="24:26" ht="14.55" x14ac:dyDescent="0.3">
      <c r="X449" s="14"/>
      <c r="Y449" s="13"/>
      <c r="Z449" s="15"/>
    </row>
    <row r="450" spans="24:26" ht="14.55" x14ac:dyDescent="0.3">
      <c r="X450" s="14"/>
      <c r="Y450" s="13"/>
      <c r="Z450" s="15"/>
    </row>
    <row r="451" spans="24:26" ht="14.55" x14ac:dyDescent="0.3">
      <c r="X451" s="14"/>
      <c r="Y451" s="13"/>
      <c r="Z451" s="15"/>
    </row>
    <row r="452" spans="24:26" ht="14.55" x14ac:dyDescent="0.3">
      <c r="X452" s="14"/>
      <c r="Y452" s="13"/>
      <c r="Z452" s="15"/>
    </row>
    <row r="453" spans="24:26" ht="14.55" x14ac:dyDescent="0.3">
      <c r="X453" s="14"/>
      <c r="Y453" s="13"/>
      <c r="Z453" s="15"/>
    </row>
    <row r="454" spans="24:26" ht="14.55" x14ac:dyDescent="0.3">
      <c r="X454" s="14"/>
      <c r="Y454" s="13"/>
      <c r="Z454" s="15"/>
    </row>
    <row r="455" spans="24:26" ht="14.55" x14ac:dyDescent="0.3">
      <c r="X455" s="14"/>
      <c r="Y455" s="13"/>
      <c r="Z455" s="15"/>
    </row>
    <row r="456" spans="24:26" ht="14.55" x14ac:dyDescent="0.3">
      <c r="X456" s="14"/>
      <c r="Y456" s="13"/>
      <c r="Z456" s="15"/>
    </row>
    <row r="457" spans="24:26" ht="14.55" x14ac:dyDescent="0.3">
      <c r="X457" s="14"/>
      <c r="Y457" s="13"/>
      <c r="Z457" s="15"/>
    </row>
    <row r="458" spans="24:26" ht="14.55" x14ac:dyDescent="0.3">
      <c r="X458" s="14"/>
      <c r="Y458" s="13"/>
      <c r="Z458" s="15"/>
    </row>
    <row r="459" spans="24:26" ht="14.55" x14ac:dyDescent="0.3">
      <c r="X459" s="14"/>
      <c r="Y459" s="13"/>
      <c r="Z459" s="15"/>
    </row>
    <row r="460" spans="24:26" ht="14.55" x14ac:dyDescent="0.3">
      <c r="X460" s="14"/>
      <c r="Y460" s="13"/>
      <c r="Z460" s="15"/>
    </row>
    <row r="461" spans="24:26" ht="14.55" x14ac:dyDescent="0.3">
      <c r="X461" s="14"/>
      <c r="Y461" s="13"/>
      <c r="Z461" s="15"/>
    </row>
    <row r="462" spans="24:26" ht="14.55" x14ac:dyDescent="0.3">
      <c r="X462" s="14"/>
      <c r="Y462" s="13"/>
      <c r="Z462" s="15"/>
    </row>
    <row r="463" spans="24:26" ht="14.55" x14ac:dyDescent="0.3">
      <c r="X463" s="14"/>
      <c r="Y463" s="13"/>
      <c r="Z463" s="15"/>
    </row>
    <row r="464" spans="24:26" ht="14.55" x14ac:dyDescent="0.3">
      <c r="X464" s="14"/>
      <c r="Y464" s="13"/>
      <c r="Z464" s="15"/>
    </row>
    <row r="465" spans="24:26" ht="14.55" x14ac:dyDescent="0.3">
      <c r="X465" s="14"/>
      <c r="Y465" s="13"/>
      <c r="Z465" s="15"/>
    </row>
    <row r="466" spans="24:26" ht="14.55" x14ac:dyDescent="0.3">
      <c r="X466" s="14"/>
      <c r="Y466" s="13"/>
      <c r="Z466" s="15"/>
    </row>
    <row r="467" spans="24:26" ht="14.55" x14ac:dyDescent="0.3">
      <c r="X467" s="14"/>
      <c r="Y467" s="13"/>
      <c r="Z467" s="15"/>
    </row>
    <row r="468" spans="24:26" ht="14.55" x14ac:dyDescent="0.3">
      <c r="X468" s="14"/>
      <c r="Y468" s="13"/>
      <c r="Z468" s="15"/>
    </row>
    <row r="469" spans="24:26" ht="14.55" x14ac:dyDescent="0.3">
      <c r="X469" s="14"/>
      <c r="Y469" s="13"/>
      <c r="Z469" s="15"/>
    </row>
    <row r="470" spans="24:26" ht="14.55" x14ac:dyDescent="0.3">
      <c r="X470" s="14"/>
      <c r="Y470" s="13"/>
      <c r="Z470" s="15"/>
    </row>
    <row r="471" spans="24:26" ht="14.55" x14ac:dyDescent="0.3">
      <c r="X471" s="14"/>
      <c r="Y471" s="13"/>
      <c r="Z471" s="15"/>
    </row>
    <row r="472" spans="24:26" ht="14.55" x14ac:dyDescent="0.3">
      <c r="X472" s="14"/>
      <c r="Y472" s="13"/>
      <c r="Z472" s="15"/>
    </row>
    <row r="473" spans="24:26" ht="14.55" x14ac:dyDescent="0.3">
      <c r="X473" s="14"/>
      <c r="Y473" s="13"/>
      <c r="Z473" s="15"/>
    </row>
    <row r="474" spans="24:26" ht="14.55" x14ac:dyDescent="0.3">
      <c r="X474" s="14"/>
      <c r="Y474" s="13"/>
      <c r="Z474" s="15"/>
    </row>
    <row r="475" spans="24:26" ht="14.55" x14ac:dyDescent="0.3">
      <c r="X475" s="14"/>
      <c r="Y475" s="13"/>
      <c r="Z475" s="15"/>
    </row>
    <row r="476" spans="24:26" ht="14.55" x14ac:dyDescent="0.3">
      <c r="X476" s="14"/>
      <c r="Y476" s="13"/>
      <c r="Z476" s="15"/>
    </row>
    <row r="477" spans="24:26" ht="14.55" x14ac:dyDescent="0.3">
      <c r="X477" s="14"/>
      <c r="Y477" s="13"/>
      <c r="Z477" s="15"/>
    </row>
    <row r="478" spans="24:26" ht="14.55" x14ac:dyDescent="0.3">
      <c r="X478" s="14"/>
      <c r="Y478" s="13"/>
      <c r="Z478" s="15"/>
    </row>
    <row r="479" spans="24:26" ht="14.55" x14ac:dyDescent="0.3">
      <c r="X479" s="14"/>
      <c r="Y479" s="13"/>
      <c r="Z479" s="15"/>
    </row>
    <row r="480" spans="24:26" ht="14.55" x14ac:dyDescent="0.3">
      <c r="X480" s="14"/>
      <c r="Y480" s="13"/>
      <c r="Z480" s="15"/>
    </row>
    <row r="481" spans="24:26" ht="14.55" x14ac:dyDescent="0.3">
      <c r="X481" s="14"/>
      <c r="Y481" s="13"/>
      <c r="Z481" s="15"/>
    </row>
    <row r="482" spans="24:26" ht="14.55" x14ac:dyDescent="0.3">
      <c r="X482" s="14"/>
      <c r="Y482" s="13"/>
      <c r="Z482" s="15"/>
    </row>
    <row r="483" spans="24:26" ht="14.55" x14ac:dyDescent="0.3">
      <c r="X483" s="14"/>
      <c r="Y483" s="13"/>
      <c r="Z483" s="15"/>
    </row>
    <row r="484" spans="24:26" ht="14.55" x14ac:dyDescent="0.3">
      <c r="X484" s="14"/>
      <c r="Y484" s="13"/>
      <c r="Z484" s="15"/>
    </row>
    <row r="485" spans="24:26" ht="14.55" x14ac:dyDescent="0.3">
      <c r="X485" s="14"/>
      <c r="Y485" s="13"/>
      <c r="Z485" s="15"/>
    </row>
    <row r="486" spans="24:26" ht="14.55" x14ac:dyDescent="0.3">
      <c r="X486" s="14"/>
      <c r="Y486" s="13"/>
      <c r="Z486" s="15"/>
    </row>
    <row r="487" spans="24:26" ht="14.55" x14ac:dyDescent="0.3">
      <c r="X487" s="14"/>
      <c r="Y487" s="13"/>
      <c r="Z487" s="15"/>
    </row>
    <row r="488" spans="24:26" ht="14.55" x14ac:dyDescent="0.3">
      <c r="X488" s="14"/>
      <c r="Y488" s="13"/>
      <c r="Z488" s="15"/>
    </row>
    <row r="489" spans="24:26" ht="14.55" x14ac:dyDescent="0.3">
      <c r="X489" s="14"/>
      <c r="Y489" s="13"/>
      <c r="Z489" s="15"/>
    </row>
    <row r="490" spans="24:26" ht="14.55" x14ac:dyDescent="0.3">
      <c r="X490" s="14"/>
      <c r="Y490" s="13"/>
      <c r="Z490" s="15"/>
    </row>
    <row r="491" spans="24:26" ht="14.55" x14ac:dyDescent="0.3">
      <c r="X491" s="14"/>
      <c r="Y491" s="13"/>
      <c r="Z491" s="15"/>
    </row>
    <row r="492" spans="24:26" ht="14.55" x14ac:dyDescent="0.3">
      <c r="X492" s="14"/>
      <c r="Y492" s="13"/>
      <c r="Z492" s="15"/>
    </row>
    <row r="493" spans="24:26" ht="14.55" x14ac:dyDescent="0.3">
      <c r="X493" s="14"/>
      <c r="Y493" s="13"/>
      <c r="Z493" s="15"/>
    </row>
    <row r="494" spans="24:26" ht="14.55" x14ac:dyDescent="0.3">
      <c r="X494" s="14"/>
      <c r="Y494" s="13"/>
      <c r="Z494" s="15"/>
    </row>
    <row r="495" spans="24:26" ht="14.55" x14ac:dyDescent="0.3">
      <c r="X495" s="14"/>
      <c r="Y495" s="13"/>
      <c r="Z495" s="15"/>
    </row>
    <row r="496" spans="24:26" ht="14.55" x14ac:dyDescent="0.3">
      <c r="X496" s="14"/>
      <c r="Y496" s="13"/>
      <c r="Z496" s="15"/>
    </row>
    <row r="497" spans="24:26" ht="14.55" x14ac:dyDescent="0.3">
      <c r="X497" s="14"/>
      <c r="Y497" s="13"/>
      <c r="Z497" s="15"/>
    </row>
    <row r="498" spans="24:26" ht="14.55" x14ac:dyDescent="0.3">
      <c r="X498" s="14"/>
      <c r="Y498" s="13"/>
      <c r="Z498" s="15"/>
    </row>
    <row r="499" spans="24:26" ht="14.55" x14ac:dyDescent="0.3">
      <c r="X499" s="14"/>
      <c r="Y499" s="13"/>
      <c r="Z499" s="15"/>
    </row>
    <row r="500" spans="24:26" ht="14.55" x14ac:dyDescent="0.3">
      <c r="X500" s="14"/>
      <c r="Y500" s="13"/>
      <c r="Z500" s="15"/>
    </row>
    <row r="501" spans="24:26" ht="14.55" x14ac:dyDescent="0.3">
      <c r="X501" s="14"/>
      <c r="Y501" s="13"/>
      <c r="Z501" s="15"/>
    </row>
    <row r="502" spans="24:26" ht="14.55" x14ac:dyDescent="0.3">
      <c r="X502" s="14"/>
      <c r="Y502" s="13"/>
      <c r="Z502" s="15"/>
    </row>
    <row r="503" spans="24:26" ht="14.55" x14ac:dyDescent="0.3">
      <c r="X503" s="14"/>
      <c r="Y503" s="13"/>
      <c r="Z503" s="15"/>
    </row>
    <row r="504" spans="24:26" ht="14.55" x14ac:dyDescent="0.3">
      <c r="X504" s="14"/>
      <c r="Y504" s="13"/>
      <c r="Z504" s="15"/>
    </row>
    <row r="505" spans="24:26" ht="14.55" x14ac:dyDescent="0.3">
      <c r="X505" s="14"/>
      <c r="Y505" s="13"/>
      <c r="Z505" s="15"/>
    </row>
    <row r="506" spans="24:26" ht="14.55" x14ac:dyDescent="0.3">
      <c r="X506" s="14"/>
      <c r="Y506" s="13"/>
      <c r="Z506" s="15"/>
    </row>
    <row r="507" spans="24:26" ht="14.55" x14ac:dyDescent="0.3">
      <c r="X507" s="14"/>
      <c r="Y507" s="13"/>
      <c r="Z507" s="15"/>
    </row>
    <row r="508" spans="24:26" ht="14.55" x14ac:dyDescent="0.3">
      <c r="X508" s="14"/>
      <c r="Y508" s="13"/>
      <c r="Z508" s="15"/>
    </row>
    <row r="509" spans="24:26" ht="14.55" x14ac:dyDescent="0.3">
      <c r="X509" s="14"/>
      <c r="Y509" s="13"/>
      <c r="Z509" s="15"/>
    </row>
    <row r="510" spans="24:26" ht="14.55" x14ac:dyDescent="0.3">
      <c r="X510" s="14"/>
      <c r="Y510" s="13"/>
      <c r="Z510" s="15"/>
    </row>
    <row r="511" spans="24:26" ht="14.55" x14ac:dyDescent="0.3">
      <c r="X511" s="14"/>
      <c r="Y511" s="13"/>
      <c r="Z511" s="15"/>
    </row>
    <row r="512" spans="24:26" ht="14.55" x14ac:dyDescent="0.3">
      <c r="X512" s="14"/>
      <c r="Y512" s="13"/>
      <c r="Z512" s="15"/>
    </row>
    <row r="513" spans="24:26" ht="14.55" x14ac:dyDescent="0.3">
      <c r="X513" s="14"/>
      <c r="Y513" s="13"/>
      <c r="Z513" s="15"/>
    </row>
    <row r="514" spans="24:26" ht="14.55" x14ac:dyDescent="0.3">
      <c r="X514" s="14"/>
      <c r="Y514" s="13"/>
      <c r="Z514" s="15"/>
    </row>
    <row r="515" spans="24:26" ht="14.55" x14ac:dyDescent="0.3">
      <c r="X515" s="14"/>
      <c r="Y515" s="13"/>
      <c r="Z515" s="15"/>
    </row>
    <row r="516" spans="24:26" ht="14.55" x14ac:dyDescent="0.3">
      <c r="X516" s="14"/>
      <c r="Y516" s="13"/>
      <c r="Z516" s="15"/>
    </row>
    <row r="517" spans="24:26" ht="14.55" x14ac:dyDescent="0.3">
      <c r="X517" s="14"/>
      <c r="Y517" s="13"/>
      <c r="Z517" s="15"/>
    </row>
    <row r="518" spans="24:26" ht="14.55" x14ac:dyDescent="0.3">
      <c r="X518" s="14"/>
      <c r="Y518" s="13"/>
      <c r="Z518" s="15"/>
    </row>
    <row r="519" spans="24:26" ht="14.55" x14ac:dyDescent="0.3">
      <c r="X519" s="14"/>
      <c r="Y519" s="13"/>
      <c r="Z519" s="15"/>
    </row>
    <row r="520" spans="24:26" ht="14.55" x14ac:dyDescent="0.3">
      <c r="X520" s="14"/>
      <c r="Y520" s="13"/>
      <c r="Z520" s="15"/>
    </row>
    <row r="521" spans="24:26" ht="14.55" x14ac:dyDescent="0.3">
      <c r="X521" s="14"/>
      <c r="Y521" s="13"/>
      <c r="Z521" s="15"/>
    </row>
    <row r="522" spans="24:26" ht="14.55" x14ac:dyDescent="0.3">
      <c r="X522" s="14"/>
      <c r="Y522" s="13"/>
      <c r="Z522" s="15"/>
    </row>
    <row r="523" spans="24:26" ht="14.55" x14ac:dyDescent="0.3">
      <c r="X523" s="14"/>
      <c r="Y523" s="13"/>
      <c r="Z523" s="15"/>
    </row>
    <row r="524" spans="24:26" ht="14.55" x14ac:dyDescent="0.3">
      <c r="X524" s="14"/>
      <c r="Y524" s="13"/>
      <c r="Z524" s="15"/>
    </row>
    <row r="525" spans="24:26" ht="14.55" x14ac:dyDescent="0.3">
      <c r="X525" s="14"/>
      <c r="Y525" s="13"/>
      <c r="Z525" s="15"/>
    </row>
    <row r="526" spans="24:26" ht="14.55" x14ac:dyDescent="0.3">
      <c r="X526" s="14"/>
      <c r="Y526" s="13"/>
      <c r="Z526" s="15"/>
    </row>
    <row r="527" spans="24:26" ht="14.55" x14ac:dyDescent="0.3">
      <c r="X527" s="14"/>
      <c r="Y527" s="13"/>
      <c r="Z527" s="15"/>
    </row>
    <row r="528" spans="24:26" ht="14.55" x14ac:dyDescent="0.3">
      <c r="X528" s="14"/>
      <c r="Y528" s="13"/>
      <c r="Z528" s="15"/>
    </row>
    <row r="529" spans="24:26" ht="14.55" x14ac:dyDescent="0.3">
      <c r="X529" s="14"/>
      <c r="Y529" s="13"/>
      <c r="Z529" s="15"/>
    </row>
    <row r="530" spans="24:26" ht="14.55" x14ac:dyDescent="0.3">
      <c r="X530" s="14"/>
      <c r="Y530" s="13"/>
      <c r="Z530" s="15"/>
    </row>
    <row r="531" spans="24:26" ht="14.55" x14ac:dyDescent="0.3">
      <c r="X531" s="14"/>
      <c r="Y531" s="13"/>
      <c r="Z531" s="15"/>
    </row>
    <row r="532" spans="24:26" ht="14.55" x14ac:dyDescent="0.3">
      <c r="X532" s="14"/>
      <c r="Y532" s="13"/>
      <c r="Z532" s="15"/>
    </row>
    <row r="533" spans="24:26" ht="14.55" x14ac:dyDescent="0.3">
      <c r="X533" s="14"/>
      <c r="Y533" s="13"/>
      <c r="Z533" s="15"/>
    </row>
    <row r="534" spans="24:26" ht="14.55" x14ac:dyDescent="0.3">
      <c r="X534" s="14"/>
      <c r="Y534" s="13"/>
      <c r="Z534" s="15"/>
    </row>
    <row r="535" spans="24:26" ht="14.55" x14ac:dyDescent="0.3">
      <c r="X535" s="14"/>
      <c r="Y535" s="13"/>
      <c r="Z535" s="15"/>
    </row>
    <row r="536" spans="24:26" ht="14.55" x14ac:dyDescent="0.3">
      <c r="X536" s="14"/>
      <c r="Y536" s="13"/>
      <c r="Z536" s="15"/>
    </row>
    <row r="537" spans="24:26" ht="14.55" x14ac:dyDescent="0.3">
      <c r="X537" s="14"/>
      <c r="Y537" s="13"/>
      <c r="Z537" s="15"/>
    </row>
    <row r="538" spans="24:26" ht="14.55" x14ac:dyDescent="0.3">
      <c r="X538" s="14"/>
      <c r="Y538" s="13"/>
      <c r="Z538" s="15"/>
    </row>
    <row r="539" spans="24:26" ht="14.55" x14ac:dyDescent="0.3">
      <c r="X539" s="14"/>
      <c r="Y539" s="13"/>
      <c r="Z539" s="15"/>
    </row>
    <row r="540" spans="24:26" ht="14.55" x14ac:dyDescent="0.3">
      <c r="X540" s="14"/>
      <c r="Y540" s="13"/>
      <c r="Z540" s="15"/>
    </row>
    <row r="541" spans="24:26" ht="14.55" x14ac:dyDescent="0.3">
      <c r="X541" s="14"/>
      <c r="Y541" s="13"/>
      <c r="Z541" s="15"/>
    </row>
    <row r="542" spans="24:26" ht="14.55" x14ac:dyDescent="0.3">
      <c r="X542" s="14"/>
      <c r="Y542" s="13"/>
      <c r="Z542" s="15"/>
    </row>
    <row r="543" spans="24:26" ht="14.55" x14ac:dyDescent="0.3">
      <c r="X543" s="14"/>
      <c r="Y543" s="13"/>
      <c r="Z543" s="15"/>
    </row>
    <row r="544" spans="24:26" ht="14.55" x14ac:dyDescent="0.3">
      <c r="X544" s="14"/>
      <c r="Y544" s="13"/>
      <c r="Z544" s="15"/>
    </row>
    <row r="545" spans="24:26" ht="14.55" x14ac:dyDescent="0.3">
      <c r="X545" s="14"/>
      <c r="Y545" s="13"/>
      <c r="Z545" s="15"/>
    </row>
    <row r="546" spans="24:26" ht="14.55" x14ac:dyDescent="0.3">
      <c r="X546" s="14"/>
      <c r="Y546" s="13"/>
      <c r="Z546" s="15"/>
    </row>
    <row r="547" spans="24:26" ht="14.55" x14ac:dyDescent="0.3">
      <c r="X547" s="14"/>
      <c r="Y547" s="13"/>
      <c r="Z547" s="15"/>
    </row>
    <row r="548" spans="24:26" ht="14.55" x14ac:dyDescent="0.3">
      <c r="X548" s="14"/>
      <c r="Y548" s="13"/>
      <c r="Z548" s="15"/>
    </row>
    <row r="549" spans="24:26" ht="14.55" x14ac:dyDescent="0.3">
      <c r="X549" s="14"/>
      <c r="Y549" s="13"/>
      <c r="Z549" s="15"/>
    </row>
    <row r="550" spans="24:26" ht="14.55" x14ac:dyDescent="0.3">
      <c r="X550" s="14"/>
      <c r="Y550" s="13"/>
      <c r="Z550" s="15"/>
    </row>
    <row r="551" spans="24:26" ht="14.55" x14ac:dyDescent="0.3">
      <c r="X551" s="14"/>
      <c r="Y551" s="13"/>
      <c r="Z551" s="15"/>
    </row>
    <row r="552" spans="24:26" ht="14.55" x14ac:dyDescent="0.3">
      <c r="X552" s="14"/>
      <c r="Y552" s="13"/>
      <c r="Z552" s="15"/>
    </row>
    <row r="553" spans="24:26" ht="14.55" x14ac:dyDescent="0.3">
      <c r="X553" s="14"/>
      <c r="Y553" s="13"/>
      <c r="Z553" s="15"/>
    </row>
    <row r="554" spans="24:26" ht="14.55" x14ac:dyDescent="0.3">
      <c r="X554" s="14"/>
      <c r="Y554" s="13"/>
      <c r="Z554" s="15"/>
    </row>
    <row r="555" spans="24:26" ht="14.55" x14ac:dyDescent="0.3">
      <c r="X555" s="14"/>
      <c r="Y555" s="13"/>
      <c r="Z555" s="15"/>
    </row>
    <row r="556" spans="24:26" ht="14.55" x14ac:dyDescent="0.3">
      <c r="X556" s="14"/>
      <c r="Y556" s="13"/>
      <c r="Z556" s="15"/>
    </row>
    <row r="557" spans="24:26" ht="14.55" x14ac:dyDescent="0.3">
      <c r="X557" s="14"/>
      <c r="Y557" s="13"/>
      <c r="Z557" s="15"/>
    </row>
    <row r="558" spans="24:26" ht="14.55" x14ac:dyDescent="0.3">
      <c r="X558" s="14"/>
      <c r="Y558" s="13"/>
      <c r="Z558" s="15"/>
    </row>
    <row r="559" spans="24:26" ht="14.55" x14ac:dyDescent="0.3">
      <c r="X559" s="14"/>
      <c r="Y559" s="13"/>
      <c r="Z559" s="15"/>
    </row>
    <row r="560" spans="24:26" ht="14.55" x14ac:dyDescent="0.3">
      <c r="X560" s="14"/>
      <c r="Y560" s="13"/>
      <c r="Z560" s="15"/>
    </row>
    <row r="561" spans="24:26" ht="14.55" x14ac:dyDescent="0.3">
      <c r="X561" s="14"/>
      <c r="Y561" s="13"/>
      <c r="Z561" s="15"/>
    </row>
    <row r="562" spans="24:26" ht="14.55" x14ac:dyDescent="0.3">
      <c r="X562" s="14"/>
      <c r="Y562" s="13"/>
      <c r="Z562" s="15"/>
    </row>
    <row r="563" spans="24:26" ht="14.55" x14ac:dyDescent="0.3">
      <c r="X563" s="14"/>
      <c r="Y563" s="13"/>
      <c r="Z563" s="15"/>
    </row>
    <row r="564" spans="24:26" ht="14.55" x14ac:dyDescent="0.3">
      <c r="X564" s="14"/>
      <c r="Y564" s="13"/>
      <c r="Z564" s="15"/>
    </row>
    <row r="565" spans="24:26" ht="14.55" x14ac:dyDescent="0.3">
      <c r="X565" s="14"/>
      <c r="Y565" s="13"/>
      <c r="Z565" s="15"/>
    </row>
    <row r="566" spans="24:26" ht="14.55" x14ac:dyDescent="0.3">
      <c r="X566" s="14"/>
      <c r="Y566" s="13"/>
      <c r="Z566" s="15"/>
    </row>
    <row r="567" spans="24:26" ht="14.55" x14ac:dyDescent="0.3">
      <c r="X567" s="14"/>
      <c r="Y567" s="13"/>
      <c r="Z567" s="15"/>
    </row>
    <row r="568" spans="24:26" ht="14.55" x14ac:dyDescent="0.3">
      <c r="X568" s="14"/>
      <c r="Y568" s="13"/>
      <c r="Z568" s="15"/>
    </row>
    <row r="569" spans="24:26" ht="14.55" x14ac:dyDescent="0.3">
      <c r="X569" s="14"/>
      <c r="Y569" s="13"/>
      <c r="Z569" s="15"/>
    </row>
    <row r="570" spans="24:26" ht="14.55" x14ac:dyDescent="0.3">
      <c r="X570" s="14"/>
      <c r="Y570" s="13"/>
      <c r="Z570" s="15"/>
    </row>
    <row r="571" spans="24:26" ht="14.55" x14ac:dyDescent="0.3">
      <c r="X571" s="14"/>
      <c r="Y571" s="13"/>
      <c r="Z571" s="15"/>
    </row>
    <row r="572" spans="24:26" ht="14.55" x14ac:dyDescent="0.3">
      <c r="X572" s="14"/>
      <c r="Y572" s="13"/>
      <c r="Z572" s="15"/>
    </row>
    <row r="573" spans="24:26" ht="14.55" x14ac:dyDescent="0.3">
      <c r="X573" s="14"/>
      <c r="Y573" s="13"/>
      <c r="Z573" s="15"/>
    </row>
    <row r="574" spans="24:26" ht="14.55" x14ac:dyDescent="0.3">
      <c r="X574" s="14"/>
      <c r="Y574" s="13"/>
      <c r="Z574" s="15"/>
    </row>
    <row r="575" spans="24:26" ht="14.55" x14ac:dyDescent="0.3">
      <c r="X575" s="14"/>
      <c r="Y575" s="13"/>
      <c r="Z575" s="15"/>
    </row>
    <row r="576" spans="24:26" ht="14.55" x14ac:dyDescent="0.3">
      <c r="X576" s="14"/>
      <c r="Y576" s="13"/>
      <c r="Z576" s="15"/>
    </row>
    <row r="577" spans="24:26" ht="14.55" x14ac:dyDescent="0.3">
      <c r="X577" s="14"/>
      <c r="Y577" s="13"/>
      <c r="Z577" s="15"/>
    </row>
    <row r="578" spans="24:26" ht="14.55" x14ac:dyDescent="0.3">
      <c r="X578" s="14"/>
      <c r="Y578" s="13"/>
      <c r="Z578" s="15"/>
    </row>
    <row r="579" spans="24:26" ht="14.55" x14ac:dyDescent="0.3">
      <c r="X579" s="14"/>
      <c r="Y579" s="13"/>
      <c r="Z579" s="15"/>
    </row>
    <row r="580" spans="24:26" ht="14.55" x14ac:dyDescent="0.3">
      <c r="X580" s="14"/>
      <c r="Y580" s="13"/>
      <c r="Z580" s="15"/>
    </row>
    <row r="581" spans="24:26" ht="14.55" x14ac:dyDescent="0.3">
      <c r="X581" s="14"/>
      <c r="Y581" s="13"/>
      <c r="Z581" s="15"/>
    </row>
    <row r="582" spans="24:26" ht="14.55" x14ac:dyDescent="0.3">
      <c r="X582" s="14"/>
      <c r="Y582" s="13"/>
      <c r="Z582" s="15"/>
    </row>
    <row r="583" spans="24:26" ht="14.55" x14ac:dyDescent="0.3">
      <c r="X583" s="14"/>
      <c r="Y583" s="13"/>
      <c r="Z583" s="15"/>
    </row>
    <row r="584" spans="24:26" ht="14.55" x14ac:dyDescent="0.3">
      <c r="X584" s="14"/>
      <c r="Y584" s="13"/>
      <c r="Z584" s="15"/>
    </row>
    <row r="585" spans="24:26" ht="14.55" x14ac:dyDescent="0.3">
      <c r="X585" s="14"/>
      <c r="Y585" s="13"/>
      <c r="Z585" s="15"/>
    </row>
    <row r="586" spans="24:26" ht="14.55" x14ac:dyDescent="0.3">
      <c r="X586" s="14"/>
      <c r="Y586" s="13"/>
      <c r="Z586" s="15"/>
    </row>
    <row r="587" spans="24:26" ht="14.55" x14ac:dyDescent="0.3">
      <c r="X587" s="14"/>
      <c r="Y587" s="13"/>
      <c r="Z587" s="15"/>
    </row>
    <row r="588" spans="24:26" ht="14.55" x14ac:dyDescent="0.3">
      <c r="X588" s="14"/>
      <c r="Y588" s="13"/>
      <c r="Z588" s="15"/>
    </row>
    <row r="589" spans="24:26" ht="14.55" x14ac:dyDescent="0.3">
      <c r="X589" s="14"/>
      <c r="Y589" s="13"/>
      <c r="Z589" s="15"/>
    </row>
    <row r="590" spans="24:26" ht="14.55" x14ac:dyDescent="0.3">
      <c r="X590" s="14"/>
      <c r="Y590" s="13"/>
      <c r="Z590" s="15"/>
    </row>
    <row r="591" spans="24:26" ht="14.55" x14ac:dyDescent="0.3">
      <c r="X591" s="14"/>
      <c r="Y591" s="13"/>
      <c r="Z591" s="15"/>
    </row>
    <row r="592" spans="24:26" ht="14.55" x14ac:dyDescent="0.3">
      <c r="X592" s="14"/>
      <c r="Y592" s="13"/>
      <c r="Z592" s="15"/>
    </row>
    <row r="593" spans="24:26" ht="14.55" x14ac:dyDescent="0.3">
      <c r="X593" s="14"/>
      <c r="Y593" s="13"/>
      <c r="Z593" s="15"/>
    </row>
    <row r="594" spans="24:26" ht="14.55" x14ac:dyDescent="0.3">
      <c r="X594" s="14"/>
      <c r="Y594" s="13"/>
      <c r="Z594" s="15"/>
    </row>
  </sheetData>
  <sheetProtection selectLockedCells="1"/>
  <mergeCells count="169">
    <mergeCell ref="C230:K230"/>
    <mergeCell ref="T71:U71"/>
    <mergeCell ref="C165:K165"/>
    <mergeCell ref="A229:B229"/>
    <mergeCell ref="T65:U65"/>
    <mergeCell ref="T66:U66"/>
    <mergeCell ref="T67:U67"/>
    <mergeCell ref="T68:U68"/>
    <mergeCell ref="T69:U69"/>
    <mergeCell ref="T60:U60"/>
    <mergeCell ref="T61:U61"/>
    <mergeCell ref="T62:U62"/>
    <mergeCell ref="T63:U63"/>
    <mergeCell ref="T64:U64"/>
    <mergeCell ref="C157:K157"/>
    <mergeCell ref="E71:F71"/>
    <mergeCell ref="T55:U55"/>
    <mergeCell ref="T56:U56"/>
    <mergeCell ref="T57:U57"/>
    <mergeCell ref="T58:U58"/>
    <mergeCell ref="T59:U59"/>
    <mergeCell ref="T50:U50"/>
    <mergeCell ref="T51:U51"/>
    <mergeCell ref="T52:U52"/>
    <mergeCell ref="T53:U53"/>
    <mergeCell ref="T54:U54"/>
    <mergeCell ref="T45:U45"/>
    <mergeCell ref="T46:U46"/>
    <mergeCell ref="T47:U47"/>
    <mergeCell ref="T48:U48"/>
    <mergeCell ref="T49:U49"/>
    <mergeCell ref="T40:U40"/>
    <mergeCell ref="T41:U41"/>
    <mergeCell ref="T42:U42"/>
    <mergeCell ref="T43:U43"/>
    <mergeCell ref="T44:U44"/>
    <mergeCell ref="T35:U35"/>
    <mergeCell ref="T36:U36"/>
    <mergeCell ref="T37:U37"/>
    <mergeCell ref="T38:U38"/>
    <mergeCell ref="T39:U39"/>
    <mergeCell ref="T30:U30"/>
    <mergeCell ref="T31:U31"/>
    <mergeCell ref="T32:U32"/>
    <mergeCell ref="T33:U33"/>
    <mergeCell ref="T34:U34"/>
    <mergeCell ref="T25:U25"/>
    <mergeCell ref="T26:U26"/>
    <mergeCell ref="T27:U27"/>
    <mergeCell ref="T28:U28"/>
    <mergeCell ref="T29:U29"/>
    <mergeCell ref="T22:U22"/>
    <mergeCell ref="T23:U23"/>
    <mergeCell ref="T24:U24"/>
    <mergeCell ref="T1:U5"/>
    <mergeCell ref="T6:U6"/>
    <mergeCell ref="T7:U7"/>
    <mergeCell ref="T8:U8"/>
    <mergeCell ref="T9:U9"/>
    <mergeCell ref="T10:U10"/>
    <mergeCell ref="T11:U11"/>
    <mergeCell ref="T12:U12"/>
    <mergeCell ref="T13:U13"/>
    <mergeCell ref="T14:U14"/>
    <mergeCell ref="T15:U15"/>
    <mergeCell ref="T16:U16"/>
    <mergeCell ref="T17:U17"/>
    <mergeCell ref="T18:U18"/>
    <mergeCell ref="T19:U19"/>
    <mergeCell ref="H13:I13"/>
    <mergeCell ref="N11:O11"/>
    <mergeCell ref="N12:O12"/>
    <mergeCell ref="N13:O13"/>
    <mergeCell ref="Q12:R12"/>
    <mergeCell ref="E13:F13"/>
    <mergeCell ref="E14:F14"/>
    <mergeCell ref="T20:U20"/>
    <mergeCell ref="T21:U21"/>
    <mergeCell ref="E15:F15"/>
    <mergeCell ref="E16:F16"/>
    <mergeCell ref="B16:C16"/>
    <mergeCell ref="B13:C13"/>
    <mergeCell ref="B14:C14"/>
    <mergeCell ref="B15:C15"/>
    <mergeCell ref="B20:C20"/>
    <mergeCell ref="E22:F22"/>
    <mergeCell ref="B17:C17"/>
    <mergeCell ref="B18:C18"/>
    <mergeCell ref="B19:C19"/>
    <mergeCell ref="B21:C21"/>
    <mergeCell ref="B22:C22"/>
    <mergeCell ref="E17:F17"/>
    <mergeCell ref="E18:F18"/>
    <mergeCell ref="E19:F19"/>
    <mergeCell ref="E20:F20"/>
    <mergeCell ref="E21:F21"/>
    <mergeCell ref="E23:F23"/>
    <mergeCell ref="E24:F24"/>
    <mergeCell ref="E25:F25"/>
    <mergeCell ref="E26:F26"/>
    <mergeCell ref="E27:F27"/>
    <mergeCell ref="B27:C27"/>
    <mergeCell ref="B28:C28"/>
    <mergeCell ref="B29:C29"/>
    <mergeCell ref="B30:C30"/>
    <mergeCell ref="B23:C23"/>
    <mergeCell ref="B24:C24"/>
    <mergeCell ref="B25:C25"/>
    <mergeCell ref="B26:C26"/>
    <mergeCell ref="N1:O5"/>
    <mergeCell ref="N6:O6"/>
    <mergeCell ref="N7:O7"/>
    <mergeCell ref="N8:O8"/>
    <mergeCell ref="N9:O9"/>
    <mergeCell ref="K1:L5"/>
    <mergeCell ref="K6:L6"/>
    <mergeCell ref="B6:C6"/>
    <mergeCell ref="B7:C7"/>
    <mergeCell ref="E7:F7"/>
    <mergeCell ref="H1:I5"/>
    <mergeCell ref="H6:I6"/>
    <mergeCell ref="H7:I7"/>
    <mergeCell ref="E1:F5"/>
    <mergeCell ref="E6:F6"/>
    <mergeCell ref="B1:C5"/>
    <mergeCell ref="B9:C9"/>
    <mergeCell ref="B8:C8"/>
    <mergeCell ref="E8:F8"/>
    <mergeCell ref="E9:F9"/>
    <mergeCell ref="K7:L7"/>
    <mergeCell ref="Q1:R5"/>
    <mergeCell ref="A239:B239"/>
    <mergeCell ref="N71:O71"/>
    <mergeCell ref="H71:I71"/>
    <mergeCell ref="K71:L71"/>
    <mergeCell ref="A141:B141"/>
    <mergeCell ref="A147:B147"/>
    <mergeCell ref="A156:B156"/>
    <mergeCell ref="A73:J73"/>
    <mergeCell ref="C148:K148"/>
    <mergeCell ref="C134:K134"/>
    <mergeCell ref="B109:K109"/>
    <mergeCell ref="B75:K75"/>
    <mergeCell ref="C142:K142"/>
    <mergeCell ref="B71:C71"/>
    <mergeCell ref="A164:B164"/>
    <mergeCell ref="Q10:R10"/>
    <mergeCell ref="Q71:R71"/>
    <mergeCell ref="Q6:R6"/>
    <mergeCell ref="Q7:R7"/>
    <mergeCell ref="Q8:R8"/>
    <mergeCell ref="Q9:R9"/>
    <mergeCell ref="Q11:R11"/>
    <mergeCell ref="B31:C31"/>
    <mergeCell ref="N10:O10"/>
    <mergeCell ref="H10:I10"/>
    <mergeCell ref="K8:L8"/>
    <mergeCell ref="K9:L9"/>
    <mergeCell ref="H8:I8"/>
    <mergeCell ref="K10:L10"/>
    <mergeCell ref="H9:I9"/>
    <mergeCell ref="B12:C12"/>
    <mergeCell ref="B11:C11"/>
    <mergeCell ref="B10:C10"/>
    <mergeCell ref="E12:F12"/>
    <mergeCell ref="E10:F10"/>
    <mergeCell ref="E11:F11"/>
    <mergeCell ref="H11:I11"/>
    <mergeCell ref="H12:I12"/>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1A4C-3FC2-413D-AAC7-225BB7023767}">
  <sheetPr>
    <tabColor rgb="FF7030A0"/>
  </sheetPr>
  <dimension ref="A1:AS251"/>
  <sheetViews>
    <sheetView workbookViewId="0">
      <selection activeCell="B9" sqref="B9:I12"/>
    </sheetView>
  </sheetViews>
  <sheetFormatPr baseColWidth="10" defaultColWidth="11.44140625" defaultRowHeight="13.9" outlineLevelRow="1" x14ac:dyDescent="0.25"/>
  <cols>
    <col min="1" max="1" width="7.21875" style="38" customWidth="1"/>
    <col min="2" max="9" width="9.21875" style="39" customWidth="1"/>
    <col min="10" max="12" width="16.5546875" style="39" customWidth="1"/>
    <col min="13" max="14" width="9.21875" style="39" customWidth="1"/>
    <col min="15" max="15" width="15.21875" style="72" bestFit="1" customWidth="1"/>
    <col min="16" max="16" width="9.21875" style="72" customWidth="1"/>
    <col min="17" max="17" width="16.5546875" style="72" bestFit="1" customWidth="1"/>
    <col min="18" max="26" width="9.21875" style="72" customWidth="1"/>
    <col min="27" max="27" width="11" style="72" customWidth="1"/>
    <col min="28" max="29" width="8.21875" style="72" bestFit="1" customWidth="1"/>
    <col min="30" max="41" width="11.44140625" style="72"/>
    <col min="42" max="16384" width="11.44140625" style="39"/>
  </cols>
  <sheetData>
    <row r="1" spans="1:27" x14ac:dyDescent="0.25">
      <c r="A1" s="493" t="str">
        <f>Überblick!X117</f>
        <v>T.</v>
      </c>
      <c r="B1" s="188" t="str">
        <f>IF(Überblick!B2=Überblick!L4,'Besondere Leistungen GÜ-Berater'!V1,'Besondere Leistungen GÜ-Berater'!V2)</f>
        <v>Honorarangebot zu den Besonderen Leistungen GÜ-Berater</v>
      </c>
      <c r="J1" s="68"/>
      <c r="K1" s="68"/>
      <c r="L1" s="68"/>
      <c r="M1" s="72" t="s">
        <v>99</v>
      </c>
      <c r="O1" s="963" t="str">
        <f>'Hochbauplanung '!T1</f>
        <v>Version: 27.06.2023</v>
      </c>
      <c r="P1" s="963"/>
      <c r="Q1" s="72" t="s">
        <v>99</v>
      </c>
      <c r="T1" s="72" t="s">
        <v>725</v>
      </c>
      <c r="V1" s="72" t="s">
        <v>833</v>
      </c>
    </row>
    <row r="2" spans="1:27" x14ac:dyDescent="0.25">
      <c r="J2" s="68"/>
      <c r="K2" s="535" t="s">
        <v>110</v>
      </c>
      <c r="L2" s="1389" t="str">
        <f>IF(Überblick!J2=0,"",Überblick!J2)</f>
        <v/>
      </c>
      <c r="M2" s="1389"/>
      <c r="N2" s="1389"/>
      <c r="Q2" s="72" t="s">
        <v>100</v>
      </c>
      <c r="T2" s="72" t="s">
        <v>753</v>
      </c>
      <c r="V2" s="72" t="s">
        <v>834</v>
      </c>
    </row>
    <row r="3" spans="1:27" x14ac:dyDescent="0.25">
      <c r="J3" s="68"/>
      <c r="K3" s="535" t="s">
        <v>24</v>
      </c>
      <c r="L3" s="1389" t="str">
        <f>IF(Überblick!G29=0,"",Überblick!G29)</f>
        <v>Breite Strasse, 10178 Berlin-Mitte, zw. Neumannsgasse und Scharrenstrasse</v>
      </c>
      <c r="M3" s="1389"/>
      <c r="N3" s="1389"/>
    </row>
    <row r="4" spans="1:27" ht="15.95" customHeight="1" thickBot="1" x14ac:dyDescent="0.3">
      <c r="B4" s="39" t="str">
        <f>IF(B1=V2,"","Die besonderen Leistungen sind in den orange markierten Feldern zu bepreisen. ")</f>
        <v xml:space="preserve">Die besonderen Leistungen sind in den orange markierten Feldern zu bepreisen. </v>
      </c>
      <c r="J4" s="68"/>
      <c r="K4" s="535" t="s">
        <v>17</v>
      </c>
      <c r="L4" s="1389" t="str">
        <f>IF(Überblick!D19=0,"",Überblick!D19)</f>
        <v/>
      </c>
      <c r="M4" s="1389"/>
      <c r="N4" s="1389"/>
    </row>
    <row r="5" spans="1:27" ht="15.95" customHeight="1" outlineLevel="1" x14ac:dyDescent="0.25">
      <c r="A5" s="220"/>
      <c r="B5" s="1019" t="s">
        <v>835</v>
      </c>
      <c r="C5" s="1020"/>
      <c r="D5" s="1020"/>
      <c r="E5" s="1020"/>
      <c r="F5" s="1020"/>
      <c r="G5" s="1020"/>
      <c r="H5" s="1629"/>
      <c r="I5" s="1131" t="s">
        <v>151</v>
      </c>
      <c r="J5" s="2075" t="s">
        <v>697</v>
      </c>
      <c r="K5" s="2075" t="s">
        <v>698</v>
      </c>
      <c r="L5" s="2202" t="s">
        <v>725</v>
      </c>
      <c r="M5" s="2075" t="s">
        <v>156</v>
      </c>
      <c r="N5" s="2102" t="s">
        <v>157</v>
      </c>
      <c r="O5" s="184"/>
      <c r="P5" s="477"/>
      <c r="Q5" s="477"/>
      <c r="R5" s="477"/>
      <c r="S5" s="339"/>
      <c r="T5" s="339"/>
      <c r="U5" s="339"/>
      <c r="V5" s="73"/>
      <c r="W5" s="73"/>
      <c r="X5" s="73"/>
    </row>
    <row r="6" spans="1:27" ht="15.95" customHeight="1" outlineLevel="1" x14ac:dyDescent="0.25">
      <c r="A6" s="220"/>
      <c r="B6" s="1021"/>
      <c r="C6" s="1022"/>
      <c r="D6" s="1022"/>
      <c r="E6" s="1022"/>
      <c r="F6" s="1022"/>
      <c r="G6" s="1022"/>
      <c r="H6" s="1630"/>
      <c r="I6" s="1132"/>
      <c r="J6" s="2076"/>
      <c r="K6" s="2076"/>
      <c r="L6" s="2203"/>
      <c r="M6" s="2076"/>
      <c r="N6" s="2103"/>
      <c r="O6" s="184"/>
      <c r="P6" s="477"/>
      <c r="Q6" s="477"/>
      <c r="R6" s="477"/>
      <c r="S6" s="339"/>
      <c r="T6" s="339"/>
      <c r="U6" s="339"/>
      <c r="V6" s="73"/>
      <c r="W6" s="73"/>
      <c r="X6" s="81"/>
    </row>
    <row r="7" spans="1:27" ht="15.95" customHeight="1" outlineLevel="1" thickBot="1" x14ac:dyDescent="0.3">
      <c r="A7" s="220"/>
      <c r="B7" s="1023"/>
      <c r="C7" s="1024"/>
      <c r="D7" s="1024"/>
      <c r="E7" s="1024"/>
      <c r="F7" s="1024"/>
      <c r="G7" s="1024"/>
      <c r="H7" s="1631"/>
      <c r="I7" s="1133"/>
      <c r="J7" s="2077"/>
      <c r="K7" s="2077"/>
      <c r="L7" s="2204"/>
      <c r="M7" s="2077"/>
      <c r="N7" s="2104"/>
      <c r="O7" s="184"/>
      <c r="P7" s="477"/>
      <c r="Q7" s="477"/>
      <c r="R7" s="477"/>
      <c r="S7" s="339"/>
      <c r="T7" s="339"/>
      <c r="U7" s="339"/>
      <c r="V7" s="73"/>
      <c r="W7" s="73"/>
      <c r="X7" s="81"/>
    </row>
    <row r="8" spans="1:27" ht="15" customHeight="1" outlineLevel="1" x14ac:dyDescent="0.25">
      <c r="A8" s="220"/>
      <c r="B8" s="2199" t="s">
        <v>836</v>
      </c>
      <c r="C8" s="2200"/>
      <c r="D8" s="2200"/>
      <c r="E8" s="2200"/>
      <c r="F8" s="2200"/>
      <c r="G8" s="2200"/>
      <c r="H8" s="2201"/>
      <c r="I8" s="482"/>
      <c r="J8" s="483"/>
      <c r="K8" s="483"/>
      <c r="L8" s="483"/>
      <c r="M8" s="483"/>
      <c r="N8" s="484"/>
      <c r="O8" s="184"/>
      <c r="P8" s="477"/>
      <c r="Q8" s="477"/>
      <c r="R8" s="477"/>
      <c r="S8" s="339"/>
      <c r="T8" s="339"/>
      <c r="U8" s="339"/>
      <c r="V8" s="73"/>
      <c r="W8" s="73"/>
      <c r="X8" s="81"/>
    </row>
    <row r="9" spans="1:27" ht="15" customHeight="1" outlineLevel="1" x14ac:dyDescent="0.25">
      <c r="A9" s="220"/>
      <c r="B9" s="2024" t="s">
        <v>837</v>
      </c>
      <c r="C9" s="2025"/>
      <c r="D9" s="2025"/>
      <c r="E9" s="2025"/>
      <c r="F9" s="2025"/>
      <c r="G9" s="2025"/>
      <c r="H9" s="2025"/>
      <c r="I9" s="1726" t="s">
        <v>99</v>
      </c>
      <c r="J9" s="2029"/>
      <c r="K9" s="2175"/>
      <c r="L9" s="2019">
        <f>J9*K9</f>
        <v>0</v>
      </c>
      <c r="M9" s="2021" t="str">
        <f>IFERROR(IF((VLOOKUP(N9,Überblick!$M$125:$N$134,2))="ja","ja","nein"),"")</f>
        <v/>
      </c>
      <c r="N9" s="2023"/>
      <c r="O9" s="72">
        <f t="shared" ref="O9:O76" si="0">IF(AND(I9="ja",J9=""),1,0)</f>
        <v>1</v>
      </c>
      <c r="P9" s="78">
        <f>IF(I9="ja",1,0)</f>
        <v>1</v>
      </c>
      <c r="T9" s="398"/>
      <c r="U9" s="398"/>
      <c r="V9" s="398"/>
      <c r="W9" s="398"/>
      <c r="X9" s="398"/>
      <c r="Y9" s="398"/>
      <c r="Z9" s="398"/>
    </row>
    <row r="10" spans="1:27" ht="15" customHeight="1" outlineLevel="1" x14ac:dyDescent="0.25">
      <c r="A10" s="220"/>
      <c r="B10" s="2024"/>
      <c r="C10" s="2025"/>
      <c r="D10" s="2025"/>
      <c r="E10" s="2025"/>
      <c r="F10" s="2025"/>
      <c r="G10" s="2025"/>
      <c r="H10" s="2025"/>
      <c r="I10" s="1727"/>
      <c r="J10" s="2037"/>
      <c r="K10" s="2176"/>
      <c r="L10" s="1029"/>
      <c r="M10" s="2032"/>
      <c r="N10" s="2035"/>
      <c r="P10" s="78">
        <f t="shared" ref="P10:P73" si="1">IF(I10="ja",1,0)</f>
        <v>0</v>
      </c>
      <c r="T10" s="398"/>
      <c r="U10" s="398"/>
      <c r="V10" s="398"/>
      <c r="W10" s="398"/>
      <c r="X10" s="398"/>
      <c r="Y10" s="398"/>
      <c r="Z10" s="398"/>
    </row>
    <row r="11" spans="1:27" ht="15" customHeight="1" outlineLevel="1" x14ac:dyDescent="0.25">
      <c r="A11" s="220"/>
      <c r="B11" s="2024"/>
      <c r="C11" s="2025"/>
      <c r="D11" s="2025"/>
      <c r="E11" s="2025"/>
      <c r="F11" s="2025"/>
      <c r="G11" s="2025"/>
      <c r="H11" s="2025"/>
      <c r="I11" s="1727"/>
      <c r="J11" s="2037"/>
      <c r="K11" s="2176"/>
      <c r="L11" s="1029"/>
      <c r="M11" s="2032"/>
      <c r="N11" s="2035"/>
      <c r="P11" s="78">
        <f t="shared" si="1"/>
        <v>0</v>
      </c>
      <c r="T11" s="398"/>
      <c r="U11" s="398"/>
      <c r="V11" s="398"/>
      <c r="W11" s="398"/>
      <c r="X11" s="398"/>
      <c r="Y11" s="398"/>
      <c r="Z11" s="398"/>
    </row>
    <row r="12" spans="1:27" ht="15.95" customHeight="1" outlineLevel="1" x14ac:dyDescent="0.25">
      <c r="A12" s="220"/>
      <c r="B12" s="2024"/>
      <c r="C12" s="2025"/>
      <c r="D12" s="2025"/>
      <c r="E12" s="2025"/>
      <c r="F12" s="2025"/>
      <c r="G12" s="2025"/>
      <c r="H12" s="2025"/>
      <c r="I12" s="1743"/>
      <c r="J12" s="2034"/>
      <c r="K12" s="2177"/>
      <c r="L12" s="2057"/>
      <c r="M12" s="2033"/>
      <c r="N12" s="2036"/>
      <c r="P12" s="78">
        <f t="shared" si="1"/>
        <v>0</v>
      </c>
      <c r="T12" s="398"/>
      <c r="U12" s="398"/>
      <c r="V12" s="398"/>
      <c r="W12" s="398"/>
      <c r="X12" s="398"/>
      <c r="Y12" s="398"/>
      <c r="Z12" s="398"/>
    </row>
    <row r="13" spans="1:27" ht="14.25" customHeight="1" outlineLevel="1" x14ac:dyDescent="0.25">
      <c r="A13" s="220"/>
      <c r="B13" s="2110" t="s">
        <v>838</v>
      </c>
      <c r="C13" s="2111"/>
      <c r="D13" s="2111"/>
      <c r="E13" s="2111"/>
      <c r="F13" s="2111"/>
      <c r="G13" s="2111"/>
      <c r="H13" s="2111"/>
      <c r="I13" s="1726" t="s">
        <v>100</v>
      </c>
      <c r="J13" s="2029"/>
      <c r="K13" s="2175"/>
      <c r="L13" s="2018">
        <f t="shared" ref="L13" si="2">J13*K13</f>
        <v>0</v>
      </c>
      <c r="M13" s="2020" t="str">
        <f>IFERROR(IF((VLOOKUP(N13,Überblick!$M$125:$N$134,2))="ja","ja","nein"),"")</f>
        <v/>
      </c>
      <c r="N13" s="2022"/>
      <c r="O13" s="72">
        <f t="shared" si="0"/>
        <v>0</v>
      </c>
      <c r="P13" s="78">
        <f t="shared" si="1"/>
        <v>0</v>
      </c>
      <c r="T13" s="398"/>
      <c r="U13" s="398"/>
      <c r="V13" s="398"/>
      <c r="W13" s="398"/>
      <c r="X13" s="398"/>
      <c r="Y13" s="398"/>
      <c r="Z13" s="398"/>
      <c r="AA13" s="74"/>
    </row>
    <row r="14" spans="1:27" ht="14.25" customHeight="1" outlineLevel="1" x14ac:dyDescent="0.25">
      <c r="A14" s="220"/>
      <c r="B14" s="2110"/>
      <c r="C14" s="2111"/>
      <c r="D14" s="2111"/>
      <c r="E14" s="2111"/>
      <c r="F14" s="2111"/>
      <c r="G14" s="2111"/>
      <c r="H14" s="2111"/>
      <c r="I14" s="1727"/>
      <c r="J14" s="2037"/>
      <c r="K14" s="2176"/>
      <c r="L14" s="2018"/>
      <c r="M14" s="2020"/>
      <c r="N14" s="2022"/>
      <c r="P14" s="78">
        <f t="shared" si="1"/>
        <v>0</v>
      </c>
      <c r="T14" s="398"/>
      <c r="U14" s="398"/>
      <c r="V14" s="398"/>
      <c r="W14" s="398"/>
      <c r="X14" s="398"/>
      <c r="Y14" s="398"/>
      <c r="Z14" s="398"/>
      <c r="AA14" s="74"/>
    </row>
    <row r="15" spans="1:27" ht="14.25" customHeight="1" outlineLevel="1" x14ac:dyDescent="0.25">
      <c r="A15" s="220"/>
      <c r="B15" s="2110"/>
      <c r="C15" s="2111"/>
      <c r="D15" s="2111"/>
      <c r="E15" s="2111"/>
      <c r="F15" s="2111"/>
      <c r="G15" s="2111"/>
      <c r="H15" s="2111"/>
      <c r="I15" s="1727"/>
      <c r="J15" s="2037"/>
      <c r="K15" s="2176"/>
      <c r="L15" s="2018"/>
      <c r="M15" s="2020"/>
      <c r="N15" s="2022"/>
      <c r="P15" s="78">
        <f t="shared" si="1"/>
        <v>0</v>
      </c>
      <c r="T15" s="398"/>
      <c r="U15" s="398"/>
      <c r="V15" s="398"/>
      <c r="W15" s="398"/>
      <c r="X15" s="398"/>
      <c r="Y15" s="398"/>
      <c r="Z15" s="398"/>
      <c r="AA15" s="74"/>
    </row>
    <row r="16" spans="1:27" ht="14.25" customHeight="1" outlineLevel="1" x14ac:dyDescent="0.25">
      <c r="A16" s="220"/>
      <c r="B16" s="2110"/>
      <c r="C16" s="2111"/>
      <c r="D16" s="2111"/>
      <c r="E16" s="2111"/>
      <c r="F16" s="2111"/>
      <c r="G16" s="2111"/>
      <c r="H16" s="2111"/>
      <c r="I16" s="1727"/>
      <c r="J16" s="2037"/>
      <c r="K16" s="2176"/>
      <c r="L16" s="2018"/>
      <c r="M16" s="2020"/>
      <c r="N16" s="2022"/>
      <c r="P16" s="78">
        <f t="shared" si="1"/>
        <v>0</v>
      </c>
      <c r="T16" s="398"/>
      <c r="U16" s="398"/>
      <c r="V16" s="398"/>
      <c r="W16" s="398"/>
      <c r="X16" s="398"/>
      <c r="Y16" s="398"/>
      <c r="Z16" s="398"/>
      <c r="AA16" s="74"/>
    </row>
    <row r="17" spans="1:28" ht="15" customHeight="1" outlineLevel="1" x14ac:dyDescent="0.25">
      <c r="A17" s="220"/>
      <c r="B17" s="2110"/>
      <c r="C17" s="2111"/>
      <c r="D17" s="2111"/>
      <c r="E17" s="2111"/>
      <c r="F17" s="2111"/>
      <c r="G17" s="2111"/>
      <c r="H17" s="2111"/>
      <c r="I17" s="1743"/>
      <c r="J17" s="2034"/>
      <c r="K17" s="2177"/>
      <c r="L17" s="2018"/>
      <c r="M17" s="2020"/>
      <c r="N17" s="2022"/>
      <c r="P17" s="78">
        <f t="shared" si="1"/>
        <v>0</v>
      </c>
      <c r="T17" s="398"/>
      <c r="U17" s="398"/>
      <c r="V17" s="398"/>
      <c r="W17" s="398"/>
      <c r="X17" s="398"/>
      <c r="Y17" s="398"/>
      <c r="Z17" s="398"/>
      <c r="AA17" s="74"/>
    </row>
    <row r="18" spans="1:28" ht="13.6" customHeight="1" outlineLevel="1" x14ac:dyDescent="0.25">
      <c r="A18" s="220"/>
      <c r="B18" s="2024" t="s">
        <v>839</v>
      </c>
      <c r="C18" s="2025"/>
      <c r="D18" s="2025"/>
      <c r="E18" s="2025"/>
      <c r="F18" s="2025"/>
      <c r="G18" s="2025"/>
      <c r="H18" s="2025"/>
      <c r="I18" s="1775" t="s">
        <v>100</v>
      </c>
      <c r="J18" s="2029"/>
      <c r="K18" s="2175"/>
      <c r="L18" s="2018">
        <f t="shared" ref="L18" si="3">J18*K18</f>
        <v>0</v>
      </c>
      <c r="M18" s="2020" t="str">
        <f>IFERROR(IF((VLOOKUP(N18,Überblick!$M$125:$N$134,2))="ja","ja","nein"),"")</f>
        <v/>
      </c>
      <c r="N18" s="2022"/>
      <c r="O18" s="72">
        <f t="shared" si="0"/>
        <v>0</v>
      </c>
      <c r="P18" s="78">
        <f t="shared" si="1"/>
        <v>0</v>
      </c>
      <c r="T18" s="398"/>
      <c r="U18" s="398"/>
      <c r="V18" s="398"/>
      <c r="W18" s="398"/>
      <c r="X18" s="398"/>
      <c r="Y18" s="398"/>
      <c r="Z18" s="398"/>
      <c r="AA18" s="74"/>
    </row>
    <row r="19" spans="1:28" ht="13.6" customHeight="1" outlineLevel="1" x14ac:dyDescent="0.25">
      <c r="A19" s="220"/>
      <c r="B19" s="2024"/>
      <c r="C19" s="2025"/>
      <c r="D19" s="2025"/>
      <c r="E19" s="2025"/>
      <c r="F19" s="2025"/>
      <c r="G19" s="2025"/>
      <c r="H19" s="2025"/>
      <c r="I19" s="1775"/>
      <c r="J19" s="2034"/>
      <c r="K19" s="2177"/>
      <c r="L19" s="2018"/>
      <c r="M19" s="2020"/>
      <c r="N19" s="2022"/>
      <c r="P19" s="78">
        <f t="shared" si="1"/>
        <v>0</v>
      </c>
      <c r="T19" s="398"/>
      <c r="U19" s="398"/>
      <c r="V19" s="398"/>
      <c r="W19" s="398"/>
      <c r="X19" s="398"/>
      <c r="Y19" s="398"/>
      <c r="Z19" s="398"/>
      <c r="AA19" s="74"/>
    </row>
    <row r="20" spans="1:28" ht="13.6" customHeight="1" outlineLevel="1" x14ac:dyDescent="0.25">
      <c r="A20" s="220"/>
      <c r="B20" s="2183" t="s">
        <v>840</v>
      </c>
      <c r="C20" s="2184"/>
      <c r="D20" s="2184"/>
      <c r="E20" s="2184"/>
      <c r="F20" s="2184"/>
      <c r="G20" s="2184"/>
      <c r="H20" s="2185"/>
      <c r="I20" s="404"/>
      <c r="J20" s="427"/>
      <c r="K20" s="428"/>
      <c r="L20" s="429"/>
      <c r="M20" s="413"/>
      <c r="N20" s="405"/>
      <c r="P20" s="78">
        <f t="shared" si="1"/>
        <v>0</v>
      </c>
      <c r="T20" s="398"/>
      <c r="U20" s="398"/>
      <c r="V20" s="398"/>
      <c r="W20" s="398"/>
      <c r="X20" s="398"/>
      <c r="Y20" s="398"/>
      <c r="Z20" s="398"/>
      <c r="AA20" s="74"/>
    </row>
    <row r="21" spans="1:28" ht="15.95" customHeight="1" outlineLevel="1" x14ac:dyDescent="0.25">
      <c r="A21" s="220"/>
      <c r="B21" s="2024" t="s">
        <v>841</v>
      </c>
      <c r="C21" s="2025"/>
      <c r="D21" s="2025"/>
      <c r="E21" s="2025"/>
      <c r="F21" s="2025"/>
      <c r="G21" s="2025"/>
      <c r="H21" s="2025"/>
      <c r="I21" s="1775" t="s">
        <v>100</v>
      </c>
      <c r="J21" s="2029"/>
      <c r="K21" s="2175"/>
      <c r="L21" s="2018">
        <f t="shared" ref="L21" si="4">J21*K21</f>
        <v>0</v>
      </c>
      <c r="M21" s="2020" t="str">
        <f>IFERROR(IF((VLOOKUP(N21,Überblick!$M$125:$N$134,2))="ja","ja","nein"),"")</f>
        <v/>
      </c>
      <c r="N21" s="2022"/>
      <c r="O21" s="72">
        <f t="shared" si="0"/>
        <v>0</v>
      </c>
      <c r="P21" s="78">
        <f t="shared" si="1"/>
        <v>0</v>
      </c>
      <c r="T21" s="398"/>
      <c r="U21" s="398"/>
      <c r="V21" s="398"/>
      <c r="W21" s="398"/>
      <c r="X21" s="398"/>
      <c r="Y21" s="398"/>
      <c r="Z21" s="398"/>
      <c r="AA21" s="74"/>
    </row>
    <row r="22" spans="1:28" ht="15.95" customHeight="1" outlineLevel="1" x14ac:dyDescent="0.25">
      <c r="A22" s="220"/>
      <c r="B22" s="2024"/>
      <c r="C22" s="2025"/>
      <c r="D22" s="2025"/>
      <c r="E22" s="2025"/>
      <c r="F22" s="2025"/>
      <c r="G22" s="2025"/>
      <c r="H22" s="2025"/>
      <c r="I22" s="1775"/>
      <c r="J22" s="2037"/>
      <c r="K22" s="2176"/>
      <c r="L22" s="2018"/>
      <c r="M22" s="2020"/>
      <c r="N22" s="2022"/>
      <c r="P22" s="78">
        <f t="shared" si="1"/>
        <v>0</v>
      </c>
      <c r="T22" s="398"/>
      <c r="U22" s="398"/>
      <c r="V22" s="398"/>
      <c r="W22" s="398"/>
      <c r="X22" s="398"/>
      <c r="Y22" s="398"/>
      <c r="Z22" s="398"/>
      <c r="AA22" s="74"/>
    </row>
    <row r="23" spans="1:28" ht="15.95" customHeight="1" outlineLevel="1" x14ac:dyDescent="0.25">
      <c r="A23" s="220"/>
      <c r="B23" s="2024"/>
      <c r="C23" s="2025"/>
      <c r="D23" s="2025"/>
      <c r="E23" s="2025"/>
      <c r="F23" s="2025"/>
      <c r="G23" s="2025"/>
      <c r="H23" s="2025"/>
      <c r="I23" s="1775"/>
      <c r="J23" s="2037"/>
      <c r="K23" s="2176"/>
      <c r="L23" s="2018"/>
      <c r="M23" s="2020"/>
      <c r="N23" s="2022"/>
      <c r="P23" s="78">
        <f t="shared" si="1"/>
        <v>0</v>
      </c>
      <c r="T23" s="398"/>
      <c r="U23" s="398"/>
      <c r="V23" s="398"/>
      <c r="W23" s="398"/>
      <c r="X23" s="398"/>
      <c r="Y23" s="398"/>
      <c r="Z23" s="398"/>
      <c r="AA23" s="74"/>
    </row>
    <row r="24" spans="1:28" ht="15.95" customHeight="1" outlineLevel="1" x14ac:dyDescent="0.25">
      <c r="A24" s="220"/>
      <c r="B24" s="2024"/>
      <c r="C24" s="2025"/>
      <c r="D24" s="2025"/>
      <c r="E24" s="2025"/>
      <c r="F24" s="2025"/>
      <c r="G24" s="2025"/>
      <c r="H24" s="2025"/>
      <c r="I24" s="1775"/>
      <c r="J24" s="2037"/>
      <c r="K24" s="2176"/>
      <c r="L24" s="2018"/>
      <c r="M24" s="2020"/>
      <c r="N24" s="2022"/>
      <c r="P24" s="78">
        <f t="shared" si="1"/>
        <v>0</v>
      </c>
      <c r="T24" s="398"/>
      <c r="U24" s="398"/>
      <c r="V24" s="398"/>
      <c r="W24" s="398"/>
      <c r="X24" s="398"/>
      <c r="Y24" s="398"/>
      <c r="Z24" s="398"/>
      <c r="AA24" s="74"/>
    </row>
    <row r="25" spans="1:28" ht="15.95" customHeight="1" outlineLevel="1" x14ac:dyDescent="0.25">
      <c r="A25" s="220"/>
      <c r="B25" s="2024"/>
      <c r="C25" s="2025"/>
      <c r="D25" s="2025"/>
      <c r="E25" s="2025"/>
      <c r="F25" s="2025"/>
      <c r="G25" s="2025"/>
      <c r="H25" s="2025"/>
      <c r="I25" s="1775"/>
      <c r="J25" s="2034"/>
      <c r="K25" s="2177"/>
      <c r="L25" s="2018"/>
      <c r="M25" s="2020"/>
      <c r="N25" s="2022"/>
      <c r="P25" s="78">
        <f t="shared" si="1"/>
        <v>0</v>
      </c>
      <c r="T25" s="398"/>
      <c r="U25" s="398"/>
      <c r="V25" s="398"/>
      <c r="W25" s="398"/>
      <c r="X25" s="398"/>
      <c r="Y25" s="398"/>
      <c r="Z25" s="398"/>
      <c r="AA25" s="74"/>
    </row>
    <row r="26" spans="1:28" ht="14.25" customHeight="1" outlineLevel="1" x14ac:dyDescent="0.25">
      <c r="A26" s="220"/>
      <c r="B26" s="2024" t="s">
        <v>842</v>
      </c>
      <c r="C26" s="2025"/>
      <c r="D26" s="2025"/>
      <c r="E26" s="2025"/>
      <c r="F26" s="2025"/>
      <c r="G26" s="2025"/>
      <c r="H26" s="2025"/>
      <c r="I26" s="1775" t="s">
        <v>100</v>
      </c>
      <c r="J26" s="2029"/>
      <c r="K26" s="2175"/>
      <c r="L26" s="2018">
        <f t="shared" ref="L26" si="5">J26*K26</f>
        <v>0</v>
      </c>
      <c r="M26" s="2020" t="str">
        <f>IFERROR(IF((VLOOKUP(N26,Überblick!$M$125:$N$134,2))="ja","ja","nein"),"")</f>
        <v/>
      </c>
      <c r="N26" s="2022"/>
      <c r="O26" s="72">
        <f t="shared" si="0"/>
        <v>0</v>
      </c>
      <c r="P26" s="78">
        <f t="shared" si="1"/>
        <v>0</v>
      </c>
      <c r="T26" s="398"/>
      <c r="U26" s="398"/>
      <c r="V26" s="398"/>
      <c r="W26" s="398"/>
      <c r="X26" s="398"/>
      <c r="Y26" s="398"/>
      <c r="Z26" s="398"/>
      <c r="AA26" s="75"/>
      <c r="AB26" s="75"/>
    </row>
    <row r="27" spans="1:28" ht="14.25" customHeight="1" outlineLevel="1" x14ac:dyDescent="0.25">
      <c r="A27" s="220"/>
      <c r="B27" s="2024"/>
      <c r="C27" s="2025"/>
      <c r="D27" s="2025"/>
      <c r="E27" s="2025"/>
      <c r="F27" s="2025"/>
      <c r="G27" s="2025"/>
      <c r="H27" s="2025"/>
      <c r="I27" s="1775"/>
      <c r="J27" s="2034"/>
      <c r="K27" s="2177"/>
      <c r="L27" s="2018"/>
      <c r="M27" s="2020"/>
      <c r="N27" s="2022"/>
      <c r="P27" s="78">
        <f t="shared" si="1"/>
        <v>0</v>
      </c>
      <c r="T27" s="398"/>
      <c r="U27" s="398"/>
      <c r="V27" s="398"/>
      <c r="W27" s="398"/>
      <c r="X27" s="398"/>
      <c r="Y27" s="398"/>
      <c r="Z27" s="398"/>
      <c r="AA27" s="74"/>
    </row>
    <row r="28" spans="1:28" ht="14.25" customHeight="1" outlineLevel="1" x14ac:dyDescent="0.25">
      <c r="A28" s="220"/>
      <c r="B28" s="2024" t="s">
        <v>843</v>
      </c>
      <c r="C28" s="2025"/>
      <c r="D28" s="2025"/>
      <c r="E28" s="2025"/>
      <c r="F28" s="2025"/>
      <c r="G28" s="2025"/>
      <c r="H28" s="2025"/>
      <c r="I28" s="1775" t="s">
        <v>100</v>
      </c>
      <c r="J28" s="2029"/>
      <c r="K28" s="2175"/>
      <c r="L28" s="2018">
        <f t="shared" ref="L28" si="6">J28*K28</f>
        <v>0</v>
      </c>
      <c r="M28" s="2020" t="str">
        <f>IFERROR(IF((VLOOKUP(N28,Überblick!$M$125:$N$134,2))="ja","ja","nein"),"")</f>
        <v/>
      </c>
      <c r="N28" s="2022"/>
      <c r="O28" s="72">
        <f t="shared" si="0"/>
        <v>0</v>
      </c>
      <c r="P28" s="78">
        <f t="shared" si="1"/>
        <v>0</v>
      </c>
      <c r="T28" s="398"/>
      <c r="U28" s="398"/>
      <c r="V28" s="398"/>
      <c r="W28" s="398"/>
      <c r="X28" s="398"/>
      <c r="Y28" s="398"/>
      <c r="Z28" s="398"/>
      <c r="AA28" s="74"/>
    </row>
    <row r="29" spans="1:28" ht="14.25" customHeight="1" outlineLevel="1" x14ac:dyDescent="0.25">
      <c r="A29" s="220"/>
      <c r="B29" s="2024"/>
      <c r="C29" s="2025"/>
      <c r="D29" s="2025"/>
      <c r="E29" s="2025"/>
      <c r="F29" s="2025"/>
      <c r="G29" s="2025"/>
      <c r="H29" s="2025"/>
      <c r="I29" s="1775"/>
      <c r="J29" s="2034"/>
      <c r="K29" s="2177"/>
      <c r="L29" s="2018"/>
      <c r="M29" s="2020"/>
      <c r="N29" s="2022"/>
      <c r="P29" s="78">
        <f t="shared" si="1"/>
        <v>0</v>
      </c>
      <c r="T29" s="398"/>
      <c r="U29" s="398"/>
      <c r="V29" s="398"/>
      <c r="W29" s="398"/>
      <c r="X29" s="398"/>
      <c r="Y29" s="398"/>
      <c r="Z29" s="398"/>
      <c r="AA29" s="74"/>
    </row>
    <row r="30" spans="1:28" ht="14.25" customHeight="1" outlineLevel="1" x14ac:dyDescent="0.25">
      <c r="A30" s="220"/>
      <c r="B30" s="2205" t="s">
        <v>844</v>
      </c>
      <c r="C30" s="2206"/>
      <c r="D30" s="2206"/>
      <c r="E30" s="2206"/>
      <c r="F30" s="2206"/>
      <c r="G30" s="2206"/>
      <c r="H30" s="2206"/>
      <c r="I30" s="1775" t="s">
        <v>100</v>
      </c>
      <c r="J30" s="2029"/>
      <c r="K30" s="2175"/>
      <c r="L30" s="2018">
        <f t="shared" ref="L30" si="7">J30*K30</f>
        <v>0</v>
      </c>
      <c r="M30" s="2020" t="str">
        <f>IFERROR(IF((VLOOKUP(N30,Überblick!$M$125:$N$134,2))="ja","ja","nein"),"")</f>
        <v/>
      </c>
      <c r="N30" s="2022"/>
      <c r="O30" s="72">
        <f t="shared" si="0"/>
        <v>0</v>
      </c>
      <c r="P30" s="78">
        <f t="shared" si="1"/>
        <v>0</v>
      </c>
      <c r="T30" s="398"/>
      <c r="U30" s="398"/>
      <c r="V30" s="398"/>
      <c r="W30" s="398"/>
      <c r="X30" s="398"/>
      <c r="Y30" s="398"/>
      <c r="Z30" s="398"/>
      <c r="AA30" s="74"/>
    </row>
    <row r="31" spans="1:28" ht="14.25" customHeight="1" outlineLevel="1" x14ac:dyDescent="0.25">
      <c r="A31" s="220"/>
      <c r="B31" s="2205"/>
      <c r="C31" s="2206"/>
      <c r="D31" s="2206"/>
      <c r="E31" s="2206"/>
      <c r="F31" s="2206"/>
      <c r="G31" s="2206"/>
      <c r="H31" s="2206"/>
      <c r="I31" s="1775"/>
      <c r="J31" s="2037"/>
      <c r="K31" s="2176"/>
      <c r="L31" s="2018"/>
      <c r="M31" s="2020"/>
      <c r="N31" s="2022"/>
      <c r="P31" s="78">
        <f t="shared" si="1"/>
        <v>0</v>
      </c>
      <c r="T31" s="398"/>
      <c r="U31" s="398"/>
      <c r="V31" s="398"/>
      <c r="W31" s="398"/>
      <c r="X31" s="398"/>
      <c r="Y31" s="398"/>
      <c r="Z31" s="398"/>
      <c r="AA31" s="74"/>
    </row>
    <row r="32" spans="1:28" ht="14.25" customHeight="1" outlineLevel="1" x14ac:dyDescent="0.25">
      <c r="A32" s="220"/>
      <c r="B32" s="2205"/>
      <c r="C32" s="2206"/>
      <c r="D32" s="2206"/>
      <c r="E32" s="2206"/>
      <c r="F32" s="2206"/>
      <c r="G32" s="2206"/>
      <c r="H32" s="2206"/>
      <c r="I32" s="1775"/>
      <c r="J32" s="2034"/>
      <c r="K32" s="2176"/>
      <c r="L32" s="2018"/>
      <c r="M32" s="2020"/>
      <c r="N32" s="2022"/>
      <c r="P32" s="78">
        <f t="shared" si="1"/>
        <v>0</v>
      </c>
      <c r="T32" s="398"/>
      <c r="U32" s="398"/>
      <c r="V32" s="398"/>
      <c r="W32" s="398"/>
      <c r="X32" s="398"/>
      <c r="Y32" s="398"/>
      <c r="Z32" s="398"/>
      <c r="AA32" s="74"/>
    </row>
    <row r="33" spans="1:27" ht="14.25" customHeight="1" outlineLevel="1" x14ac:dyDescent="0.25">
      <c r="A33" s="220"/>
      <c r="B33" s="2024" t="s">
        <v>845</v>
      </c>
      <c r="C33" s="2025"/>
      <c r="D33" s="2025"/>
      <c r="E33" s="2025"/>
      <c r="F33" s="2025"/>
      <c r="G33" s="2025"/>
      <c r="H33" s="2025"/>
      <c r="I33" s="1775" t="s">
        <v>100</v>
      </c>
      <c r="J33" s="2029"/>
      <c r="K33" s="2175"/>
      <c r="L33" s="2018">
        <f t="shared" ref="L33" si="8">J33*K33</f>
        <v>0</v>
      </c>
      <c r="M33" s="2020" t="str">
        <f>IFERROR(IF((VLOOKUP(N33,Überblick!$M$125:$N$134,2))="ja","ja","nein"),"")</f>
        <v/>
      </c>
      <c r="N33" s="2022"/>
      <c r="O33" s="72">
        <f t="shared" si="0"/>
        <v>0</v>
      </c>
      <c r="P33" s="78">
        <f t="shared" si="1"/>
        <v>0</v>
      </c>
      <c r="T33" s="398"/>
      <c r="U33" s="398"/>
      <c r="V33" s="398"/>
      <c r="W33" s="398"/>
      <c r="X33" s="398"/>
      <c r="Y33" s="398"/>
      <c r="Z33" s="398"/>
      <c r="AA33" s="74"/>
    </row>
    <row r="34" spans="1:27" ht="14.25" customHeight="1" outlineLevel="1" x14ac:dyDescent="0.25">
      <c r="A34" s="220"/>
      <c r="B34" s="2024"/>
      <c r="C34" s="2025"/>
      <c r="D34" s="2025"/>
      <c r="E34" s="2025"/>
      <c r="F34" s="2025"/>
      <c r="G34" s="2025"/>
      <c r="H34" s="2025"/>
      <c r="I34" s="1775"/>
      <c r="J34" s="2034"/>
      <c r="K34" s="2176"/>
      <c r="L34" s="2018"/>
      <c r="M34" s="2020"/>
      <c r="N34" s="2022"/>
      <c r="P34" s="78">
        <f t="shared" si="1"/>
        <v>0</v>
      </c>
      <c r="T34" s="398"/>
      <c r="U34" s="398"/>
      <c r="V34" s="398"/>
      <c r="W34" s="398"/>
      <c r="X34" s="398"/>
      <c r="Y34" s="398"/>
      <c r="Z34" s="398"/>
      <c r="AA34" s="74"/>
    </row>
    <row r="35" spans="1:27" ht="14.25" customHeight="1" outlineLevel="1" x14ac:dyDescent="0.25">
      <c r="A35" s="220"/>
      <c r="B35" s="2024" t="s">
        <v>846</v>
      </c>
      <c r="C35" s="2025"/>
      <c r="D35" s="2025"/>
      <c r="E35" s="2025"/>
      <c r="F35" s="2025"/>
      <c r="G35" s="2025"/>
      <c r="H35" s="2025"/>
      <c r="I35" s="1775" t="s">
        <v>100</v>
      </c>
      <c r="J35" s="2026"/>
      <c r="K35" s="2175"/>
      <c r="L35" s="2018">
        <f t="shared" ref="L35" si="9">J35*K35</f>
        <v>0</v>
      </c>
      <c r="M35" s="2020" t="str">
        <f>IFERROR(IF((VLOOKUP(N35,Überblick!$M$125:$N$134,2))="ja","ja","nein"),"")</f>
        <v/>
      </c>
      <c r="N35" s="2022"/>
      <c r="O35" s="72">
        <f t="shared" si="0"/>
        <v>0</v>
      </c>
      <c r="P35" s="78">
        <f t="shared" si="1"/>
        <v>0</v>
      </c>
      <c r="T35" s="398"/>
      <c r="U35" s="398"/>
      <c r="V35" s="398"/>
      <c r="W35" s="398"/>
      <c r="X35" s="398"/>
      <c r="Y35" s="398"/>
      <c r="Z35" s="398"/>
      <c r="AA35" s="74"/>
    </row>
    <row r="36" spans="1:27" ht="14.25" customHeight="1" outlineLevel="1" x14ac:dyDescent="0.25">
      <c r="A36" s="220"/>
      <c r="B36" s="2024"/>
      <c r="C36" s="2025"/>
      <c r="D36" s="2025"/>
      <c r="E36" s="2025"/>
      <c r="F36" s="2025"/>
      <c r="G36" s="2025"/>
      <c r="H36" s="2025"/>
      <c r="I36" s="1775"/>
      <c r="J36" s="2026"/>
      <c r="K36" s="2176"/>
      <c r="L36" s="2018"/>
      <c r="M36" s="2020"/>
      <c r="N36" s="2022"/>
      <c r="P36" s="78">
        <f t="shared" si="1"/>
        <v>0</v>
      </c>
      <c r="T36" s="398"/>
      <c r="U36" s="398"/>
      <c r="V36" s="398"/>
      <c r="W36" s="398"/>
      <c r="X36" s="398"/>
      <c r="Y36" s="398"/>
      <c r="Z36" s="398"/>
      <c r="AA36" s="74"/>
    </row>
    <row r="37" spans="1:27" ht="14.25" customHeight="1" outlineLevel="1" x14ac:dyDescent="0.25">
      <c r="A37" s="220"/>
      <c r="B37" s="2024"/>
      <c r="C37" s="2025"/>
      <c r="D37" s="2025"/>
      <c r="E37" s="2025"/>
      <c r="F37" s="2025"/>
      <c r="G37" s="2025"/>
      <c r="H37" s="2025"/>
      <c r="I37" s="1775"/>
      <c r="J37" s="2026"/>
      <c r="K37" s="2176"/>
      <c r="L37" s="2018"/>
      <c r="M37" s="2020"/>
      <c r="N37" s="2022"/>
      <c r="P37" s="78">
        <f t="shared" si="1"/>
        <v>0</v>
      </c>
      <c r="T37" s="398"/>
      <c r="U37" s="398"/>
      <c r="V37" s="398"/>
      <c r="W37" s="398"/>
      <c r="X37" s="398"/>
      <c r="Y37" s="398"/>
      <c r="Z37" s="398"/>
      <c r="AA37" s="74"/>
    </row>
    <row r="38" spans="1:27" ht="14.25" customHeight="1" outlineLevel="1" x14ac:dyDescent="0.25">
      <c r="A38" s="220"/>
      <c r="B38" s="2024"/>
      <c r="C38" s="2025"/>
      <c r="D38" s="2025"/>
      <c r="E38" s="2025"/>
      <c r="F38" s="2025"/>
      <c r="G38" s="2025"/>
      <c r="H38" s="2025"/>
      <c r="I38" s="1775"/>
      <c r="J38" s="2026"/>
      <c r="K38" s="2177"/>
      <c r="L38" s="2018"/>
      <c r="M38" s="2020"/>
      <c r="N38" s="2022"/>
      <c r="P38" s="78">
        <f t="shared" si="1"/>
        <v>0</v>
      </c>
      <c r="T38" s="398"/>
      <c r="U38" s="398"/>
      <c r="V38" s="398"/>
      <c r="W38" s="398"/>
      <c r="X38" s="398"/>
      <c r="Y38" s="398"/>
      <c r="Z38" s="398"/>
      <c r="AA38" s="74"/>
    </row>
    <row r="39" spans="1:27" ht="14.25" customHeight="1" outlineLevel="1" x14ac:dyDescent="0.25">
      <c r="A39" s="220"/>
      <c r="B39" s="2024" t="s">
        <v>847</v>
      </c>
      <c r="C39" s="2025"/>
      <c r="D39" s="2025"/>
      <c r="E39" s="2025"/>
      <c r="F39" s="2025"/>
      <c r="G39" s="2025"/>
      <c r="H39" s="2025"/>
      <c r="I39" s="1775" t="s">
        <v>100</v>
      </c>
      <c r="J39" s="2026"/>
      <c r="K39" s="2175"/>
      <c r="L39" s="2018">
        <f t="shared" ref="L39" si="10">J39*K39</f>
        <v>0</v>
      </c>
      <c r="M39" s="2020" t="str">
        <f>IFERROR(IF((VLOOKUP(N39,Überblick!$M$125:$N$134,2))="ja","ja","nein"),"")</f>
        <v/>
      </c>
      <c r="N39" s="2022"/>
      <c r="O39" s="72">
        <f t="shared" si="0"/>
        <v>0</v>
      </c>
      <c r="P39" s="78">
        <f t="shared" si="1"/>
        <v>0</v>
      </c>
      <c r="T39" s="398"/>
      <c r="U39" s="398"/>
      <c r="V39" s="398"/>
      <c r="W39" s="398"/>
      <c r="X39" s="398"/>
      <c r="Y39" s="398"/>
      <c r="Z39" s="398"/>
      <c r="AA39" s="74"/>
    </row>
    <row r="40" spans="1:27" ht="14.25" customHeight="1" outlineLevel="1" x14ac:dyDescent="0.25">
      <c r="A40" s="220"/>
      <c r="B40" s="2024"/>
      <c r="C40" s="2025"/>
      <c r="D40" s="2025"/>
      <c r="E40" s="2025"/>
      <c r="F40" s="2025"/>
      <c r="G40" s="2025"/>
      <c r="H40" s="2025"/>
      <c r="I40" s="1775"/>
      <c r="J40" s="2026"/>
      <c r="K40" s="2176"/>
      <c r="L40" s="2018"/>
      <c r="M40" s="2020"/>
      <c r="N40" s="2022"/>
      <c r="P40" s="78">
        <f t="shared" si="1"/>
        <v>0</v>
      </c>
      <c r="T40" s="398"/>
      <c r="U40" s="398"/>
      <c r="V40" s="398"/>
      <c r="W40" s="398"/>
      <c r="X40" s="398"/>
      <c r="Y40" s="398"/>
      <c r="Z40" s="398"/>
      <c r="AA40" s="74"/>
    </row>
    <row r="41" spans="1:27" ht="14.25" customHeight="1" outlineLevel="1" x14ac:dyDescent="0.25">
      <c r="A41" s="220"/>
      <c r="B41" s="2024"/>
      <c r="C41" s="2025"/>
      <c r="D41" s="2025"/>
      <c r="E41" s="2025"/>
      <c r="F41" s="2025"/>
      <c r="G41" s="2025"/>
      <c r="H41" s="2025"/>
      <c r="I41" s="1775"/>
      <c r="J41" s="2026"/>
      <c r="K41" s="2176"/>
      <c r="L41" s="2018"/>
      <c r="M41" s="2020"/>
      <c r="N41" s="2022"/>
      <c r="P41" s="78">
        <f t="shared" si="1"/>
        <v>0</v>
      </c>
      <c r="T41" s="398"/>
      <c r="U41" s="398"/>
      <c r="V41" s="398"/>
      <c r="W41" s="398"/>
      <c r="X41" s="398"/>
      <c r="Y41" s="398"/>
      <c r="Z41" s="398"/>
      <c r="AA41" s="74"/>
    </row>
    <row r="42" spans="1:27" ht="14.25" customHeight="1" outlineLevel="1" x14ac:dyDescent="0.25">
      <c r="A42" s="220"/>
      <c r="B42" s="2024"/>
      <c r="C42" s="2025"/>
      <c r="D42" s="2025"/>
      <c r="E42" s="2025"/>
      <c r="F42" s="2025"/>
      <c r="G42" s="2025"/>
      <c r="H42" s="2025"/>
      <c r="I42" s="1775"/>
      <c r="J42" s="2026"/>
      <c r="K42" s="2176"/>
      <c r="L42" s="2018"/>
      <c r="M42" s="2020"/>
      <c r="N42" s="2022"/>
      <c r="P42" s="78">
        <f t="shared" si="1"/>
        <v>0</v>
      </c>
      <c r="T42" s="398"/>
      <c r="U42" s="398"/>
      <c r="V42" s="398"/>
      <c r="W42" s="398"/>
      <c r="X42" s="398"/>
      <c r="Y42" s="398"/>
      <c r="Z42" s="398"/>
      <c r="AA42" s="74"/>
    </row>
    <row r="43" spans="1:27" ht="14.25" customHeight="1" outlineLevel="1" x14ac:dyDescent="0.25">
      <c r="A43" s="220"/>
      <c r="B43" s="2024"/>
      <c r="C43" s="2025"/>
      <c r="D43" s="2025"/>
      <c r="E43" s="2025"/>
      <c r="F43" s="2025"/>
      <c r="G43" s="2025"/>
      <c r="H43" s="2025"/>
      <c r="I43" s="1775"/>
      <c r="J43" s="2026"/>
      <c r="K43" s="2176"/>
      <c r="L43" s="2018"/>
      <c r="M43" s="2020"/>
      <c r="N43" s="2022"/>
      <c r="P43" s="78">
        <f t="shared" si="1"/>
        <v>0</v>
      </c>
      <c r="T43" s="398"/>
      <c r="U43" s="398"/>
      <c r="V43" s="398"/>
      <c r="W43" s="398"/>
      <c r="X43" s="398"/>
      <c r="Y43" s="398"/>
      <c r="Z43" s="398"/>
      <c r="AA43" s="74"/>
    </row>
    <row r="44" spans="1:27" ht="14.25" customHeight="1" outlineLevel="1" x14ac:dyDescent="0.25">
      <c r="A44" s="220"/>
      <c r="B44" s="2024"/>
      <c r="C44" s="2025"/>
      <c r="D44" s="2025"/>
      <c r="E44" s="2025"/>
      <c r="F44" s="2025"/>
      <c r="G44" s="2025"/>
      <c r="H44" s="2025"/>
      <c r="I44" s="1775"/>
      <c r="J44" s="2026"/>
      <c r="K44" s="2177"/>
      <c r="L44" s="2018"/>
      <c r="M44" s="2020"/>
      <c r="N44" s="2022"/>
      <c r="P44" s="78">
        <f t="shared" si="1"/>
        <v>0</v>
      </c>
      <c r="T44" s="398"/>
      <c r="U44" s="398"/>
      <c r="V44" s="398"/>
      <c r="W44" s="398"/>
      <c r="X44" s="398"/>
      <c r="Y44" s="398"/>
      <c r="Z44" s="398"/>
      <c r="AA44" s="74"/>
    </row>
    <row r="45" spans="1:27" ht="14.25" customHeight="1" outlineLevel="1" x14ac:dyDescent="0.25">
      <c r="A45" s="220"/>
      <c r="B45" s="2024" t="s">
        <v>848</v>
      </c>
      <c r="C45" s="2025"/>
      <c r="D45" s="2025"/>
      <c r="E45" s="2025"/>
      <c r="F45" s="2025"/>
      <c r="G45" s="2025"/>
      <c r="H45" s="2025"/>
      <c r="I45" s="1775" t="s">
        <v>100</v>
      </c>
      <c r="J45" s="2026"/>
      <c r="K45" s="2175"/>
      <c r="L45" s="2018">
        <f t="shared" ref="L45" si="11">J45*K45</f>
        <v>0</v>
      </c>
      <c r="M45" s="2020" t="str">
        <f>IFERROR(IF((VLOOKUP(N45,Überblick!$M$125:$N$134,2))="ja","ja","nein"),"")</f>
        <v/>
      </c>
      <c r="N45" s="2022"/>
      <c r="O45" s="72">
        <f t="shared" si="0"/>
        <v>0</v>
      </c>
      <c r="P45" s="78">
        <f t="shared" si="1"/>
        <v>0</v>
      </c>
      <c r="T45" s="398"/>
      <c r="U45" s="398"/>
      <c r="V45" s="398"/>
      <c r="W45" s="398"/>
      <c r="X45" s="398"/>
      <c r="Y45" s="398"/>
      <c r="Z45" s="398"/>
      <c r="AA45" s="74"/>
    </row>
    <row r="46" spans="1:27" ht="14.25" customHeight="1" outlineLevel="1" x14ac:dyDescent="0.25">
      <c r="A46" s="220"/>
      <c r="B46" s="2024"/>
      <c r="C46" s="2025"/>
      <c r="D46" s="2025"/>
      <c r="E46" s="2025"/>
      <c r="F46" s="2025"/>
      <c r="G46" s="2025"/>
      <c r="H46" s="2025"/>
      <c r="I46" s="1775"/>
      <c r="J46" s="2026"/>
      <c r="K46" s="2176"/>
      <c r="L46" s="2018"/>
      <c r="M46" s="2020"/>
      <c r="N46" s="2022"/>
      <c r="P46" s="78">
        <f t="shared" si="1"/>
        <v>0</v>
      </c>
      <c r="T46" s="398"/>
      <c r="U46" s="398"/>
      <c r="V46" s="398"/>
      <c r="W46" s="398"/>
      <c r="X46" s="398"/>
      <c r="Y46" s="398"/>
      <c r="Z46" s="398"/>
      <c r="AA46" s="74"/>
    </row>
    <row r="47" spans="1:27" ht="14.25" customHeight="1" outlineLevel="1" x14ac:dyDescent="0.25">
      <c r="A47" s="220"/>
      <c r="B47" s="2024"/>
      <c r="C47" s="2025"/>
      <c r="D47" s="2025"/>
      <c r="E47" s="2025"/>
      <c r="F47" s="2025"/>
      <c r="G47" s="2025"/>
      <c r="H47" s="2025"/>
      <c r="I47" s="1775"/>
      <c r="J47" s="2026"/>
      <c r="K47" s="2176"/>
      <c r="L47" s="2018"/>
      <c r="M47" s="2020"/>
      <c r="N47" s="2022"/>
      <c r="P47" s="78">
        <f t="shared" si="1"/>
        <v>0</v>
      </c>
      <c r="T47" s="398"/>
      <c r="U47" s="398"/>
      <c r="V47" s="398"/>
      <c r="W47" s="398"/>
      <c r="X47" s="398"/>
      <c r="Y47" s="398"/>
      <c r="Z47" s="398"/>
      <c r="AA47" s="74"/>
    </row>
    <row r="48" spans="1:27" ht="14.25" customHeight="1" outlineLevel="1" x14ac:dyDescent="0.25">
      <c r="A48" s="220"/>
      <c r="B48" s="2024"/>
      <c r="C48" s="2025"/>
      <c r="D48" s="2025"/>
      <c r="E48" s="2025"/>
      <c r="F48" s="2025"/>
      <c r="G48" s="2025"/>
      <c r="H48" s="2025"/>
      <c r="I48" s="1775"/>
      <c r="J48" s="2026"/>
      <c r="K48" s="2176"/>
      <c r="L48" s="2018"/>
      <c r="M48" s="2020"/>
      <c r="N48" s="2022"/>
      <c r="P48" s="78">
        <f t="shared" si="1"/>
        <v>0</v>
      </c>
      <c r="T48" s="398"/>
      <c r="U48" s="398"/>
      <c r="V48" s="398"/>
      <c r="W48" s="398"/>
      <c r="X48" s="398"/>
      <c r="Y48" s="398"/>
      <c r="Z48" s="398"/>
      <c r="AA48" s="74"/>
    </row>
    <row r="49" spans="1:45" ht="14.25" customHeight="1" outlineLevel="1" x14ac:dyDescent="0.25">
      <c r="A49" s="220"/>
      <c r="B49" s="2024"/>
      <c r="C49" s="2025"/>
      <c r="D49" s="2025"/>
      <c r="E49" s="2025"/>
      <c r="F49" s="2025"/>
      <c r="G49" s="2025"/>
      <c r="H49" s="2025"/>
      <c r="I49" s="1775"/>
      <c r="J49" s="2026"/>
      <c r="K49" s="2177"/>
      <c r="L49" s="2018"/>
      <c r="M49" s="2020"/>
      <c r="N49" s="2022"/>
      <c r="P49" s="78">
        <f t="shared" si="1"/>
        <v>0</v>
      </c>
      <c r="T49" s="398"/>
      <c r="U49" s="398"/>
      <c r="V49" s="398"/>
      <c r="W49" s="398"/>
      <c r="X49" s="398"/>
      <c r="Y49" s="398"/>
      <c r="Z49" s="398"/>
      <c r="AA49" s="74"/>
    </row>
    <row r="50" spans="1:45" ht="14.25" customHeight="1" outlineLevel="1" x14ac:dyDescent="0.25">
      <c r="A50" s="220"/>
      <c r="B50" s="2024" t="s">
        <v>849</v>
      </c>
      <c r="C50" s="2025"/>
      <c r="D50" s="2025"/>
      <c r="E50" s="2025"/>
      <c r="F50" s="2025"/>
      <c r="G50" s="2025"/>
      <c r="H50" s="2025"/>
      <c r="I50" s="1775" t="s">
        <v>100</v>
      </c>
      <c r="J50" s="2026"/>
      <c r="K50" s="2175"/>
      <c r="L50" s="2018">
        <f t="shared" ref="L50" si="12">J50*K50</f>
        <v>0</v>
      </c>
      <c r="M50" s="2020" t="str">
        <f>IFERROR(IF((VLOOKUP(N50,Überblick!$M$125:$N$134,2))="ja","ja","nein"),"")</f>
        <v/>
      </c>
      <c r="N50" s="2022"/>
      <c r="O50" s="72">
        <f t="shared" si="0"/>
        <v>0</v>
      </c>
      <c r="P50" s="78">
        <f t="shared" si="1"/>
        <v>0</v>
      </c>
      <c r="T50" s="398"/>
      <c r="U50" s="398"/>
      <c r="V50" s="398"/>
      <c r="W50" s="398"/>
      <c r="X50" s="398"/>
      <c r="Y50" s="398"/>
      <c r="Z50" s="398"/>
      <c r="AA50" s="74"/>
    </row>
    <row r="51" spans="1:45" ht="14.25" customHeight="1" outlineLevel="1" x14ac:dyDescent="0.25">
      <c r="A51" s="220"/>
      <c r="B51" s="2024"/>
      <c r="C51" s="2025"/>
      <c r="D51" s="2025"/>
      <c r="E51" s="2025"/>
      <c r="F51" s="2025"/>
      <c r="G51" s="2025"/>
      <c r="H51" s="2025"/>
      <c r="I51" s="1775"/>
      <c r="J51" s="2026"/>
      <c r="K51" s="2177"/>
      <c r="L51" s="2018"/>
      <c r="M51" s="2020"/>
      <c r="N51" s="2022"/>
      <c r="P51" s="78">
        <f t="shared" si="1"/>
        <v>0</v>
      </c>
      <c r="T51" s="398"/>
      <c r="U51" s="398"/>
      <c r="V51" s="398"/>
      <c r="W51" s="398"/>
      <c r="X51" s="398"/>
      <c r="Y51" s="398"/>
      <c r="Z51" s="398"/>
      <c r="AA51" s="74"/>
    </row>
    <row r="52" spans="1:45" ht="14.25" customHeight="1" outlineLevel="1" x14ac:dyDescent="0.25">
      <c r="A52" s="220"/>
      <c r="B52" s="2024" t="s">
        <v>850</v>
      </c>
      <c r="C52" s="2025"/>
      <c r="D52" s="2025"/>
      <c r="E52" s="2025"/>
      <c r="F52" s="2025"/>
      <c r="G52" s="2025"/>
      <c r="H52" s="2025"/>
      <c r="I52" s="407" t="s">
        <v>100</v>
      </c>
      <c r="J52" s="408"/>
      <c r="K52" s="415"/>
      <c r="L52" s="406">
        <f t="shared" ref="L52" si="13">J52*K52</f>
        <v>0</v>
      </c>
      <c r="M52" s="530" t="str">
        <f>IFERROR(IF((VLOOKUP(N52,Überblick!$M$125:$N$134,2))="ja","ja","nein"),"")</f>
        <v/>
      </c>
      <c r="N52" s="409"/>
      <c r="O52" s="72">
        <f t="shared" si="0"/>
        <v>0</v>
      </c>
      <c r="P52" s="78">
        <f t="shared" si="1"/>
        <v>0</v>
      </c>
      <c r="T52" s="398"/>
      <c r="U52" s="398"/>
      <c r="V52" s="398"/>
      <c r="W52" s="398"/>
      <c r="X52" s="398"/>
      <c r="Y52" s="398"/>
      <c r="Z52" s="398"/>
      <c r="AA52" s="150"/>
      <c r="AB52" s="150"/>
    </row>
    <row r="53" spans="1:45" ht="14.25" customHeight="1" outlineLevel="1" x14ac:dyDescent="0.25">
      <c r="A53" s="220"/>
      <c r="B53" s="2183" t="s">
        <v>851</v>
      </c>
      <c r="C53" s="2184"/>
      <c r="D53" s="2184"/>
      <c r="E53" s="2184"/>
      <c r="F53" s="2184"/>
      <c r="G53" s="2184"/>
      <c r="H53" s="2185"/>
      <c r="I53" s="404"/>
      <c r="J53" s="430"/>
      <c r="K53" s="431"/>
      <c r="L53" s="429"/>
      <c r="M53" s="405"/>
      <c r="N53" s="405"/>
      <c r="P53" s="78">
        <f t="shared" si="1"/>
        <v>0</v>
      </c>
      <c r="T53" s="398"/>
      <c r="U53" s="398"/>
      <c r="V53" s="398"/>
      <c r="W53" s="398"/>
      <c r="X53" s="398"/>
      <c r="Y53" s="398"/>
      <c r="Z53" s="398"/>
      <c r="AA53" s="74"/>
      <c r="AP53" s="68"/>
      <c r="AQ53" s="68"/>
      <c r="AR53" s="68"/>
      <c r="AS53" s="68"/>
    </row>
    <row r="54" spans="1:45" ht="15" customHeight="1" outlineLevel="1" x14ac:dyDescent="0.25">
      <c r="A54" s="220"/>
      <c r="B54" s="2024" t="s">
        <v>852</v>
      </c>
      <c r="C54" s="2025"/>
      <c r="D54" s="2025"/>
      <c r="E54" s="2025"/>
      <c r="F54" s="2025"/>
      <c r="G54" s="2025"/>
      <c r="H54" s="2025"/>
      <c r="I54" s="1775" t="s">
        <v>100</v>
      </c>
      <c r="J54" s="2026"/>
      <c r="K54" s="2175"/>
      <c r="L54" s="2018">
        <f t="shared" ref="L54" si="14">J54*K54</f>
        <v>0</v>
      </c>
      <c r="M54" s="2020" t="str">
        <f>IFERROR(IF((VLOOKUP(N54,Überblick!$M$125:$N$134,2))="ja","ja","nein"),"")</f>
        <v/>
      </c>
      <c r="N54" s="2022"/>
      <c r="O54" s="72">
        <f t="shared" si="0"/>
        <v>0</v>
      </c>
      <c r="P54" s="78">
        <f t="shared" si="1"/>
        <v>0</v>
      </c>
      <c r="T54" s="398"/>
      <c r="U54" s="398"/>
      <c r="V54" s="398"/>
      <c r="W54" s="398"/>
      <c r="X54" s="398"/>
      <c r="Y54" s="398"/>
      <c r="Z54" s="398"/>
      <c r="AA54" s="74"/>
      <c r="AP54" s="68"/>
      <c r="AQ54" s="68"/>
      <c r="AR54" s="68"/>
      <c r="AS54" s="68"/>
    </row>
    <row r="55" spans="1:45" ht="15" customHeight="1" outlineLevel="1" x14ac:dyDescent="0.25">
      <c r="A55" s="220"/>
      <c r="B55" s="2024"/>
      <c r="C55" s="2025"/>
      <c r="D55" s="2025"/>
      <c r="E55" s="2025"/>
      <c r="F55" s="2025"/>
      <c r="G55" s="2025"/>
      <c r="H55" s="2025"/>
      <c r="I55" s="1775"/>
      <c r="J55" s="2026"/>
      <c r="K55" s="2176"/>
      <c r="L55" s="2018"/>
      <c r="M55" s="2020"/>
      <c r="N55" s="2022"/>
      <c r="P55" s="78">
        <f t="shared" si="1"/>
        <v>0</v>
      </c>
      <c r="T55" s="398"/>
      <c r="U55" s="398"/>
      <c r="V55" s="398"/>
      <c r="W55" s="398"/>
      <c r="X55" s="398"/>
      <c r="Y55" s="398"/>
      <c r="Z55" s="398"/>
      <c r="AA55" s="74"/>
      <c r="AP55" s="68"/>
      <c r="AQ55" s="68"/>
      <c r="AR55" s="68"/>
      <c r="AS55" s="68"/>
    </row>
    <row r="56" spans="1:45" ht="14.25" customHeight="1" outlineLevel="1" x14ac:dyDescent="0.25">
      <c r="A56" s="220"/>
      <c r="B56" s="2024"/>
      <c r="C56" s="2025"/>
      <c r="D56" s="2025"/>
      <c r="E56" s="2025"/>
      <c r="F56" s="2025"/>
      <c r="G56" s="2025"/>
      <c r="H56" s="2025"/>
      <c r="I56" s="1775"/>
      <c r="J56" s="2026"/>
      <c r="K56" s="2177"/>
      <c r="L56" s="2018"/>
      <c r="M56" s="2020"/>
      <c r="N56" s="2022"/>
      <c r="P56" s="78">
        <f t="shared" si="1"/>
        <v>0</v>
      </c>
      <c r="T56" s="398"/>
      <c r="U56" s="398"/>
      <c r="V56" s="398"/>
      <c r="W56" s="398"/>
      <c r="X56" s="398"/>
      <c r="Y56" s="398"/>
      <c r="Z56" s="398"/>
      <c r="AA56" s="74"/>
      <c r="AP56" s="68"/>
      <c r="AQ56" s="68"/>
      <c r="AR56" s="68"/>
      <c r="AS56" s="68"/>
    </row>
    <row r="57" spans="1:45" ht="14.25" customHeight="1" outlineLevel="1" x14ac:dyDescent="0.25">
      <c r="A57" s="220"/>
      <c r="B57" s="2024" t="s">
        <v>853</v>
      </c>
      <c r="C57" s="2025"/>
      <c r="D57" s="2025"/>
      <c r="E57" s="2025"/>
      <c r="F57" s="2025"/>
      <c r="G57" s="2025"/>
      <c r="H57" s="2025"/>
      <c r="I57" s="1775" t="s">
        <v>100</v>
      </c>
      <c r="J57" s="2026"/>
      <c r="K57" s="2175"/>
      <c r="L57" s="2018">
        <f t="shared" ref="L57" si="15">J57*K57</f>
        <v>0</v>
      </c>
      <c r="M57" s="2020" t="str">
        <f>IFERROR(IF((VLOOKUP(N57,Überblick!$M$125:$N$134,2))="ja","ja","nein"),"")</f>
        <v/>
      </c>
      <c r="N57" s="2022"/>
      <c r="O57" s="72">
        <f t="shared" si="0"/>
        <v>0</v>
      </c>
      <c r="P57" s="78">
        <f t="shared" si="1"/>
        <v>0</v>
      </c>
      <c r="T57" s="398"/>
      <c r="U57" s="398"/>
      <c r="V57" s="398"/>
      <c r="W57" s="398"/>
      <c r="X57" s="398"/>
      <c r="Y57" s="398"/>
      <c r="Z57" s="398"/>
      <c r="AA57" s="74"/>
      <c r="AP57" s="68"/>
      <c r="AQ57" s="68"/>
      <c r="AR57" s="68"/>
      <c r="AS57" s="68"/>
    </row>
    <row r="58" spans="1:45" ht="14.25" customHeight="1" outlineLevel="1" x14ac:dyDescent="0.25">
      <c r="A58" s="220"/>
      <c r="B58" s="2024"/>
      <c r="C58" s="2025"/>
      <c r="D58" s="2025"/>
      <c r="E58" s="2025"/>
      <c r="F58" s="2025"/>
      <c r="G58" s="2025"/>
      <c r="H58" s="2025"/>
      <c r="I58" s="1775"/>
      <c r="J58" s="2026"/>
      <c r="K58" s="2176"/>
      <c r="L58" s="2018"/>
      <c r="M58" s="2020"/>
      <c r="N58" s="2022"/>
      <c r="P58" s="78">
        <f t="shared" si="1"/>
        <v>0</v>
      </c>
      <c r="T58" s="398"/>
      <c r="U58" s="398"/>
      <c r="V58" s="398"/>
      <c r="W58" s="398"/>
      <c r="X58" s="398"/>
      <c r="Y58" s="398"/>
      <c r="Z58" s="398"/>
      <c r="AA58" s="74"/>
      <c r="AP58" s="68"/>
      <c r="AQ58" s="68"/>
      <c r="AR58" s="68"/>
      <c r="AS58" s="68"/>
    </row>
    <row r="59" spans="1:45" ht="14.25" customHeight="1" outlineLevel="1" x14ac:dyDescent="0.25">
      <c r="A59" s="220"/>
      <c r="B59" s="2024"/>
      <c r="C59" s="2025"/>
      <c r="D59" s="2025"/>
      <c r="E59" s="2025"/>
      <c r="F59" s="2025"/>
      <c r="G59" s="2025"/>
      <c r="H59" s="2025"/>
      <c r="I59" s="1775"/>
      <c r="J59" s="2026"/>
      <c r="K59" s="2177"/>
      <c r="L59" s="2018"/>
      <c r="M59" s="2020"/>
      <c r="N59" s="2022"/>
      <c r="P59" s="78">
        <f t="shared" si="1"/>
        <v>0</v>
      </c>
      <c r="T59" s="398"/>
      <c r="U59" s="398"/>
      <c r="V59" s="398"/>
      <c r="W59" s="398"/>
      <c r="X59" s="398"/>
      <c r="Y59" s="398"/>
      <c r="Z59" s="398"/>
      <c r="AA59" s="74"/>
      <c r="AP59" s="68"/>
      <c r="AQ59" s="68"/>
      <c r="AR59" s="68"/>
      <c r="AS59" s="68"/>
    </row>
    <row r="60" spans="1:45" ht="14.25" customHeight="1" outlineLevel="1" x14ac:dyDescent="0.25">
      <c r="A60" s="220"/>
      <c r="B60" s="2024" t="s">
        <v>854</v>
      </c>
      <c r="C60" s="2025"/>
      <c r="D60" s="2025"/>
      <c r="E60" s="2025"/>
      <c r="F60" s="2025"/>
      <c r="G60" s="2025"/>
      <c r="H60" s="2025"/>
      <c r="I60" s="1775" t="s">
        <v>100</v>
      </c>
      <c r="J60" s="2026"/>
      <c r="K60" s="2175"/>
      <c r="L60" s="2018">
        <f t="shared" ref="L60" si="16">J60*K60</f>
        <v>0</v>
      </c>
      <c r="M60" s="2020" t="str">
        <f>IFERROR(IF((VLOOKUP(N60,Überblick!$M$125:$N$134,2))="ja","ja","nein"),"")</f>
        <v/>
      </c>
      <c r="N60" s="2022"/>
      <c r="O60" s="72">
        <f t="shared" si="0"/>
        <v>0</v>
      </c>
      <c r="P60" s="78">
        <f t="shared" si="1"/>
        <v>0</v>
      </c>
      <c r="T60" s="398"/>
      <c r="U60" s="398"/>
      <c r="V60" s="398"/>
      <c r="W60" s="398"/>
      <c r="X60" s="398"/>
      <c r="Y60" s="398"/>
      <c r="Z60" s="398"/>
      <c r="AA60" s="74"/>
      <c r="AP60" s="68"/>
      <c r="AQ60" s="68"/>
      <c r="AR60" s="68"/>
      <c r="AS60" s="68"/>
    </row>
    <row r="61" spans="1:45" ht="14.25" customHeight="1" outlineLevel="1" x14ac:dyDescent="0.25">
      <c r="A61" s="220"/>
      <c r="B61" s="2024"/>
      <c r="C61" s="2025"/>
      <c r="D61" s="2025"/>
      <c r="E61" s="2025"/>
      <c r="F61" s="2025"/>
      <c r="G61" s="2025"/>
      <c r="H61" s="2025"/>
      <c r="I61" s="1775"/>
      <c r="J61" s="2026"/>
      <c r="K61" s="2176"/>
      <c r="L61" s="2018"/>
      <c r="M61" s="2020"/>
      <c r="N61" s="2022"/>
      <c r="P61" s="78">
        <f t="shared" si="1"/>
        <v>0</v>
      </c>
      <c r="T61" s="398"/>
      <c r="U61" s="398"/>
      <c r="V61" s="398"/>
      <c r="W61" s="398"/>
      <c r="X61" s="398"/>
      <c r="Y61" s="398"/>
      <c r="Z61" s="398"/>
      <c r="AA61" s="74"/>
      <c r="AP61" s="68"/>
      <c r="AQ61" s="68"/>
      <c r="AR61" s="68"/>
      <c r="AS61" s="68"/>
    </row>
    <row r="62" spans="1:45" ht="14.25" customHeight="1" outlineLevel="1" x14ac:dyDescent="0.25">
      <c r="A62" s="220"/>
      <c r="B62" s="2024"/>
      <c r="C62" s="2025"/>
      <c r="D62" s="2025"/>
      <c r="E62" s="2025"/>
      <c r="F62" s="2025"/>
      <c r="G62" s="2025"/>
      <c r="H62" s="2025"/>
      <c r="I62" s="1775"/>
      <c r="J62" s="2026"/>
      <c r="K62" s="2176"/>
      <c r="L62" s="2018"/>
      <c r="M62" s="2020"/>
      <c r="N62" s="2022"/>
      <c r="P62" s="78">
        <f t="shared" si="1"/>
        <v>0</v>
      </c>
      <c r="T62" s="398"/>
      <c r="U62" s="398"/>
      <c r="V62" s="398"/>
      <c r="W62" s="398"/>
      <c r="X62" s="398"/>
      <c r="Y62" s="398"/>
      <c r="Z62" s="398"/>
      <c r="AA62" s="74"/>
      <c r="AP62" s="68"/>
      <c r="AQ62" s="68"/>
      <c r="AR62" s="68"/>
      <c r="AS62" s="68"/>
    </row>
    <row r="63" spans="1:45" ht="14.25" customHeight="1" outlineLevel="1" x14ac:dyDescent="0.25">
      <c r="A63" s="220"/>
      <c r="B63" s="2024"/>
      <c r="C63" s="2025"/>
      <c r="D63" s="2025"/>
      <c r="E63" s="2025"/>
      <c r="F63" s="2025"/>
      <c r="G63" s="2025"/>
      <c r="H63" s="2025"/>
      <c r="I63" s="1775"/>
      <c r="J63" s="2026"/>
      <c r="K63" s="2176"/>
      <c r="L63" s="2018"/>
      <c r="M63" s="2020"/>
      <c r="N63" s="2022"/>
      <c r="P63" s="78">
        <f t="shared" si="1"/>
        <v>0</v>
      </c>
      <c r="T63" s="398"/>
      <c r="U63" s="398"/>
      <c r="V63" s="398"/>
      <c r="W63" s="398"/>
      <c r="X63" s="398"/>
      <c r="Y63" s="398"/>
      <c r="Z63" s="398"/>
      <c r="AA63" s="74"/>
      <c r="AP63" s="68"/>
      <c r="AQ63" s="68"/>
      <c r="AR63" s="68"/>
      <c r="AS63" s="68"/>
    </row>
    <row r="64" spans="1:45" ht="14.25" customHeight="1" outlineLevel="1" x14ac:dyDescent="0.25">
      <c r="A64" s="220"/>
      <c r="B64" s="2024"/>
      <c r="C64" s="2025"/>
      <c r="D64" s="2025"/>
      <c r="E64" s="2025"/>
      <c r="F64" s="2025"/>
      <c r="G64" s="2025"/>
      <c r="H64" s="2025"/>
      <c r="I64" s="1775"/>
      <c r="J64" s="2026"/>
      <c r="K64" s="2177"/>
      <c r="L64" s="2018"/>
      <c r="M64" s="2020"/>
      <c r="N64" s="2022"/>
      <c r="P64" s="78">
        <f t="shared" si="1"/>
        <v>0</v>
      </c>
      <c r="T64" s="398"/>
      <c r="U64" s="398"/>
      <c r="V64" s="398"/>
      <c r="W64" s="398"/>
      <c r="X64" s="398"/>
      <c r="Y64" s="398"/>
      <c r="Z64" s="398"/>
      <c r="AA64" s="74"/>
      <c r="AP64" s="68"/>
      <c r="AQ64" s="68"/>
      <c r="AR64" s="68"/>
      <c r="AS64" s="68"/>
    </row>
    <row r="65" spans="1:45" ht="14.25" customHeight="1" outlineLevel="1" x14ac:dyDescent="0.25">
      <c r="A65" s="220"/>
      <c r="B65" s="2024" t="s">
        <v>855</v>
      </c>
      <c r="C65" s="2025"/>
      <c r="D65" s="2025"/>
      <c r="E65" s="2025"/>
      <c r="F65" s="2025"/>
      <c r="G65" s="2025"/>
      <c r="H65" s="2025"/>
      <c r="I65" s="1775" t="s">
        <v>100</v>
      </c>
      <c r="J65" s="2026"/>
      <c r="K65" s="2175"/>
      <c r="L65" s="2018">
        <f t="shared" ref="L65" si="17">J65*K65</f>
        <v>0</v>
      </c>
      <c r="M65" s="2020" t="str">
        <f>IFERROR(IF((VLOOKUP(N65,Überblick!$M$125:$N$134,2))="ja","ja","nein"),"")</f>
        <v/>
      </c>
      <c r="N65" s="2022"/>
      <c r="O65" s="72">
        <f t="shared" si="0"/>
        <v>0</v>
      </c>
      <c r="P65" s="78">
        <f t="shared" si="1"/>
        <v>0</v>
      </c>
      <c r="T65" s="398"/>
      <c r="U65" s="398"/>
      <c r="V65" s="398"/>
      <c r="W65" s="398"/>
      <c r="X65" s="398"/>
      <c r="Y65" s="398"/>
      <c r="Z65" s="398"/>
      <c r="AA65" s="74"/>
      <c r="AP65" s="68"/>
      <c r="AQ65" s="68"/>
      <c r="AR65" s="68"/>
      <c r="AS65" s="68"/>
    </row>
    <row r="66" spans="1:45" ht="14.25" customHeight="1" outlineLevel="1" x14ac:dyDescent="0.25">
      <c r="A66" s="220"/>
      <c r="B66" s="2024"/>
      <c r="C66" s="2025"/>
      <c r="D66" s="2025"/>
      <c r="E66" s="2025"/>
      <c r="F66" s="2025"/>
      <c r="G66" s="2025"/>
      <c r="H66" s="2025"/>
      <c r="I66" s="1775"/>
      <c r="J66" s="2026"/>
      <c r="K66" s="2176"/>
      <c r="L66" s="2018"/>
      <c r="M66" s="2020"/>
      <c r="N66" s="2022"/>
      <c r="P66" s="78">
        <f t="shared" si="1"/>
        <v>0</v>
      </c>
      <c r="T66" s="398"/>
      <c r="U66" s="398"/>
      <c r="V66" s="398"/>
      <c r="W66" s="398"/>
      <c r="X66" s="398"/>
      <c r="Y66" s="398"/>
      <c r="Z66" s="398"/>
      <c r="AA66" s="74"/>
      <c r="AP66" s="68"/>
      <c r="AQ66" s="68"/>
      <c r="AR66" s="68"/>
      <c r="AS66" s="68"/>
    </row>
    <row r="67" spans="1:45" ht="14.25" customHeight="1" outlineLevel="1" x14ac:dyDescent="0.25">
      <c r="A67" s="220"/>
      <c r="B67" s="2024"/>
      <c r="C67" s="2025"/>
      <c r="D67" s="2025"/>
      <c r="E67" s="2025"/>
      <c r="F67" s="2025"/>
      <c r="G67" s="2025"/>
      <c r="H67" s="2025"/>
      <c r="I67" s="1775"/>
      <c r="J67" s="2026"/>
      <c r="K67" s="2177"/>
      <c r="L67" s="2018"/>
      <c r="M67" s="2020"/>
      <c r="N67" s="2022"/>
      <c r="P67" s="78">
        <f t="shared" si="1"/>
        <v>0</v>
      </c>
      <c r="T67" s="398"/>
      <c r="U67" s="398"/>
      <c r="V67" s="398"/>
      <c r="W67" s="398"/>
      <c r="X67" s="398"/>
      <c r="Y67" s="398"/>
      <c r="Z67" s="398"/>
      <c r="AA67" s="74"/>
      <c r="AP67" s="68"/>
      <c r="AQ67" s="68"/>
      <c r="AR67" s="68"/>
      <c r="AS67" s="68"/>
    </row>
    <row r="68" spans="1:45" ht="14.25" customHeight="1" outlineLevel="1" x14ac:dyDescent="0.25">
      <c r="A68" s="220"/>
      <c r="B68" s="2024" t="s">
        <v>856</v>
      </c>
      <c r="C68" s="2025"/>
      <c r="D68" s="2025"/>
      <c r="E68" s="2025"/>
      <c r="F68" s="2025"/>
      <c r="G68" s="2025"/>
      <c r="H68" s="2025"/>
      <c r="I68" s="1775" t="s">
        <v>100</v>
      </c>
      <c r="J68" s="2026"/>
      <c r="K68" s="2175"/>
      <c r="L68" s="2018">
        <f t="shared" ref="L68" si="18">J68*K68</f>
        <v>0</v>
      </c>
      <c r="M68" s="2020" t="str">
        <f>IFERROR(IF((VLOOKUP(N68,Überblick!$M$125:$N$134,2))="ja","ja","nein"),"")</f>
        <v/>
      </c>
      <c r="N68" s="2022"/>
      <c r="O68" s="72">
        <f t="shared" si="0"/>
        <v>0</v>
      </c>
      <c r="P68" s="78">
        <f t="shared" si="1"/>
        <v>0</v>
      </c>
      <c r="T68" s="398"/>
      <c r="U68" s="398"/>
      <c r="V68" s="398"/>
      <c r="W68" s="398"/>
      <c r="X68" s="398"/>
      <c r="Y68" s="398"/>
      <c r="Z68" s="398"/>
      <c r="AA68" s="74"/>
      <c r="AP68" s="68"/>
      <c r="AQ68" s="68"/>
      <c r="AR68" s="68"/>
      <c r="AS68" s="68"/>
    </row>
    <row r="69" spans="1:45" ht="14.25" customHeight="1" outlineLevel="1" x14ac:dyDescent="0.25">
      <c r="A69" s="220"/>
      <c r="B69" s="2024"/>
      <c r="C69" s="2025"/>
      <c r="D69" s="2025"/>
      <c r="E69" s="2025"/>
      <c r="F69" s="2025"/>
      <c r="G69" s="2025"/>
      <c r="H69" s="2025"/>
      <c r="I69" s="1775"/>
      <c r="J69" s="2026"/>
      <c r="K69" s="2176"/>
      <c r="L69" s="2018"/>
      <c r="M69" s="2020"/>
      <c r="N69" s="2022"/>
      <c r="P69" s="78">
        <f t="shared" si="1"/>
        <v>0</v>
      </c>
      <c r="T69" s="398"/>
      <c r="U69" s="398"/>
      <c r="V69" s="398"/>
      <c r="W69" s="398"/>
      <c r="X69" s="398"/>
      <c r="Y69" s="398"/>
      <c r="Z69" s="398"/>
      <c r="AA69" s="74"/>
      <c r="AP69" s="68"/>
      <c r="AQ69" s="68"/>
      <c r="AR69" s="68"/>
      <c r="AS69" s="68"/>
    </row>
    <row r="70" spans="1:45" ht="14.25" customHeight="1" outlineLevel="1" x14ac:dyDescent="0.25">
      <c r="A70" s="220"/>
      <c r="B70" s="2024"/>
      <c r="C70" s="2025"/>
      <c r="D70" s="2025"/>
      <c r="E70" s="2025"/>
      <c r="F70" s="2025"/>
      <c r="G70" s="2025"/>
      <c r="H70" s="2025"/>
      <c r="I70" s="1775"/>
      <c r="J70" s="2026"/>
      <c r="K70" s="2176"/>
      <c r="L70" s="2018"/>
      <c r="M70" s="2020"/>
      <c r="N70" s="2022"/>
      <c r="P70" s="78">
        <f t="shared" si="1"/>
        <v>0</v>
      </c>
      <c r="T70" s="398"/>
      <c r="U70" s="398"/>
      <c r="V70" s="398"/>
      <c r="W70" s="398"/>
      <c r="X70" s="398"/>
      <c r="Y70" s="398"/>
      <c r="Z70" s="398"/>
      <c r="AA70" s="74"/>
      <c r="AP70" s="68"/>
      <c r="AQ70" s="68"/>
      <c r="AR70" s="68"/>
      <c r="AS70" s="68"/>
    </row>
    <row r="71" spans="1:45" ht="14.25" customHeight="1" outlineLevel="1" x14ac:dyDescent="0.25">
      <c r="A71" s="220"/>
      <c r="B71" s="2024"/>
      <c r="C71" s="2025"/>
      <c r="D71" s="2025"/>
      <c r="E71" s="2025"/>
      <c r="F71" s="2025"/>
      <c r="G71" s="2025"/>
      <c r="H71" s="2025"/>
      <c r="I71" s="1775"/>
      <c r="J71" s="2026"/>
      <c r="K71" s="2177"/>
      <c r="L71" s="2018"/>
      <c r="M71" s="2020"/>
      <c r="N71" s="2022"/>
      <c r="P71" s="78">
        <f t="shared" si="1"/>
        <v>0</v>
      </c>
      <c r="T71" s="398"/>
      <c r="U71" s="398"/>
      <c r="V71" s="398"/>
      <c r="W71" s="398"/>
      <c r="X71" s="398"/>
      <c r="Y71" s="398"/>
      <c r="Z71" s="398"/>
      <c r="AA71" s="74"/>
      <c r="AP71" s="68"/>
      <c r="AQ71" s="68"/>
      <c r="AR71" s="68"/>
      <c r="AS71" s="68"/>
    </row>
    <row r="72" spans="1:45" ht="14.25" customHeight="1" outlineLevel="1" x14ac:dyDescent="0.25">
      <c r="A72" s="220"/>
      <c r="B72" s="2183" t="s">
        <v>857</v>
      </c>
      <c r="C72" s="2184"/>
      <c r="D72" s="2184"/>
      <c r="E72" s="2184"/>
      <c r="F72" s="2184"/>
      <c r="G72" s="2184"/>
      <c r="H72" s="2185"/>
      <c r="I72" s="404"/>
      <c r="J72" s="430"/>
      <c r="K72" s="431"/>
      <c r="L72" s="429"/>
      <c r="M72" s="429"/>
      <c r="N72" s="405"/>
      <c r="P72" s="78">
        <f t="shared" si="1"/>
        <v>0</v>
      </c>
      <c r="T72" s="398"/>
      <c r="U72" s="398"/>
      <c r="V72" s="398"/>
      <c r="W72" s="398"/>
      <c r="X72" s="398"/>
      <c r="Y72" s="398"/>
      <c r="Z72" s="398"/>
      <c r="AA72" s="74"/>
      <c r="AP72" s="68"/>
      <c r="AQ72" s="68"/>
      <c r="AR72" s="68"/>
      <c r="AS72" s="68"/>
    </row>
    <row r="73" spans="1:45" ht="14.25" customHeight="1" outlineLevel="1" x14ac:dyDescent="0.25">
      <c r="A73" s="220"/>
      <c r="B73" s="2024" t="s">
        <v>858</v>
      </c>
      <c r="C73" s="2025"/>
      <c r="D73" s="2025"/>
      <c r="E73" s="2025"/>
      <c r="F73" s="2025"/>
      <c r="G73" s="2025"/>
      <c r="H73" s="2025"/>
      <c r="I73" s="1775" t="s">
        <v>100</v>
      </c>
      <c r="J73" s="2026"/>
      <c r="K73" s="2175"/>
      <c r="L73" s="2018">
        <f t="shared" ref="L73:L76" si="19">J73*K73</f>
        <v>0</v>
      </c>
      <c r="M73" s="2020" t="str">
        <f>IFERROR(IF((VLOOKUP(N73,Überblick!$M$125:$N$134,2))="ja","ja","nein"),"")</f>
        <v/>
      </c>
      <c r="N73" s="2022"/>
      <c r="O73" s="72">
        <f t="shared" si="0"/>
        <v>0</v>
      </c>
      <c r="P73" s="78">
        <f t="shared" si="1"/>
        <v>0</v>
      </c>
      <c r="T73" s="398"/>
      <c r="U73" s="398"/>
      <c r="V73" s="398"/>
      <c r="W73" s="398"/>
      <c r="X73" s="398"/>
      <c r="Y73" s="398"/>
      <c r="Z73" s="398"/>
      <c r="AA73" s="74"/>
      <c r="AP73" s="68"/>
      <c r="AQ73" s="68"/>
      <c r="AR73" s="68"/>
      <c r="AS73" s="68"/>
    </row>
    <row r="74" spans="1:45" ht="14.25" customHeight="1" outlineLevel="1" x14ac:dyDescent="0.25">
      <c r="A74" s="220"/>
      <c r="B74" s="2024"/>
      <c r="C74" s="2025"/>
      <c r="D74" s="2025"/>
      <c r="E74" s="2025"/>
      <c r="F74" s="2025"/>
      <c r="G74" s="2025"/>
      <c r="H74" s="2025"/>
      <c r="I74" s="1775"/>
      <c r="J74" s="2026"/>
      <c r="K74" s="2176"/>
      <c r="L74" s="2018"/>
      <c r="M74" s="2020"/>
      <c r="N74" s="2022"/>
      <c r="P74" s="78">
        <f t="shared" ref="P74:P137" si="20">IF(I74="ja",1,0)</f>
        <v>0</v>
      </c>
      <c r="T74" s="398"/>
      <c r="U74" s="398"/>
      <c r="V74" s="398"/>
      <c r="W74" s="398"/>
      <c r="X74" s="398"/>
      <c r="Y74" s="398"/>
      <c r="Z74" s="398"/>
      <c r="AA74" s="74"/>
      <c r="AP74" s="68"/>
      <c r="AQ74" s="68"/>
      <c r="AR74" s="68"/>
      <c r="AS74" s="68"/>
    </row>
    <row r="75" spans="1:45" ht="14.25" customHeight="1" outlineLevel="1" x14ac:dyDescent="0.25">
      <c r="A75" s="220"/>
      <c r="B75" s="2024"/>
      <c r="C75" s="2025"/>
      <c r="D75" s="2025"/>
      <c r="E75" s="2025"/>
      <c r="F75" s="2025"/>
      <c r="G75" s="2025"/>
      <c r="H75" s="2025"/>
      <c r="I75" s="1775"/>
      <c r="J75" s="2026"/>
      <c r="K75" s="2177"/>
      <c r="L75" s="2018"/>
      <c r="M75" s="2020"/>
      <c r="N75" s="2022"/>
      <c r="P75" s="78">
        <f t="shared" si="20"/>
        <v>0</v>
      </c>
      <c r="T75" s="398"/>
      <c r="U75" s="398"/>
      <c r="V75" s="398"/>
      <c r="W75" s="398"/>
      <c r="X75" s="398"/>
      <c r="Y75" s="398"/>
      <c r="Z75" s="398"/>
      <c r="AA75" s="74"/>
      <c r="AP75" s="68"/>
      <c r="AQ75" s="68"/>
      <c r="AR75" s="68"/>
      <c r="AS75" s="68"/>
    </row>
    <row r="76" spans="1:45" ht="14.25" customHeight="1" outlineLevel="1" x14ac:dyDescent="0.25">
      <c r="A76" s="220"/>
      <c r="B76" s="2024" t="s">
        <v>859</v>
      </c>
      <c r="C76" s="2025"/>
      <c r="D76" s="2025"/>
      <c r="E76" s="2025"/>
      <c r="F76" s="2025"/>
      <c r="G76" s="2025"/>
      <c r="H76" s="2025"/>
      <c r="I76" s="1775" t="s">
        <v>100</v>
      </c>
      <c r="J76" s="2026"/>
      <c r="K76" s="2175"/>
      <c r="L76" s="2018">
        <f t="shared" si="19"/>
        <v>0</v>
      </c>
      <c r="M76" s="2020" t="str">
        <f>IFERROR(IF((VLOOKUP(N76,Überblick!$M$125:$N$134,2))="ja","ja","nein"),"")</f>
        <v/>
      </c>
      <c r="N76" s="2022"/>
      <c r="O76" s="72">
        <f t="shared" si="0"/>
        <v>0</v>
      </c>
      <c r="P76" s="78">
        <f t="shared" si="20"/>
        <v>0</v>
      </c>
      <c r="T76" s="398"/>
      <c r="U76" s="398"/>
      <c r="V76" s="398"/>
      <c r="W76" s="398"/>
      <c r="X76" s="398"/>
      <c r="Y76" s="398"/>
      <c r="Z76" s="398"/>
      <c r="AA76" s="74"/>
      <c r="AP76" s="68"/>
      <c r="AQ76" s="68"/>
      <c r="AR76" s="68"/>
      <c r="AS76" s="68"/>
    </row>
    <row r="77" spans="1:45" ht="14.25" customHeight="1" outlineLevel="1" x14ac:dyDescent="0.25">
      <c r="A77" s="220"/>
      <c r="B77" s="2027"/>
      <c r="C77" s="2028"/>
      <c r="D77" s="2028"/>
      <c r="E77" s="2028"/>
      <c r="F77" s="2028"/>
      <c r="G77" s="2028"/>
      <c r="H77" s="2028"/>
      <c r="I77" s="1726"/>
      <c r="J77" s="2029"/>
      <c r="K77" s="2177"/>
      <c r="L77" s="2019"/>
      <c r="M77" s="2020"/>
      <c r="N77" s="2023"/>
      <c r="P77" s="78">
        <f t="shared" si="20"/>
        <v>0</v>
      </c>
      <c r="T77" s="398"/>
      <c r="U77" s="398"/>
      <c r="V77" s="398"/>
      <c r="W77" s="398"/>
      <c r="X77" s="398"/>
      <c r="Y77" s="398"/>
      <c r="Z77" s="398"/>
      <c r="AA77" s="74"/>
      <c r="AP77" s="68"/>
      <c r="AQ77" s="68"/>
      <c r="AR77" s="68"/>
      <c r="AS77" s="68"/>
    </row>
    <row r="78" spans="1:45" ht="14.25" customHeight="1" outlineLevel="1" x14ac:dyDescent="0.25">
      <c r="A78" s="220"/>
      <c r="B78" s="2016" t="s">
        <v>860</v>
      </c>
      <c r="C78" s="2017"/>
      <c r="D78" s="2017"/>
      <c r="E78" s="2017"/>
      <c r="F78" s="2017"/>
      <c r="G78" s="2017"/>
      <c r="H78" s="2017"/>
      <c r="I78" s="407" t="s">
        <v>100</v>
      </c>
      <c r="J78" s="408"/>
      <c r="K78" s="416"/>
      <c r="L78" s="406">
        <f t="shared" ref="L78" si="21">J78*K78</f>
        <v>0</v>
      </c>
      <c r="M78" s="530" t="str">
        <f>IFERROR(IF((VLOOKUP(N78,Überblick!$M$125:$N$134,2))="ja","ja","nein"),"")</f>
        <v/>
      </c>
      <c r="N78" s="409"/>
      <c r="O78" s="72">
        <f t="shared" ref="O78" si="22">IF(AND(I78="ja",J78=""),1,0)</f>
        <v>0</v>
      </c>
      <c r="P78" s="78">
        <f t="shared" si="20"/>
        <v>0</v>
      </c>
      <c r="T78" s="398"/>
      <c r="U78" s="398"/>
      <c r="V78" s="398"/>
      <c r="W78" s="398"/>
      <c r="X78" s="398"/>
      <c r="Y78" s="398"/>
      <c r="Z78" s="398"/>
      <c r="AA78" s="74"/>
      <c r="AP78" s="68"/>
      <c r="AQ78" s="68"/>
      <c r="AR78" s="68"/>
      <c r="AS78" s="68"/>
    </row>
    <row r="79" spans="1:45" ht="14.25" customHeight="1" outlineLevel="1" x14ac:dyDescent="0.25">
      <c r="A79" s="220"/>
      <c r="B79" s="2179" t="s">
        <v>861</v>
      </c>
      <c r="C79" s="2180"/>
      <c r="D79" s="2180"/>
      <c r="E79" s="2180"/>
      <c r="F79" s="2180"/>
      <c r="G79" s="2180"/>
      <c r="H79" s="2181"/>
      <c r="I79" s="2189"/>
      <c r="J79" s="2191"/>
      <c r="K79" s="2193"/>
      <c r="L79" s="2195"/>
      <c r="M79" s="2195"/>
      <c r="N79" s="2197"/>
      <c r="P79" s="78">
        <f t="shared" si="20"/>
        <v>0</v>
      </c>
      <c r="T79" s="398"/>
      <c r="U79" s="398"/>
      <c r="V79" s="398"/>
      <c r="W79" s="398"/>
      <c r="X79" s="398"/>
      <c r="Y79" s="398"/>
      <c r="Z79" s="398"/>
      <c r="AA79" s="74"/>
      <c r="AP79" s="68"/>
      <c r="AQ79" s="68"/>
      <c r="AR79" s="68"/>
      <c r="AS79" s="68"/>
    </row>
    <row r="80" spans="1:45" ht="14.25" customHeight="1" outlineLevel="1" x14ac:dyDescent="0.25">
      <c r="A80" s="220"/>
      <c r="B80" s="2186"/>
      <c r="C80" s="2187"/>
      <c r="D80" s="2187"/>
      <c r="E80" s="2187"/>
      <c r="F80" s="2187"/>
      <c r="G80" s="2187"/>
      <c r="H80" s="2188"/>
      <c r="I80" s="2190"/>
      <c r="J80" s="2192"/>
      <c r="K80" s="2194"/>
      <c r="L80" s="2196"/>
      <c r="M80" s="2196"/>
      <c r="N80" s="2198"/>
      <c r="P80" s="78">
        <f t="shared" si="20"/>
        <v>0</v>
      </c>
      <c r="T80" s="398"/>
      <c r="U80" s="398"/>
      <c r="V80" s="398"/>
      <c r="W80" s="398"/>
      <c r="X80" s="398"/>
      <c r="Y80" s="398"/>
      <c r="Z80" s="398"/>
      <c r="AA80" s="74"/>
      <c r="AP80" s="68"/>
      <c r="AQ80" s="68"/>
      <c r="AR80" s="68"/>
      <c r="AS80" s="68"/>
    </row>
    <row r="81" spans="1:45" ht="15" customHeight="1" outlineLevel="1" x14ac:dyDescent="0.25">
      <c r="A81" s="220"/>
      <c r="B81" s="2024" t="s">
        <v>862</v>
      </c>
      <c r="C81" s="2025"/>
      <c r="D81" s="2025"/>
      <c r="E81" s="2025"/>
      <c r="F81" s="2025"/>
      <c r="G81" s="2025"/>
      <c r="H81" s="2025"/>
      <c r="I81" s="1775" t="s">
        <v>100</v>
      </c>
      <c r="J81" s="2026"/>
      <c r="K81" s="2175"/>
      <c r="L81" s="2018">
        <f t="shared" ref="L81" si="23">J81*K81</f>
        <v>0</v>
      </c>
      <c r="M81" s="2020" t="str">
        <f>IFERROR(IF((VLOOKUP(N81,Überblick!$M$125:$N$134,2))="ja","ja","nein"),"")</f>
        <v/>
      </c>
      <c r="N81" s="2022"/>
      <c r="O81" s="72">
        <f t="shared" ref="O81" si="24">IF(AND(I81="ja",J81=""),1,0)</f>
        <v>0</v>
      </c>
      <c r="P81" s="78">
        <f t="shared" si="20"/>
        <v>0</v>
      </c>
      <c r="T81" s="398"/>
      <c r="U81" s="398"/>
      <c r="V81" s="398"/>
      <c r="W81" s="398"/>
      <c r="X81" s="398"/>
      <c r="Y81" s="398"/>
      <c r="Z81" s="398"/>
      <c r="AA81" s="74"/>
      <c r="AP81" s="68"/>
      <c r="AQ81" s="68"/>
      <c r="AR81" s="68"/>
      <c r="AS81" s="68"/>
    </row>
    <row r="82" spans="1:45" ht="14.25" customHeight="1" outlineLevel="1" x14ac:dyDescent="0.25">
      <c r="A82" s="220"/>
      <c r="B82" s="2024"/>
      <c r="C82" s="2025"/>
      <c r="D82" s="2025"/>
      <c r="E82" s="2025"/>
      <c r="F82" s="2025"/>
      <c r="G82" s="2025"/>
      <c r="H82" s="2025"/>
      <c r="I82" s="1775"/>
      <c r="J82" s="2026"/>
      <c r="K82" s="2177"/>
      <c r="L82" s="2018"/>
      <c r="M82" s="2020"/>
      <c r="N82" s="2022"/>
      <c r="P82" s="78">
        <f t="shared" si="20"/>
        <v>0</v>
      </c>
      <c r="T82" s="398"/>
      <c r="U82" s="398"/>
      <c r="V82" s="398"/>
      <c r="W82" s="398"/>
      <c r="X82" s="398"/>
      <c r="Y82" s="398"/>
      <c r="Z82" s="398"/>
      <c r="AA82" s="74"/>
      <c r="AP82" s="68"/>
      <c r="AQ82" s="68"/>
      <c r="AR82" s="68"/>
      <c r="AS82" s="68"/>
    </row>
    <row r="83" spans="1:45" ht="14.25" customHeight="1" outlineLevel="1" x14ac:dyDescent="0.25">
      <c r="A83" s="220"/>
      <c r="B83" s="2024" t="s">
        <v>863</v>
      </c>
      <c r="C83" s="2025"/>
      <c r="D83" s="2025"/>
      <c r="E83" s="2025"/>
      <c r="F83" s="2025"/>
      <c r="G83" s="2025"/>
      <c r="H83" s="2025"/>
      <c r="I83" s="1775" t="s">
        <v>100</v>
      </c>
      <c r="J83" s="2026"/>
      <c r="K83" s="2175"/>
      <c r="L83" s="2018">
        <f t="shared" ref="L83" si="25">J83*K83</f>
        <v>0</v>
      </c>
      <c r="M83" s="2020" t="str">
        <f>IFERROR(IF((VLOOKUP(N83,Überblick!$M$125:$N$134,2))="ja","ja","nein"),"")</f>
        <v/>
      </c>
      <c r="N83" s="2022"/>
      <c r="O83" s="72">
        <f t="shared" ref="O83" si="26">IF(AND(I83="ja",J83=""),1,0)</f>
        <v>0</v>
      </c>
      <c r="P83" s="78">
        <f t="shared" si="20"/>
        <v>0</v>
      </c>
      <c r="T83" s="398"/>
      <c r="U83" s="398"/>
      <c r="V83" s="398"/>
      <c r="W83" s="398"/>
      <c r="X83" s="398"/>
      <c r="Y83" s="398"/>
      <c r="Z83" s="398"/>
      <c r="AA83" s="74"/>
      <c r="AP83" s="68"/>
      <c r="AQ83" s="68"/>
      <c r="AR83" s="68"/>
      <c r="AS83" s="68"/>
    </row>
    <row r="84" spans="1:45" ht="14.25" customHeight="1" outlineLevel="1" x14ac:dyDescent="0.25">
      <c r="A84" s="220"/>
      <c r="B84" s="2024"/>
      <c r="C84" s="2025"/>
      <c r="D84" s="2025"/>
      <c r="E84" s="2025"/>
      <c r="F84" s="2025"/>
      <c r="G84" s="2025"/>
      <c r="H84" s="2025"/>
      <c r="I84" s="1775"/>
      <c r="J84" s="2026"/>
      <c r="K84" s="2176"/>
      <c r="L84" s="2018"/>
      <c r="M84" s="2020"/>
      <c r="N84" s="2022"/>
      <c r="P84" s="78">
        <f t="shared" si="20"/>
        <v>0</v>
      </c>
      <c r="T84" s="398"/>
      <c r="U84" s="398"/>
      <c r="V84" s="398"/>
      <c r="W84" s="398"/>
      <c r="X84" s="398"/>
      <c r="Y84" s="398"/>
      <c r="Z84" s="398"/>
      <c r="AA84" s="74"/>
      <c r="AP84" s="68"/>
      <c r="AQ84" s="68"/>
      <c r="AR84" s="68"/>
      <c r="AS84" s="68"/>
    </row>
    <row r="85" spans="1:45" ht="14.25" customHeight="1" outlineLevel="1" x14ac:dyDescent="0.25">
      <c r="A85" s="220"/>
      <c r="B85" s="2024"/>
      <c r="C85" s="2025"/>
      <c r="D85" s="2025"/>
      <c r="E85" s="2025"/>
      <c r="F85" s="2025"/>
      <c r="G85" s="2025"/>
      <c r="H85" s="2025"/>
      <c r="I85" s="1775"/>
      <c r="J85" s="2026"/>
      <c r="K85" s="2176"/>
      <c r="L85" s="2018"/>
      <c r="M85" s="2020" t="str">
        <f>IFERROR(IF((VLOOKUP(N85,Überblick!$M$125:$N$134,2))="ja","ja","nein"),"")</f>
        <v/>
      </c>
      <c r="N85" s="2022"/>
      <c r="P85" s="78">
        <f t="shared" si="20"/>
        <v>0</v>
      </c>
      <c r="T85" s="398"/>
      <c r="U85" s="398"/>
      <c r="V85" s="398"/>
      <c r="W85" s="398"/>
      <c r="X85" s="398"/>
      <c r="Y85" s="398"/>
      <c r="Z85" s="398"/>
      <c r="AA85" s="74"/>
      <c r="AP85" s="68"/>
      <c r="AQ85" s="68"/>
      <c r="AR85" s="68"/>
      <c r="AS85" s="68"/>
    </row>
    <row r="86" spans="1:45" ht="14.25" customHeight="1" outlineLevel="1" x14ac:dyDescent="0.25">
      <c r="A86" s="220"/>
      <c r="B86" s="2024"/>
      <c r="C86" s="2025"/>
      <c r="D86" s="2025"/>
      <c r="E86" s="2025"/>
      <c r="F86" s="2025"/>
      <c r="G86" s="2025"/>
      <c r="H86" s="2025"/>
      <c r="I86" s="1775"/>
      <c r="J86" s="2026"/>
      <c r="K86" s="2177"/>
      <c r="L86" s="2018"/>
      <c r="M86" s="2020"/>
      <c r="N86" s="2022"/>
      <c r="P86" s="78">
        <f t="shared" si="20"/>
        <v>0</v>
      </c>
      <c r="T86" s="398"/>
      <c r="U86" s="398"/>
      <c r="V86" s="398"/>
      <c r="W86" s="398"/>
      <c r="X86" s="398"/>
      <c r="Y86" s="398"/>
      <c r="Z86" s="398"/>
      <c r="AA86" s="74"/>
      <c r="AP86" s="68"/>
      <c r="AQ86" s="68"/>
      <c r="AR86" s="68"/>
      <c r="AS86" s="68"/>
    </row>
    <row r="87" spans="1:45" ht="14.25" customHeight="1" outlineLevel="1" x14ac:dyDescent="0.25">
      <c r="A87" s="220"/>
      <c r="B87" s="2024" t="s">
        <v>864</v>
      </c>
      <c r="C87" s="2025"/>
      <c r="D87" s="2025"/>
      <c r="E87" s="2025"/>
      <c r="F87" s="2025"/>
      <c r="G87" s="2025"/>
      <c r="H87" s="2025"/>
      <c r="I87" s="1775" t="s">
        <v>100</v>
      </c>
      <c r="J87" s="2026"/>
      <c r="K87" s="2175"/>
      <c r="L87" s="2018">
        <f t="shared" ref="L87" si="27">J87*K87</f>
        <v>0</v>
      </c>
      <c r="M87" s="2020" t="str">
        <f>IFERROR(IF((VLOOKUP(N87,Überblick!$M$125:$N$134,2))="ja","ja","nein"),"")</f>
        <v/>
      </c>
      <c r="N87" s="2022"/>
      <c r="O87" s="72">
        <f t="shared" ref="O87" si="28">IF(AND(I87="ja",J87=""),1,0)</f>
        <v>0</v>
      </c>
      <c r="P87" s="78">
        <f t="shared" si="20"/>
        <v>0</v>
      </c>
      <c r="T87" s="398"/>
      <c r="U87" s="398"/>
      <c r="V87" s="398"/>
      <c r="W87" s="398"/>
      <c r="X87" s="398"/>
      <c r="Y87" s="398"/>
      <c r="Z87" s="398"/>
      <c r="AA87" s="74"/>
      <c r="AP87" s="68"/>
      <c r="AQ87" s="68"/>
      <c r="AR87" s="68"/>
      <c r="AS87" s="68"/>
    </row>
    <row r="88" spans="1:45" ht="14.25" customHeight="1" outlineLevel="1" x14ac:dyDescent="0.25">
      <c r="A88" s="220"/>
      <c r="B88" s="2024"/>
      <c r="C88" s="2025"/>
      <c r="D88" s="2025"/>
      <c r="E88" s="2025"/>
      <c r="F88" s="2025"/>
      <c r="G88" s="2025"/>
      <c r="H88" s="2025"/>
      <c r="I88" s="1775"/>
      <c r="J88" s="2026"/>
      <c r="K88" s="2176"/>
      <c r="L88" s="2018"/>
      <c r="M88" s="2020"/>
      <c r="N88" s="2022"/>
      <c r="P88" s="78">
        <f t="shared" si="20"/>
        <v>0</v>
      </c>
      <c r="T88" s="398"/>
      <c r="U88" s="398"/>
      <c r="V88" s="398"/>
      <c r="W88" s="398"/>
      <c r="X88" s="398"/>
      <c r="Y88" s="398"/>
      <c r="Z88" s="398"/>
      <c r="AA88" s="74"/>
      <c r="AP88" s="68"/>
      <c r="AQ88" s="68"/>
      <c r="AR88" s="68"/>
      <c r="AS88" s="68"/>
    </row>
    <row r="89" spans="1:45" ht="14.25" customHeight="1" outlineLevel="1" x14ac:dyDescent="0.25">
      <c r="A89" s="220"/>
      <c r="B89" s="2024"/>
      <c r="C89" s="2025"/>
      <c r="D89" s="2025"/>
      <c r="E89" s="2025"/>
      <c r="F89" s="2025"/>
      <c r="G89" s="2025"/>
      <c r="H89" s="2025"/>
      <c r="I89" s="1775"/>
      <c r="J89" s="2026"/>
      <c r="K89" s="2177"/>
      <c r="L89" s="2018"/>
      <c r="M89" s="2020"/>
      <c r="N89" s="2022"/>
      <c r="P89" s="78">
        <f t="shared" si="20"/>
        <v>0</v>
      </c>
      <c r="T89" s="398"/>
      <c r="U89" s="398"/>
      <c r="V89" s="398"/>
      <c r="W89" s="398"/>
      <c r="X89" s="398"/>
      <c r="Y89" s="398"/>
      <c r="Z89" s="398"/>
      <c r="AA89" s="74"/>
      <c r="AP89" s="68"/>
      <c r="AQ89" s="68"/>
      <c r="AR89" s="68"/>
      <c r="AS89" s="68"/>
    </row>
    <row r="90" spans="1:45" ht="14.25" customHeight="1" outlineLevel="1" x14ac:dyDescent="0.25">
      <c r="A90" s="220"/>
      <c r="B90" s="2024" t="s">
        <v>865</v>
      </c>
      <c r="C90" s="2025"/>
      <c r="D90" s="2025"/>
      <c r="E90" s="2025"/>
      <c r="F90" s="2025"/>
      <c r="G90" s="2025"/>
      <c r="H90" s="2025"/>
      <c r="I90" s="1775" t="s">
        <v>100</v>
      </c>
      <c r="J90" s="2026"/>
      <c r="K90" s="2175"/>
      <c r="L90" s="2018">
        <f t="shared" ref="L90" si="29">J90*K90</f>
        <v>0</v>
      </c>
      <c r="M90" s="2020" t="str">
        <f>IFERROR(IF((VLOOKUP(N90,Überblick!$M$125:$N$134,2))="ja","ja","nein"),"")</f>
        <v/>
      </c>
      <c r="N90" s="2022"/>
      <c r="O90" s="72">
        <f t="shared" ref="O90" si="30">IF(AND(I90="ja",J90=""),1,0)</f>
        <v>0</v>
      </c>
      <c r="P90" s="78">
        <f t="shared" si="20"/>
        <v>0</v>
      </c>
      <c r="T90" s="398"/>
      <c r="U90" s="398"/>
      <c r="V90" s="398"/>
      <c r="W90" s="398"/>
      <c r="X90" s="398"/>
      <c r="Y90" s="398"/>
      <c r="Z90" s="398"/>
      <c r="AA90" s="74"/>
      <c r="AP90" s="68"/>
      <c r="AQ90" s="68"/>
      <c r="AR90" s="68"/>
      <c r="AS90" s="68"/>
    </row>
    <row r="91" spans="1:45" ht="14.25" customHeight="1" outlineLevel="1" x14ac:dyDescent="0.25">
      <c r="A91" s="220"/>
      <c r="B91" s="2024"/>
      <c r="C91" s="2025"/>
      <c r="D91" s="2025"/>
      <c r="E91" s="2025"/>
      <c r="F91" s="2025"/>
      <c r="G91" s="2025"/>
      <c r="H91" s="2025"/>
      <c r="I91" s="1775"/>
      <c r="J91" s="2026"/>
      <c r="K91" s="2176"/>
      <c r="L91" s="2018"/>
      <c r="M91" s="2020"/>
      <c r="N91" s="2022"/>
      <c r="P91" s="78">
        <f t="shared" si="20"/>
        <v>0</v>
      </c>
      <c r="T91" s="398"/>
      <c r="U91" s="398"/>
      <c r="V91" s="398"/>
      <c r="W91" s="398"/>
      <c r="X91" s="398"/>
      <c r="Y91" s="398"/>
      <c r="Z91" s="398"/>
      <c r="AA91" s="74"/>
      <c r="AP91" s="68"/>
      <c r="AQ91" s="68"/>
      <c r="AR91" s="68"/>
      <c r="AS91" s="68"/>
    </row>
    <row r="92" spans="1:45" ht="14.25" customHeight="1" outlineLevel="1" x14ac:dyDescent="0.25">
      <c r="A92" s="220"/>
      <c r="B92" s="2024"/>
      <c r="C92" s="2025"/>
      <c r="D92" s="2025"/>
      <c r="E92" s="2025"/>
      <c r="F92" s="2025"/>
      <c r="G92" s="2025"/>
      <c r="H92" s="2025"/>
      <c r="I92" s="1775"/>
      <c r="J92" s="2026"/>
      <c r="K92" s="2177"/>
      <c r="L92" s="2018"/>
      <c r="M92" s="2020"/>
      <c r="N92" s="2022"/>
      <c r="P92" s="78">
        <f t="shared" si="20"/>
        <v>0</v>
      </c>
      <c r="T92" s="398"/>
      <c r="U92" s="398"/>
      <c r="V92" s="398"/>
      <c r="W92" s="398"/>
      <c r="X92" s="398"/>
      <c r="Y92" s="398"/>
      <c r="Z92" s="398"/>
      <c r="AA92" s="74"/>
      <c r="AP92" s="68"/>
      <c r="AQ92" s="68"/>
      <c r="AR92" s="68"/>
      <c r="AS92" s="68"/>
    </row>
    <row r="93" spans="1:45" ht="14.25" customHeight="1" outlineLevel="1" x14ac:dyDescent="0.25">
      <c r="A93" s="220"/>
      <c r="B93" s="2024" t="s">
        <v>866</v>
      </c>
      <c r="C93" s="2025"/>
      <c r="D93" s="2025"/>
      <c r="E93" s="2025"/>
      <c r="F93" s="2025"/>
      <c r="G93" s="2025"/>
      <c r="H93" s="2025"/>
      <c r="I93" s="407" t="s">
        <v>100</v>
      </c>
      <c r="J93" s="408"/>
      <c r="K93" s="416"/>
      <c r="L93" s="406">
        <f t="shared" ref="L93" si="31">J93*K93</f>
        <v>0</v>
      </c>
      <c r="M93" s="530" t="str">
        <f>IFERROR(IF((VLOOKUP(N93,Überblick!$M$125:$N$134,2))="ja","ja","nein"),"")</f>
        <v/>
      </c>
      <c r="N93" s="409"/>
      <c r="O93" s="72">
        <f t="shared" ref="O93" si="32">IF(AND(I93="ja",J93=""),1,0)</f>
        <v>0</v>
      </c>
      <c r="P93" s="78">
        <f t="shared" si="20"/>
        <v>0</v>
      </c>
      <c r="T93" s="398"/>
      <c r="U93" s="398"/>
      <c r="V93" s="398"/>
      <c r="W93" s="398"/>
      <c r="X93" s="398"/>
      <c r="Y93" s="398"/>
      <c r="Z93" s="398"/>
      <c r="AA93" s="74"/>
      <c r="AP93" s="68"/>
      <c r="AQ93" s="68"/>
      <c r="AR93" s="68"/>
      <c r="AS93" s="68"/>
    </row>
    <row r="94" spans="1:45" ht="14.25" customHeight="1" outlineLevel="1" x14ac:dyDescent="0.25">
      <c r="A94" s="220"/>
      <c r="B94" s="2016" t="s">
        <v>867</v>
      </c>
      <c r="C94" s="2017"/>
      <c r="D94" s="2017"/>
      <c r="E94" s="2017"/>
      <c r="F94" s="2017"/>
      <c r="G94" s="2017"/>
      <c r="H94" s="2017"/>
      <c r="I94" s="1775" t="s">
        <v>100</v>
      </c>
      <c r="J94" s="2026"/>
      <c r="K94" s="2175"/>
      <c r="L94" s="2018">
        <f t="shared" ref="L94" si="33">J94*K94</f>
        <v>0</v>
      </c>
      <c r="M94" s="2020" t="str">
        <f>IFERROR(IF((VLOOKUP(N94,Überblick!$M$125:$N$134,2))="ja","ja","nein"),"")</f>
        <v/>
      </c>
      <c r="N94" s="2022"/>
      <c r="O94" s="72">
        <f t="shared" ref="O94" si="34">IF(AND(I94="ja",J94=""),1,0)</f>
        <v>0</v>
      </c>
      <c r="P94" s="78">
        <f t="shared" si="20"/>
        <v>0</v>
      </c>
      <c r="T94" s="398"/>
      <c r="U94" s="398"/>
      <c r="V94" s="398"/>
      <c r="W94" s="398"/>
      <c r="X94" s="398"/>
      <c r="Y94" s="398"/>
      <c r="Z94" s="398"/>
      <c r="AA94" s="74"/>
      <c r="AP94" s="68"/>
      <c r="AQ94" s="68"/>
      <c r="AR94" s="68"/>
      <c r="AS94" s="68"/>
    </row>
    <row r="95" spans="1:45" ht="14.25" customHeight="1" outlineLevel="1" x14ac:dyDescent="0.25">
      <c r="A95" s="220"/>
      <c r="B95" s="2016"/>
      <c r="C95" s="2017"/>
      <c r="D95" s="2017"/>
      <c r="E95" s="2017"/>
      <c r="F95" s="2017"/>
      <c r="G95" s="2017"/>
      <c r="H95" s="2017"/>
      <c r="I95" s="1775"/>
      <c r="J95" s="2026"/>
      <c r="K95" s="2176"/>
      <c r="L95" s="2018"/>
      <c r="M95" s="2020"/>
      <c r="N95" s="2022"/>
      <c r="P95" s="78">
        <f t="shared" si="20"/>
        <v>0</v>
      </c>
      <c r="T95" s="398"/>
      <c r="U95" s="398"/>
      <c r="V95" s="398"/>
      <c r="W95" s="398"/>
      <c r="X95" s="398"/>
      <c r="Y95" s="398"/>
      <c r="Z95" s="398"/>
      <c r="AA95" s="74"/>
      <c r="AP95" s="68"/>
      <c r="AQ95" s="68"/>
      <c r="AR95" s="68"/>
      <c r="AS95" s="68"/>
    </row>
    <row r="96" spans="1:45" ht="14.25" customHeight="1" outlineLevel="1" x14ac:dyDescent="0.25">
      <c r="A96" s="220"/>
      <c r="B96" s="2016"/>
      <c r="C96" s="2017"/>
      <c r="D96" s="2017"/>
      <c r="E96" s="2017"/>
      <c r="F96" s="2017"/>
      <c r="G96" s="2017"/>
      <c r="H96" s="2017"/>
      <c r="I96" s="1775"/>
      <c r="J96" s="2026"/>
      <c r="K96" s="2177"/>
      <c r="L96" s="2018"/>
      <c r="M96" s="2020"/>
      <c r="N96" s="2022"/>
      <c r="P96" s="78">
        <f t="shared" si="20"/>
        <v>0</v>
      </c>
      <c r="T96" s="398"/>
      <c r="U96" s="398"/>
      <c r="V96" s="398"/>
      <c r="W96" s="398"/>
      <c r="X96" s="398"/>
      <c r="Y96" s="398"/>
      <c r="Z96" s="398"/>
      <c r="AA96" s="74"/>
      <c r="AP96" s="68"/>
      <c r="AQ96" s="68"/>
      <c r="AR96" s="68"/>
      <c r="AS96" s="68"/>
    </row>
    <row r="97" spans="1:45" ht="14.25" customHeight="1" outlineLevel="1" x14ac:dyDescent="0.25">
      <c r="A97" s="220"/>
      <c r="B97" s="2016" t="s">
        <v>868</v>
      </c>
      <c r="C97" s="2017"/>
      <c r="D97" s="2017"/>
      <c r="E97" s="2017"/>
      <c r="F97" s="2017"/>
      <c r="G97" s="2017"/>
      <c r="H97" s="2017"/>
      <c r="I97" s="1775" t="s">
        <v>100</v>
      </c>
      <c r="J97" s="2026"/>
      <c r="K97" s="2175"/>
      <c r="L97" s="2018">
        <f t="shared" ref="L97" si="35">J97*K97</f>
        <v>0</v>
      </c>
      <c r="M97" s="2020" t="str">
        <f>IFERROR(IF((VLOOKUP(N97,Überblick!$M$125:$N$134,2))="ja","ja","nein"),"")</f>
        <v/>
      </c>
      <c r="N97" s="2022"/>
      <c r="O97" s="72">
        <f t="shared" ref="O97" si="36">IF(AND(I97="ja",J97=""),1,0)</f>
        <v>0</v>
      </c>
      <c r="P97" s="78">
        <f t="shared" si="20"/>
        <v>0</v>
      </c>
      <c r="T97" s="398"/>
      <c r="U97" s="398"/>
      <c r="V97" s="398"/>
      <c r="W97" s="398"/>
      <c r="X97" s="398"/>
      <c r="Y97" s="398"/>
      <c r="Z97" s="398"/>
      <c r="AA97" s="74"/>
      <c r="AP97" s="68"/>
      <c r="AQ97" s="68"/>
      <c r="AR97" s="68"/>
      <c r="AS97" s="68"/>
    </row>
    <row r="98" spans="1:45" ht="14.25" customHeight="1" outlineLevel="1" x14ac:dyDescent="0.25">
      <c r="A98" s="220"/>
      <c r="B98" s="2066"/>
      <c r="C98" s="2067"/>
      <c r="D98" s="2067"/>
      <c r="E98" s="2067"/>
      <c r="F98" s="2067"/>
      <c r="G98" s="2067"/>
      <c r="H98" s="2067"/>
      <c r="I98" s="1726"/>
      <c r="J98" s="2029"/>
      <c r="K98" s="2176"/>
      <c r="L98" s="2019"/>
      <c r="M98" s="2021"/>
      <c r="N98" s="2023"/>
      <c r="P98" s="78">
        <f t="shared" si="20"/>
        <v>0</v>
      </c>
      <c r="T98" s="398"/>
      <c r="U98" s="398"/>
      <c r="V98" s="398"/>
      <c r="W98" s="398"/>
      <c r="X98" s="398"/>
      <c r="Y98" s="398"/>
      <c r="Z98" s="398"/>
      <c r="AA98" s="74"/>
      <c r="AP98" s="68"/>
      <c r="AQ98" s="68"/>
      <c r="AR98" s="68"/>
      <c r="AS98" s="68"/>
    </row>
    <row r="99" spans="1:45" ht="14.25" customHeight="1" outlineLevel="1" x14ac:dyDescent="0.25">
      <c r="A99" s="220"/>
      <c r="B99" s="2066"/>
      <c r="C99" s="2067"/>
      <c r="D99" s="2067"/>
      <c r="E99" s="2067"/>
      <c r="F99" s="2067"/>
      <c r="G99" s="2067"/>
      <c r="H99" s="2067"/>
      <c r="I99" s="1726"/>
      <c r="J99" s="2029"/>
      <c r="K99" s="2176"/>
      <c r="L99" s="2019"/>
      <c r="M99" s="2021"/>
      <c r="N99" s="2023"/>
      <c r="P99" s="78">
        <f t="shared" si="20"/>
        <v>0</v>
      </c>
      <c r="T99" s="398"/>
      <c r="U99" s="398"/>
      <c r="V99" s="398"/>
      <c r="W99" s="398"/>
      <c r="X99" s="398"/>
      <c r="Y99" s="398"/>
      <c r="Z99" s="398"/>
      <c r="AA99" s="74"/>
      <c r="AP99" s="68"/>
      <c r="AQ99" s="68"/>
      <c r="AR99" s="68"/>
      <c r="AS99" s="68"/>
    </row>
    <row r="100" spans="1:45" ht="14.25" customHeight="1" outlineLevel="1" x14ac:dyDescent="0.25">
      <c r="A100" s="220"/>
      <c r="B100" s="2066"/>
      <c r="C100" s="2067"/>
      <c r="D100" s="2067"/>
      <c r="E100" s="2067"/>
      <c r="F100" s="2067"/>
      <c r="G100" s="2067"/>
      <c r="H100" s="2067"/>
      <c r="I100" s="1726"/>
      <c r="J100" s="2029"/>
      <c r="K100" s="2176"/>
      <c r="L100" s="2019"/>
      <c r="M100" s="2021"/>
      <c r="N100" s="2023"/>
      <c r="P100" s="78">
        <f t="shared" si="20"/>
        <v>0</v>
      </c>
      <c r="T100" s="398"/>
      <c r="U100" s="398"/>
      <c r="V100" s="398"/>
      <c r="W100" s="398"/>
      <c r="X100" s="398"/>
      <c r="Y100" s="398"/>
      <c r="Z100" s="398"/>
      <c r="AA100" s="74"/>
      <c r="AP100" s="68"/>
      <c r="AQ100" s="68"/>
      <c r="AR100" s="68"/>
      <c r="AS100" s="68"/>
    </row>
    <row r="101" spans="1:45" ht="14.25" customHeight="1" outlineLevel="1" x14ac:dyDescent="0.25">
      <c r="A101" s="220"/>
      <c r="B101" s="2066"/>
      <c r="C101" s="2067"/>
      <c r="D101" s="2067"/>
      <c r="E101" s="2067"/>
      <c r="F101" s="2067"/>
      <c r="G101" s="2067"/>
      <c r="H101" s="2067"/>
      <c r="I101" s="1726"/>
      <c r="J101" s="2029"/>
      <c r="K101" s="2176"/>
      <c r="L101" s="2019"/>
      <c r="M101" s="2021"/>
      <c r="N101" s="2023"/>
      <c r="P101" s="78">
        <f t="shared" si="20"/>
        <v>0</v>
      </c>
      <c r="T101" s="398"/>
      <c r="U101" s="398"/>
      <c r="V101" s="398"/>
      <c r="W101" s="398"/>
      <c r="X101" s="398"/>
      <c r="Y101" s="398"/>
      <c r="Z101" s="398"/>
      <c r="AA101" s="74"/>
      <c r="AP101" s="68"/>
      <c r="AQ101" s="68"/>
      <c r="AR101" s="68"/>
      <c r="AS101" s="68"/>
    </row>
    <row r="102" spans="1:45" ht="14.25" customHeight="1" outlineLevel="1" x14ac:dyDescent="0.25">
      <c r="A102" s="220"/>
      <c r="B102" s="2066"/>
      <c r="C102" s="2067"/>
      <c r="D102" s="2067"/>
      <c r="E102" s="2067"/>
      <c r="F102" s="2067"/>
      <c r="G102" s="2067"/>
      <c r="H102" s="2067"/>
      <c r="I102" s="1726"/>
      <c r="J102" s="2029"/>
      <c r="K102" s="2177"/>
      <c r="L102" s="2019"/>
      <c r="M102" s="2021"/>
      <c r="N102" s="2023"/>
      <c r="P102" s="78">
        <f t="shared" si="20"/>
        <v>0</v>
      </c>
      <c r="T102" s="398"/>
      <c r="U102" s="398"/>
      <c r="V102" s="398"/>
      <c r="W102" s="398"/>
      <c r="X102" s="398"/>
      <c r="Y102" s="398"/>
      <c r="Z102" s="398"/>
      <c r="AA102" s="74"/>
      <c r="AP102" s="68"/>
      <c r="AQ102" s="68"/>
      <c r="AR102" s="68"/>
      <c r="AS102" s="68"/>
    </row>
    <row r="103" spans="1:45" ht="14.25" customHeight="1" outlineLevel="1" x14ac:dyDescent="0.25">
      <c r="A103" s="220"/>
      <c r="B103" s="2016" t="s">
        <v>869</v>
      </c>
      <c r="C103" s="2017"/>
      <c r="D103" s="2017"/>
      <c r="E103" s="2017"/>
      <c r="F103" s="2017"/>
      <c r="G103" s="2017"/>
      <c r="H103" s="2017"/>
      <c r="I103" s="1775" t="s">
        <v>100</v>
      </c>
      <c r="J103" s="2026"/>
      <c r="K103" s="2175"/>
      <c r="L103" s="2018">
        <f t="shared" ref="L103" si="37">J103*K103</f>
        <v>0</v>
      </c>
      <c r="M103" s="2020" t="str">
        <f>IFERROR(IF((VLOOKUP(N103,Überblick!$M$125:$N$134,2))="ja","ja","nein"),"")</f>
        <v/>
      </c>
      <c r="N103" s="2022"/>
      <c r="O103" s="72">
        <f t="shared" ref="O103" si="38">IF(AND(I103="ja",J103=""),1,0)</f>
        <v>0</v>
      </c>
      <c r="P103" s="78">
        <f t="shared" si="20"/>
        <v>0</v>
      </c>
      <c r="T103" s="398"/>
      <c r="U103" s="398"/>
      <c r="V103" s="398"/>
      <c r="W103" s="398"/>
      <c r="X103" s="398"/>
      <c r="Y103" s="398"/>
      <c r="Z103" s="398"/>
      <c r="AA103" s="74"/>
      <c r="AP103" s="68"/>
      <c r="AQ103" s="68"/>
      <c r="AR103" s="68"/>
      <c r="AS103" s="68"/>
    </row>
    <row r="104" spans="1:45" ht="14.25" customHeight="1" outlineLevel="1" x14ac:dyDescent="0.25">
      <c r="A104" s="220"/>
      <c r="B104" s="2066"/>
      <c r="C104" s="2067"/>
      <c r="D104" s="2067"/>
      <c r="E104" s="2067"/>
      <c r="F104" s="2067"/>
      <c r="G104" s="2067"/>
      <c r="H104" s="2067"/>
      <c r="I104" s="1726"/>
      <c r="J104" s="2029"/>
      <c r="K104" s="2176"/>
      <c r="L104" s="2019"/>
      <c r="M104" s="2021"/>
      <c r="N104" s="2023"/>
      <c r="P104" s="78">
        <f t="shared" si="20"/>
        <v>0</v>
      </c>
      <c r="T104" s="398"/>
      <c r="U104" s="398"/>
      <c r="V104" s="398"/>
      <c r="W104" s="398"/>
      <c r="X104" s="398"/>
      <c r="Y104" s="398"/>
      <c r="Z104" s="398"/>
      <c r="AA104" s="74"/>
      <c r="AP104" s="68"/>
      <c r="AQ104" s="68"/>
      <c r="AR104" s="68"/>
      <c r="AS104" s="68"/>
    </row>
    <row r="105" spans="1:45" ht="14.25" customHeight="1" outlineLevel="1" x14ac:dyDescent="0.25">
      <c r="A105" s="220"/>
      <c r="B105" s="2183" t="s">
        <v>870</v>
      </c>
      <c r="C105" s="2184"/>
      <c r="D105" s="2184"/>
      <c r="E105" s="2184"/>
      <c r="F105" s="2184"/>
      <c r="G105" s="2184"/>
      <c r="H105" s="2185"/>
      <c r="I105" s="404"/>
      <c r="J105" s="430"/>
      <c r="K105" s="431"/>
      <c r="L105" s="429"/>
      <c r="M105" s="429"/>
      <c r="N105" s="405"/>
      <c r="P105" s="78">
        <f t="shared" si="20"/>
        <v>0</v>
      </c>
      <c r="T105" s="398"/>
      <c r="U105" s="398"/>
      <c r="V105" s="398"/>
      <c r="W105" s="398"/>
      <c r="X105" s="398"/>
      <c r="Y105" s="398"/>
      <c r="Z105" s="398"/>
      <c r="AA105" s="74"/>
      <c r="AP105" s="68"/>
      <c r="AQ105" s="68"/>
      <c r="AR105" s="68"/>
      <c r="AS105" s="68"/>
    </row>
    <row r="106" spans="1:45" ht="15" customHeight="1" outlineLevel="1" x14ac:dyDescent="0.25">
      <c r="A106" s="220"/>
      <c r="B106" s="2024" t="s">
        <v>871</v>
      </c>
      <c r="C106" s="2025"/>
      <c r="D106" s="2025"/>
      <c r="E106" s="2025"/>
      <c r="F106" s="2025"/>
      <c r="G106" s="2025"/>
      <c r="H106" s="2025"/>
      <c r="I106" s="1775" t="s">
        <v>100</v>
      </c>
      <c r="J106" s="2026"/>
      <c r="K106" s="2175"/>
      <c r="L106" s="2018">
        <f t="shared" ref="L106" si="39">J106*K106</f>
        <v>0</v>
      </c>
      <c r="M106" s="2021" t="str">
        <f>IFERROR(IF((VLOOKUP(N106,Überblick!$M$125:$N$134,2))="ja","ja","nein"),"")</f>
        <v/>
      </c>
      <c r="N106" s="2022"/>
      <c r="O106" s="72">
        <f t="shared" ref="O106" si="40">IF(AND(I106="ja",J106=""),1,0)</f>
        <v>0</v>
      </c>
      <c r="P106" s="78">
        <f t="shared" si="20"/>
        <v>0</v>
      </c>
      <c r="T106" s="398"/>
      <c r="U106" s="398"/>
      <c r="V106" s="398"/>
      <c r="W106" s="398"/>
      <c r="X106" s="398"/>
      <c r="Y106" s="398"/>
      <c r="Z106" s="398"/>
      <c r="AA106" s="74"/>
      <c r="AP106" s="68"/>
      <c r="AQ106" s="68"/>
      <c r="AR106" s="68"/>
      <c r="AS106" s="68"/>
    </row>
    <row r="107" spans="1:45" ht="14.25" customHeight="1" outlineLevel="1" x14ac:dyDescent="0.25">
      <c r="A107" s="220"/>
      <c r="B107" s="2024"/>
      <c r="C107" s="2025"/>
      <c r="D107" s="2025"/>
      <c r="E107" s="2025"/>
      <c r="F107" s="2025"/>
      <c r="G107" s="2025"/>
      <c r="H107" s="2025"/>
      <c r="I107" s="1775"/>
      <c r="J107" s="2026"/>
      <c r="K107" s="2177"/>
      <c r="L107" s="2018"/>
      <c r="M107" s="2033"/>
      <c r="N107" s="2022"/>
      <c r="P107" s="78">
        <f t="shared" si="20"/>
        <v>0</v>
      </c>
      <c r="T107" s="398"/>
      <c r="U107" s="398"/>
      <c r="V107" s="398"/>
      <c r="W107" s="398"/>
      <c r="X107" s="398"/>
      <c r="Y107" s="398"/>
      <c r="Z107" s="398"/>
      <c r="AA107" s="74"/>
      <c r="AP107" s="68"/>
      <c r="AQ107" s="68"/>
      <c r="AR107" s="68"/>
      <c r="AS107" s="68"/>
    </row>
    <row r="108" spans="1:45" ht="14.25" customHeight="1" outlineLevel="1" x14ac:dyDescent="0.25">
      <c r="A108" s="220"/>
      <c r="B108" s="2024" t="s">
        <v>872</v>
      </c>
      <c r="C108" s="2025"/>
      <c r="D108" s="2025"/>
      <c r="E108" s="2025"/>
      <c r="F108" s="2025"/>
      <c r="G108" s="2025"/>
      <c r="H108" s="2025"/>
      <c r="I108" s="407" t="s">
        <v>100</v>
      </c>
      <c r="J108" s="408"/>
      <c r="K108" s="416"/>
      <c r="L108" s="406">
        <f t="shared" ref="L108" si="41">J108*K108</f>
        <v>0</v>
      </c>
      <c r="M108" s="530" t="str">
        <f>IFERROR(IF((VLOOKUP(N108,Überblick!$M$125:$N$134,2))="ja","ja","nein"),"")</f>
        <v/>
      </c>
      <c r="N108" s="409"/>
      <c r="O108" s="72">
        <f t="shared" ref="O108" si="42">IF(AND(I108="ja",J108=""),1,0)</f>
        <v>0</v>
      </c>
      <c r="P108" s="78">
        <f t="shared" si="20"/>
        <v>0</v>
      </c>
      <c r="T108" s="398"/>
      <c r="U108" s="398"/>
      <c r="V108" s="398"/>
      <c r="W108" s="398"/>
      <c r="X108" s="398"/>
      <c r="Y108" s="398"/>
      <c r="Z108" s="398"/>
      <c r="AA108" s="74"/>
      <c r="AP108" s="68"/>
      <c r="AQ108" s="68"/>
      <c r="AR108" s="68"/>
      <c r="AS108" s="68"/>
    </row>
    <row r="109" spans="1:45" ht="14.25" customHeight="1" outlineLevel="1" x14ac:dyDescent="0.25">
      <c r="A109" s="220"/>
      <c r="B109" s="2024" t="s">
        <v>873</v>
      </c>
      <c r="C109" s="2025"/>
      <c r="D109" s="2025"/>
      <c r="E109" s="2025"/>
      <c r="F109" s="2025"/>
      <c r="G109" s="2025"/>
      <c r="H109" s="2025"/>
      <c r="I109" s="1775" t="s">
        <v>100</v>
      </c>
      <c r="J109" s="2026"/>
      <c r="K109" s="2175"/>
      <c r="L109" s="2018">
        <f t="shared" ref="L109" si="43">J109*K109</f>
        <v>0</v>
      </c>
      <c r="M109" s="2020" t="str">
        <f>IFERROR(IF((VLOOKUP(N109,Überblick!$M$125:$N$134,2))="ja","ja","nein"),"")</f>
        <v/>
      </c>
      <c r="N109" s="2022"/>
      <c r="O109" s="72">
        <f t="shared" ref="O109" si="44">IF(AND(I109="ja",J109=""),1,0)</f>
        <v>0</v>
      </c>
      <c r="P109" s="78">
        <f t="shared" si="20"/>
        <v>0</v>
      </c>
      <c r="T109" s="398"/>
      <c r="U109" s="398"/>
      <c r="V109" s="398"/>
      <c r="W109" s="398"/>
      <c r="X109" s="398"/>
      <c r="Y109" s="398"/>
      <c r="Z109" s="398"/>
      <c r="AA109" s="74"/>
      <c r="AP109" s="68"/>
      <c r="AQ109" s="68"/>
      <c r="AR109" s="68"/>
      <c r="AS109" s="68"/>
    </row>
    <row r="110" spans="1:45" ht="14.25" customHeight="1" outlineLevel="1" x14ac:dyDescent="0.25">
      <c r="A110" s="220"/>
      <c r="B110" s="2024"/>
      <c r="C110" s="2025"/>
      <c r="D110" s="2025"/>
      <c r="E110" s="2025"/>
      <c r="F110" s="2025"/>
      <c r="G110" s="2025"/>
      <c r="H110" s="2025"/>
      <c r="I110" s="1775"/>
      <c r="J110" s="2026"/>
      <c r="K110" s="2176"/>
      <c r="L110" s="2018"/>
      <c r="M110" s="2020"/>
      <c r="N110" s="2022"/>
      <c r="P110" s="78">
        <f t="shared" si="20"/>
        <v>0</v>
      </c>
      <c r="T110" s="398"/>
      <c r="U110" s="398"/>
      <c r="V110" s="398"/>
      <c r="W110" s="398"/>
      <c r="X110" s="398"/>
      <c r="Y110" s="398"/>
      <c r="Z110" s="398"/>
      <c r="AA110" s="74"/>
      <c r="AP110" s="68"/>
      <c r="AQ110" s="68"/>
      <c r="AR110" s="68"/>
      <c r="AS110" s="68"/>
    </row>
    <row r="111" spans="1:45" ht="14.25" customHeight="1" outlineLevel="1" x14ac:dyDescent="0.25">
      <c r="A111" s="220"/>
      <c r="B111" s="2024"/>
      <c r="C111" s="2025"/>
      <c r="D111" s="2025"/>
      <c r="E111" s="2025"/>
      <c r="F111" s="2025"/>
      <c r="G111" s="2025"/>
      <c r="H111" s="2025"/>
      <c r="I111" s="1775"/>
      <c r="J111" s="2026"/>
      <c r="K111" s="2177"/>
      <c r="L111" s="2018"/>
      <c r="M111" s="2020"/>
      <c r="N111" s="2022"/>
      <c r="P111" s="78">
        <f t="shared" si="20"/>
        <v>0</v>
      </c>
      <c r="T111" s="398"/>
      <c r="U111" s="398"/>
      <c r="V111" s="398"/>
      <c r="W111" s="398"/>
      <c r="X111" s="398"/>
      <c r="Y111" s="398"/>
      <c r="Z111" s="398"/>
      <c r="AA111" s="74"/>
      <c r="AP111" s="68"/>
      <c r="AQ111" s="68"/>
      <c r="AR111" s="68"/>
      <c r="AS111" s="68"/>
    </row>
    <row r="112" spans="1:45" ht="14.25" customHeight="1" outlineLevel="1" x14ac:dyDescent="0.25">
      <c r="A112" s="220"/>
      <c r="B112" s="2024" t="s">
        <v>874</v>
      </c>
      <c r="C112" s="2025"/>
      <c r="D112" s="2025"/>
      <c r="E112" s="2025"/>
      <c r="F112" s="2025"/>
      <c r="G112" s="2025"/>
      <c r="H112" s="2025"/>
      <c r="I112" s="1775" t="s">
        <v>100</v>
      </c>
      <c r="J112" s="2026"/>
      <c r="K112" s="2175"/>
      <c r="L112" s="2018">
        <f t="shared" ref="L112" si="45">J112*K112</f>
        <v>0</v>
      </c>
      <c r="M112" s="2020" t="str">
        <f>IFERROR(IF((VLOOKUP(N112,Überblick!$M$125:$N$134,2))="ja","ja","nein"),"")</f>
        <v/>
      </c>
      <c r="N112" s="2022"/>
      <c r="O112" s="72">
        <f t="shared" ref="O112" si="46">IF(AND(I112="ja",J112=""),1,0)</f>
        <v>0</v>
      </c>
      <c r="P112" s="78">
        <f t="shared" si="20"/>
        <v>0</v>
      </c>
      <c r="T112" s="398"/>
      <c r="U112" s="398"/>
      <c r="V112" s="398"/>
      <c r="W112" s="398"/>
      <c r="X112" s="398"/>
      <c r="Y112" s="398"/>
      <c r="Z112" s="398"/>
      <c r="AA112" s="74"/>
      <c r="AP112" s="68"/>
      <c r="AQ112" s="68"/>
      <c r="AR112" s="68"/>
      <c r="AS112" s="68"/>
    </row>
    <row r="113" spans="1:45" ht="14.25" customHeight="1" outlineLevel="1" x14ac:dyDescent="0.25">
      <c r="A113" s="220"/>
      <c r="B113" s="2024"/>
      <c r="C113" s="2025"/>
      <c r="D113" s="2025"/>
      <c r="E113" s="2025"/>
      <c r="F113" s="2025"/>
      <c r="G113" s="2025"/>
      <c r="H113" s="2025"/>
      <c r="I113" s="1775"/>
      <c r="J113" s="2026"/>
      <c r="K113" s="2176"/>
      <c r="L113" s="2018"/>
      <c r="M113" s="2020"/>
      <c r="N113" s="2022"/>
      <c r="P113" s="78">
        <f t="shared" si="20"/>
        <v>0</v>
      </c>
      <c r="T113" s="398"/>
      <c r="U113" s="398"/>
      <c r="V113" s="398"/>
      <c r="W113" s="398"/>
      <c r="X113" s="398"/>
      <c r="Y113" s="398"/>
      <c r="Z113" s="398"/>
      <c r="AA113" s="74"/>
      <c r="AP113" s="68"/>
      <c r="AQ113" s="68"/>
      <c r="AR113" s="68"/>
      <c r="AS113" s="68"/>
    </row>
    <row r="114" spans="1:45" ht="14.25" customHeight="1" outlineLevel="1" x14ac:dyDescent="0.25">
      <c r="A114" s="220"/>
      <c r="B114" s="2024"/>
      <c r="C114" s="2025"/>
      <c r="D114" s="2025"/>
      <c r="E114" s="2025"/>
      <c r="F114" s="2025"/>
      <c r="G114" s="2025"/>
      <c r="H114" s="2025"/>
      <c r="I114" s="1775"/>
      <c r="J114" s="2026"/>
      <c r="K114" s="2177"/>
      <c r="L114" s="2018"/>
      <c r="M114" s="2020"/>
      <c r="N114" s="2022"/>
      <c r="P114" s="78">
        <f t="shared" si="20"/>
        <v>0</v>
      </c>
      <c r="T114" s="398"/>
      <c r="U114" s="398"/>
      <c r="V114" s="398"/>
      <c r="W114" s="398"/>
      <c r="X114" s="398"/>
      <c r="Y114" s="398"/>
      <c r="Z114" s="398"/>
      <c r="AA114" s="74"/>
      <c r="AP114" s="68"/>
      <c r="AQ114" s="68"/>
      <c r="AR114" s="68"/>
      <c r="AS114" s="68"/>
    </row>
    <row r="115" spans="1:45" ht="14.25" customHeight="1" outlineLevel="1" x14ac:dyDescent="0.25">
      <c r="A115" s="220"/>
      <c r="B115" s="2179" t="s">
        <v>875</v>
      </c>
      <c r="C115" s="2180"/>
      <c r="D115" s="2180"/>
      <c r="E115" s="2180"/>
      <c r="F115" s="2180"/>
      <c r="G115" s="2180"/>
      <c r="H115" s="2181"/>
      <c r="I115" s="411"/>
      <c r="J115" s="432"/>
      <c r="K115" s="433"/>
      <c r="L115" s="413"/>
      <c r="M115" s="429"/>
      <c r="N115" s="410"/>
      <c r="P115" s="78">
        <f t="shared" si="20"/>
        <v>0</v>
      </c>
      <c r="T115" s="398"/>
      <c r="U115" s="398"/>
      <c r="V115" s="398"/>
      <c r="W115" s="398"/>
      <c r="X115" s="398"/>
      <c r="Y115" s="398"/>
      <c r="Z115" s="398"/>
      <c r="AA115" s="74"/>
      <c r="AP115" s="68"/>
      <c r="AQ115" s="68"/>
      <c r="AR115" s="68"/>
      <c r="AS115" s="68"/>
    </row>
    <row r="116" spans="1:45" ht="15" customHeight="1" outlineLevel="1" x14ac:dyDescent="0.25">
      <c r="A116" s="220"/>
      <c r="B116" s="2024" t="s">
        <v>876</v>
      </c>
      <c r="C116" s="2025"/>
      <c r="D116" s="2025"/>
      <c r="E116" s="2025"/>
      <c r="F116" s="2025"/>
      <c r="G116" s="2025"/>
      <c r="H116" s="2025"/>
      <c r="I116" s="1775" t="s">
        <v>100</v>
      </c>
      <c r="J116" s="2026"/>
      <c r="K116" s="2182"/>
      <c r="L116" s="2018">
        <f t="shared" ref="L116" si="47">J116*K116</f>
        <v>0</v>
      </c>
      <c r="M116" s="2021" t="str">
        <f>IFERROR(IF((VLOOKUP(N116,Überblick!$M$125:$N$134,2))="ja","ja","nein"),"")</f>
        <v/>
      </c>
      <c r="N116" s="2022"/>
      <c r="O116" s="72">
        <f t="shared" ref="O116" si="48">IF(AND(I116="ja",J116=""),1,0)</f>
        <v>0</v>
      </c>
      <c r="P116" s="78">
        <f t="shared" si="20"/>
        <v>0</v>
      </c>
      <c r="T116" s="398"/>
      <c r="U116" s="398"/>
      <c r="V116" s="398"/>
      <c r="W116" s="398"/>
      <c r="X116" s="398"/>
      <c r="Y116" s="398"/>
      <c r="Z116" s="398"/>
      <c r="AA116" s="74"/>
      <c r="AP116" s="68"/>
      <c r="AQ116" s="68"/>
      <c r="AR116" s="68"/>
      <c r="AS116" s="68"/>
    </row>
    <row r="117" spans="1:45" ht="15" customHeight="1" outlineLevel="1" x14ac:dyDescent="0.25">
      <c r="A117" s="220"/>
      <c r="B117" s="2024"/>
      <c r="C117" s="2025"/>
      <c r="D117" s="2025"/>
      <c r="E117" s="2025"/>
      <c r="F117" s="2025"/>
      <c r="G117" s="2025"/>
      <c r="H117" s="2025"/>
      <c r="I117" s="1726"/>
      <c r="J117" s="2026"/>
      <c r="K117" s="2182"/>
      <c r="L117" s="2018"/>
      <c r="M117" s="2032"/>
      <c r="N117" s="2022"/>
      <c r="P117" s="78">
        <f t="shared" si="20"/>
        <v>0</v>
      </c>
      <c r="T117" s="398"/>
      <c r="U117" s="398"/>
      <c r="V117" s="398"/>
      <c r="W117" s="398"/>
      <c r="X117" s="398"/>
      <c r="Y117" s="398"/>
      <c r="Z117" s="398"/>
      <c r="AA117" s="74"/>
      <c r="AP117" s="68"/>
      <c r="AQ117" s="68"/>
      <c r="AR117" s="68"/>
      <c r="AS117" s="68"/>
    </row>
    <row r="118" spans="1:45" ht="15" customHeight="1" outlineLevel="1" x14ac:dyDescent="0.25">
      <c r="A118" s="220"/>
      <c r="B118" s="2024"/>
      <c r="C118" s="2025"/>
      <c r="D118" s="2025"/>
      <c r="E118" s="2025"/>
      <c r="F118" s="2025"/>
      <c r="G118" s="2025"/>
      <c r="H118" s="2025"/>
      <c r="I118" s="1726"/>
      <c r="J118" s="2026"/>
      <c r="K118" s="2182"/>
      <c r="L118" s="2018"/>
      <c r="M118" s="2032"/>
      <c r="N118" s="2022"/>
      <c r="P118" s="78">
        <f t="shared" si="20"/>
        <v>0</v>
      </c>
      <c r="T118" s="398"/>
      <c r="U118" s="398"/>
      <c r="V118" s="398"/>
      <c r="W118" s="398"/>
      <c r="X118" s="398"/>
      <c r="Y118" s="398"/>
      <c r="Z118" s="398"/>
      <c r="AA118" s="74"/>
      <c r="AP118" s="68"/>
      <c r="AQ118" s="68"/>
      <c r="AR118" s="68"/>
      <c r="AS118" s="68"/>
    </row>
    <row r="119" spans="1:45" ht="15" customHeight="1" outlineLevel="1" x14ac:dyDescent="0.25">
      <c r="A119" s="220"/>
      <c r="B119" s="2024"/>
      <c r="C119" s="2025"/>
      <c r="D119" s="2025"/>
      <c r="E119" s="2025"/>
      <c r="F119" s="2025"/>
      <c r="G119" s="2025"/>
      <c r="H119" s="2025"/>
      <c r="I119" s="1726"/>
      <c r="J119" s="2026"/>
      <c r="K119" s="2182"/>
      <c r="L119" s="2018"/>
      <c r="M119" s="2032"/>
      <c r="N119" s="2022"/>
      <c r="P119" s="78">
        <f t="shared" si="20"/>
        <v>0</v>
      </c>
      <c r="T119" s="398"/>
      <c r="U119" s="398"/>
      <c r="V119" s="398"/>
      <c r="W119" s="398"/>
      <c r="X119" s="398"/>
      <c r="Y119" s="398"/>
      <c r="Z119" s="398"/>
      <c r="AA119" s="74"/>
      <c r="AP119" s="68"/>
      <c r="AQ119" s="68"/>
      <c r="AR119" s="68"/>
      <c r="AS119" s="68"/>
    </row>
    <row r="120" spans="1:45" ht="15" customHeight="1" outlineLevel="1" x14ac:dyDescent="0.25">
      <c r="A120" s="220"/>
      <c r="B120" s="2024"/>
      <c r="C120" s="2025"/>
      <c r="D120" s="2025"/>
      <c r="E120" s="2025"/>
      <c r="F120" s="2025"/>
      <c r="G120" s="2025"/>
      <c r="H120" s="2025"/>
      <c r="I120" s="1726"/>
      <c r="J120" s="2026"/>
      <c r="K120" s="2182"/>
      <c r="L120" s="2018"/>
      <c r="M120" s="2032"/>
      <c r="N120" s="2022"/>
      <c r="P120" s="78">
        <f t="shared" si="20"/>
        <v>0</v>
      </c>
      <c r="T120" s="398"/>
      <c r="U120" s="398"/>
      <c r="V120" s="398"/>
      <c r="W120" s="398"/>
      <c r="X120" s="398"/>
      <c r="Y120" s="398"/>
      <c r="Z120" s="398"/>
      <c r="AA120" s="74"/>
      <c r="AP120" s="68"/>
      <c r="AQ120" s="68"/>
      <c r="AR120" s="68"/>
      <c r="AS120" s="68"/>
    </row>
    <row r="121" spans="1:45" ht="15" customHeight="1" outlineLevel="1" x14ac:dyDescent="0.25">
      <c r="A121" s="220"/>
      <c r="B121" s="2024"/>
      <c r="C121" s="2025"/>
      <c r="D121" s="2025"/>
      <c r="E121" s="2025"/>
      <c r="F121" s="2025"/>
      <c r="G121" s="2025"/>
      <c r="H121" s="2025"/>
      <c r="I121" s="1726"/>
      <c r="J121" s="2026"/>
      <c r="K121" s="2182"/>
      <c r="L121" s="2018"/>
      <c r="M121" s="2032"/>
      <c r="N121" s="2022"/>
      <c r="P121" s="78">
        <f t="shared" si="20"/>
        <v>0</v>
      </c>
      <c r="T121" s="398"/>
      <c r="U121" s="398"/>
      <c r="V121" s="398"/>
      <c r="W121" s="398"/>
      <c r="X121" s="398"/>
      <c r="Y121" s="398"/>
      <c r="Z121" s="398"/>
      <c r="AA121" s="74"/>
      <c r="AP121" s="68"/>
      <c r="AQ121" s="68"/>
      <c r="AR121" s="68"/>
      <c r="AS121" s="68"/>
    </row>
    <row r="122" spans="1:45" ht="14.25" customHeight="1" outlineLevel="1" x14ac:dyDescent="0.25">
      <c r="A122" s="220"/>
      <c r="B122" s="2024"/>
      <c r="C122" s="2025"/>
      <c r="D122" s="2025"/>
      <c r="E122" s="2025"/>
      <c r="F122" s="2025"/>
      <c r="G122" s="2025"/>
      <c r="H122" s="2025"/>
      <c r="I122" s="1726"/>
      <c r="J122" s="2026"/>
      <c r="K122" s="2182"/>
      <c r="L122" s="2018"/>
      <c r="M122" s="2033"/>
      <c r="N122" s="2022"/>
      <c r="P122" s="78">
        <f t="shared" si="20"/>
        <v>0</v>
      </c>
      <c r="T122" s="398"/>
      <c r="U122" s="398"/>
      <c r="V122" s="398"/>
      <c r="W122" s="398"/>
      <c r="X122" s="398"/>
      <c r="Y122" s="398"/>
      <c r="Z122" s="398"/>
      <c r="AA122" s="74"/>
      <c r="AP122" s="68"/>
      <c r="AQ122" s="68"/>
      <c r="AR122" s="68"/>
      <c r="AS122" s="68"/>
    </row>
    <row r="123" spans="1:45" ht="14.25" customHeight="1" outlineLevel="1" x14ac:dyDescent="0.25">
      <c r="A123" s="220"/>
      <c r="B123" s="2024" t="s">
        <v>877</v>
      </c>
      <c r="C123" s="2025"/>
      <c r="D123" s="2025"/>
      <c r="E123" s="2025"/>
      <c r="F123" s="2025"/>
      <c r="G123" s="2025"/>
      <c r="H123" s="2025"/>
      <c r="I123" s="1775" t="s">
        <v>100</v>
      </c>
      <c r="J123" s="2026"/>
      <c r="K123" s="2175"/>
      <c r="L123" s="2018">
        <f t="shared" ref="L123" si="49">J123*K123</f>
        <v>0</v>
      </c>
      <c r="M123" s="2020" t="str">
        <f>IFERROR(IF((VLOOKUP(N123,Überblick!$M$125:$N$134,2))="ja","ja","nein"),"")</f>
        <v/>
      </c>
      <c r="N123" s="2022"/>
      <c r="O123" s="72">
        <f t="shared" ref="O123" si="50">IF(AND(I123="ja",J123=""),1,0)</f>
        <v>0</v>
      </c>
      <c r="P123" s="78">
        <f t="shared" si="20"/>
        <v>0</v>
      </c>
      <c r="T123" s="398"/>
      <c r="U123" s="398"/>
      <c r="V123" s="398"/>
      <c r="W123" s="398"/>
      <c r="X123" s="398"/>
      <c r="Y123" s="398"/>
      <c r="Z123" s="398"/>
      <c r="AA123" s="74"/>
      <c r="AP123" s="68"/>
      <c r="AQ123" s="68"/>
      <c r="AR123" s="68"/>
      <c r="AS123" s="68"/>
    </row>
    <row r="124" spans="1:45" ht="14.25" customHeight="1" outlineLevel="1" x14ac:dyDescent="0.25">
      <c r="A124" s="220"/>
      <c r="B124" s="2024"/>
      <c r="C124" s="2025"/>
      <c r="D124" s="2025"/>
      <c r="E124" s="2025"/>
      <c r="F124" s="2025"/>
      <c r="G124" s="2025"/>
      <c r="H124" s="2025"/>
      <c r="I124" s="1775"/>
      <c r="J124" s="2026"/>
      <c r="K124" s="2176"/>
      <c r="L124" s="2018"/>
      <c r="M124" s="2020"/>
      <c r="N124" s="2022"/>
      <c r="P124" s="78">
        <f t="shared" si="20"/>
        <v>0</v>
      </c>
      <c r="T124" s="398"/>
      <c r="U124" s="398"/>
      <c r="V124" s="398"/>
      <c r="W124" s="398"/>
      <c r="X124" s="398"/>
      <c r="Y124" s="398"/>
      <c r="Z124" s="398"/>
      <c r="AA124" s="74"/>
      <c r="AP124" s="68"/>
      <c r="AQ124" s="68"/>
      <c r="AR124" s="68"/>
      <c r="AS124" s="68"/>
    </row>
    <row r="125" spans="1:45" ht="14.25" customHeight="1" outlineLevel="1" x14ac:dyDescent="0.25">
      <c r="A125" s="220"/>
      <c r="B125" s="2024"/>
      <c r="C125" s="2025"/>
      <c r="D125" s="2025"/>
      <c r="E125" s="2025"/>
      <c r="F125" s="2025"/>
      <c r="G125" s="2025"/>
      <c r="H125" s="2025"/>
      <c r="I125" s="1775"/>
      <c r="J125" s="2026"/>
      <c r="K125" s="2177"/>
      <c r="L125" s="2018"/>
      <c r="M125" s="2020"/>
      <c r="N125" s="2022"/>
      <c r="P125" s="78">
        <f t="shared" si="20"/>
        <v>0</v>
      </c>
      <c r="T125" s="398"/>
      <c r="U125" s="398"/>
      <c r="V125" s="398"/>
      <c r="W125" s="398"/>
      <c r="X125" s="398"/>
      <c r="Y125" s="398"/>
      <c r="Z125" s="398"/>
      <c r="AA125" s="74"/>
      <c r="AP125" s="68"/>
      <c r="AQ125" s="68"/>
      <c r="AR125" s="68"/>
      <c r="AS125" s="68"/>
    </row>
    <row r="126" spans="1:45" ht="14.25" customHeight="1" outlineLevel="1" x14ac:dyDescent="0.25">
      <c r="A126" s="220"/>
      <c r="B126" s="2179" t="s">
        <v>878</v>
      </c>
      <c r="C126" s="2180"/>
      <c r="D126" s="2180"/>
      <c r="E126" s="2180"/>
      <c r="F126" s="2180"/>
      <c r="G126" s="2180"/>
      <c r="H126" s="2181"/>
      <c r="I126" s="411"/>
      <c r="J126" s="432"/>
      <c r="K126" s="433"/>
      <c r="L126" s="413"/>
      <c r="M126" s="413"/>
      <c r="N126" s="410"/>
      <c r="P126" s="78">
        <f t="shared" si="20"/>
        <v>0</v>
      </c>
      <c r="T126" s="398"/>
      <c r="U126" s="398"/>
      <c r="V126" s="398"/>
      <c r="W126" s="398"/>
      <c r="X126" s="398"/>
      <c r="Y126" s="398"/>
      <c r="Z126" s="398"/>
      <c r="AA126" s="74"/>
      <c r="AP126" s="68"/>
      <c r="AQ126" s="68"/>
      <c r="AR126" s="68"/>
      <c r="AS126" s="68"/>
    </row>
    <row r="127" spans="1:45" ht="15" customHeight="1" outlineLevel="1" x14ac:dyDescent="0.25">
      <c r="A127" s="220"/>
      <c r="B127" s="2024" t="s">
        <v>879</v>
      </c>
      <c r="C127" s="2025"/>
      <c r="D127" s="2025"/>
      <c r="E127" s="2025"/>
      <c r="F127" s="2025"/>
      <c r="G127" s="2025"/>
      <c r="H127" s="2025"/>
      <c r="I127" s="1775" t="s">
        <v>100</v>
      </c>
      <c r="J127" s="2026"/>
      <c r="K127" s="2182"/>
      <c r="L127" s="2018">
        <f t="shared" ref="L127" si="51">J127*K127</f>
        <v>0</v>
      </c>
      <c r="M127" s="2020" t="str">
        <f>IFERROR(IF((VLOOKUP(N127,Überblick!$M$125:$N$134,2))="ja","ja","nein"),"")</f>
        <v/>
      </c>
      <c r="N127" s="2022"/>
      <c r="O127" s="72">
        <f t="shared" ref="O127" si="52">IF(AND(I127="ja",J127=""),1,0)</f>
        <v>0</v>
      </c>
      <c r="P127" s="78">
        <f t="shared" si="20"/>
        <v>0</v>
      </c>
      <c r="T127" s="398"/>
      <c r="U127" s="398"/>
      <c r="V127" s="398"/>
      <c r="W127" s="398"/>
      <c r="X127" s="398"/>
      <c r="Y127" s="398"/>
      <c r="Z127" s="398"/>
      <c r="AA127" s="74"/>
      <c r="AP127" s="68"/>
      <c r="AQ127" s="68"/>
      <c r="AR127" s="68"/>
      <c r="AS127" s="68"/>
    </row>
    <row r="128" spans="1:45" ht="15" customHeight="1" outlineLevel="1" x14ac:dyDescent="0.25">
      <c r="A128" s="220"/>
      <c r="B128" s="2024"/>
      <c r="C128" s="2025"/>
      <c r="D128" s="2025"/>
      <c r="E128" s="2025"/>
      <c r="F128" s="2025"/>
      <c r="G128" s="2025"/>
      <c r="H128" s="2025"/>
      <c r="I128" s="1775"/>
      <c r="J128" s="2026"/>
      <c r="K128" s="2182"/>
      <c r="L128" s="2018"/>
      <c r="M128" s="2020"/>
      <c r="N128" s="2022"/>
      <c r="P128" s="78">
        <f t="shared" si="20"/>
        <v>0</v>
      </c>
      <c r="T128" s="398"/>
      <c r="U128" s="398"/>
      <c r="V128" s="398"/>
      <c r="W128" s="398"/>
      <c r="X128" s="398"/>
      <c r="Y128" s="398"/>
      <c r="Z128" s="398"/>
      <c r="AA128" s="74"/>
      <c r="AP128" s="68"/>
      <c r="AQ128" s="68"/>
      <c r="AR128" s="68"/>
      <c r="AS128" s="68"/>
    </row>
    <row r="129" spans="1:45" ht="15" customHeight="1" outlineLevel="1" x14ac:dyDescent="0.25">
      <c r="A129" s="220"/>
      <c r="B129" s="2024"/>
      <c r="C129" s="2025"/>
      <c r="D129" s="2025"/>
      <c r="E129" s="2025"/>
      <c r="F129" s="2025"/>
      <c r="G129" s="2025"/>
      <c r="H129" s="2025"/>
      <c r="I129" s="1775"/>
      <c r="J129" s="2026"/>
      <c r="K129" s="2182"/>
      <c r="L129" s="2018"/>
      <c r="M129" s="2020"/>
      <c r="N129" s="2022"/>
      <c r="P129" s="78">
        <f t="shared" si="20"/>
        <v>0</v>
      </c>
      <c r="T129" s="398"/>
      <c r="U129" s="398"/>
      <c r="V129" s="398"/>
      <c r="W129" s="398"/>
      <c r="X129" s="398"/>
      <c r="Y129" s="398"/>
      <c r="Z129" s="398"/>
      <c r="AA129" s="74"/>
      <c r="AP129" s="68"/>
      <c r="AQ129" s="68"/>
      <c r="AR129" s="68"/>
      <c r="AS129" s="68"/>
    </row>
    <row r="130" spans="1:45" ht="15" customHeight="1" outlineLevel="1" x14ac:dyDescent="0.25">
      <c r="A130" s="220"/>
      <c r="B130" s="2024"/>
      <c r="C130" s="2025"/>
      <c r="D130" s="2025"/>
      <c r="E130" s="2025"/>
      <c r="F130" s="2025"/>
      <c r="G130" s="2025"/>
      <c r="H130" s="2025"/>
      <c r="I130" s="1775"/>
      <c r="J130" s="2026"/>
      <c r="K130" s="2182"/>
      <c r="L130" s="2018"/>
      <c r="M130" s="2020"/>
      <c r="N130" s="2022"/>
      <c r="P130" s="78">
        <f t="shared" si="20"/>
        <v>0</v>
      </c>
      <c r="T130" s="398"/>
      <c r="U130" s="398"/>
      <c r="V130" s="398"/>
      <c r="W130" s="398"/>
      <c r="X130" s="398"/>
      <c r="Y130" s="398"/>
      <c r="Z130" s="398"/>
      <c r="AA130" s="74"/>
      <c r="AP130" s="68"/>
      <c r="AQ130" s="68"/>
      <c r="AR130" s="68"/>
      <c r="AS130" s="68"/>
    </row>
    <row r="131" spans="1:45" ht="14.25" customHeight="1" outlineLevel="1" x14ac:dyDescent="0.25">
      <c r="A131" s="220"/>
      <c r="B131" s="2024"/>
      <c r="C131" s="2025"/>
      <c r="D131" s="2025"/>
      <c r="E131" s="2025"/>
      <c r="F131" s="2025"/>
      <c r="G131" s="2025"/>
      <c r="H131" s="2025"/>
      <c r="I131" s="1775"/>
      <c r="J131" s="2026"/>
      <c r="K131" s="2182"/>
      <c r="L131" s="2018"/>
      <c r="M131" s="2020"/>
      <c r="N131" s="2022"/>
      <c r="P131" s="78">
        <f t="shared" si="20"/>
        <v>0</v>
      </c>
      <c r="T131" s="398"/>
      <c r="U131" s="398"/>
      <c r="V131" s="398"/>
      <c r="W131" s="398"/>
      <c r="X131" s="398"/>
      <c r="Y131" s="398"/>
      <c r="Z131" s="398"/>
      <c r="AA131" s="74"/>
      <c r="AP131" s="68"/>
      <c r="AQ131" s="68"/>
      <c r="AR131" s="68"/>
      <c r="AS131" s="68"/>
    </row>
    <row r="132" spans="1:45" ht="14.25" customHeight="1" outlineLevel="1" x14ac:dyDescent="0.25">
      <c r="A132" s="220"/>
      <c r="B132" s="2024" t="s">
        <v>880</v>
      </c>
      <c r="C132" s="2025"/>
      <c r="D132" s="2025"/>
      <c r="E132" s="2025"/>
      <c r="F132" s="2025"/>
      <c r="G132" s="2025"/>
      <c r="H132" s="2025"/>
      <c r="I132" s="1775" t="s">
        <v>100</v>
      </c>
      <c r="J132" s="2026"/>
      <c r="K132" s="2175"/>
      <c r="L132" s="2018">
        <f t="shared" ref="L132" si="53">J132*K132</f>
        <v>0</v>
      </c>
      <c r="M132" s="2020" t="str">
        <f>IFERROR(IF((VLOOKUP(N132,Überblick!$M$125:$N$134,2))="ja","ja","nein"),"")</f>
        <v/>
      </c>
      <c r="N132" s="2022"/>
      <c r="O132" s="72">
        <f t="shared" ref="O132" si="54">IF(AND(I132="ja",J132=""),1,0)</f>
        <v>0</v>
      </c>
      <c r="P132" s="78">
        <f t="shared" si="20"/>
        <v>0</v>
      </c>
      <c r="T132" s="398"/>
      <c r="U132" s="398"/>
      <c r="V132" s="398"/>
      <c r="W132" s="398"/>
      <c r="X132" s="398"/>
      <c r="Y132" s="398"/>
      <c r="Z132" s="398"/>
      <c r="AA132" s="74"/>
      <c r="AP132" s="68"/>
      <c r="AQ132" s="68"/>
      <c r="AR132" s="68"/>
      <c r="AS132" s="68"/>
    </row>
    <row r="133" spans="1:45" ht="14.25" customHeight="1" outlineLevel="1" x14ac:dyDescent="0.25">
      <c r="A133" s="220"/>
      <c r="B133" s="2024"/>
      <c r="C133" s="2025"/>
      <c r="D133" s="2025"/>
      <c r="E133" s="2025"/>
      <c r="F133" s="2025"/>
      <c r="G133" s="2025"/>
      <c r="H133" s="2025"/>
      <c r="I133" s="1775"/>
      <c r="J133" s="2026"/>
      <c r="K133" s="2176"/>
      <c r="L133" s="2018"/>
      <c r="M133" s="2020"/>
      <c r="N133" s="2022"/>
      <c r="P133" s="78">
        <f t="shared" si="20"/>
        <v>0</v>
      </c>
      <c r="T133" s="398"/>
      <c r="U133" s="398"/>
      <c r="V133" s="398"/>
      <c r="W133" s="398"/>
      <c r="X133" s="398"/>
      <c r="Y133" s="398"/>
      <c r="Z133" s="398"/>
      <c r="AA133" s="74"/>
      <c r="AP133" s="68"/>
      <c r="AQ133" s="68"/>
      <c r="AR133" s="68"/>
      <c r="AS133" s="68"/>
    </row>
    <row r="134" spans="1:45" ht="14.25" customHeight="1" outlineLevel="1" x14ac:dyDescent="0.25">
      <c r="A134" s="220"/>
      <c r="B134" s="2024"/>
      <c r="C134" s="2025"/>
      <c r="D134" s="2025"/>
      <c r="E134" s="2025"/>
      <c r="F134" s="2025"/>
      <c r="G134" s="2025"/>
      <c r="H134" s="2025"/>
      <c r="I134" s="1775"/>
      <c r="J134" s="2026"/>
      <c r="K134" s="2176"/>
      <c r="L134" s="2018"/>
      <c r="M134" s="2020"/>
      <c r="N134" s="2022"/>
      <c r="P134" s="78">
        <f t="shared" si="20"/>
        <v>0</v>
      </c>
      <c r="T134" s="398"/>
      <c r="U134" s="398"/>
      <c r="V134" s="398"/>
      <c r="W134" s="398"/>
      <c r="X134" s="398"/>
      <c r="Y134" s="398"/>
      <c r="Z134" s="398"/>
      <c r="AA134" s="74"/>
      <c r="AP134" s="68"/>
      <c r="AQ134" s="68"/>
      <c r="AR134" s="68"/>
      <c r="AS134" s="68"/>
    </row>
    <row r="135" spans="1:45" ht="14.25" customHeight="1" outlineLevel="1" x14ac:dyDescent="0.25">
      <c r="A135" s="220"/>
      <c r="B135" s="2024"/>
      <c r="C135" s="2025"/>
      <c r="D135" s="2025"/>
      <c r="E135" s="2025"/>
      <c r="F135" s="2025"/>
      <c r="G135" s="2025"/>
      <c r="H135" s="2025"/>
      <c r="I135" s="1775"/>
      <c r="J135" s="2026"/>
      <c r="K135" s="2177"/>
      <c r="L135" s="2018"/>
      <c r="M135" s="2020"/>
      <c r="N135" s="2022"/>
      <c r="P135" s="78">
        <f t="shared" si="20"/>
        <v>0</v>
      </c>
      <c r="T135" s="398"/>
      <c r="U135" s="398"/>
      <c r="V135" s="398"/>
      <c r="W135" s="398"/>
      <c r="X135" s="398"/>
      <c r="Y135" s="398"/>
      <c r="Z135" s="398"/>
      <c r="AA135" s="74"/>
      <c r="AP135" s="68"/>
      <c r="AQ135" s="68"/>
      <c r="AR135" s="68"/>
      <c r="AS135" s="68"/>
    </row>
    <row r="136" spans="1:45" ht="14.25" customHeight="1" outlineLevel="1" x14ac:dyDescent="0.25">
      <c r="A136" s="220"/>
      <c r="B136" s="2024" t="s">
        <v>881</v>
      </c>
      <c r="C136" s="2025"/>
      <c r="D136" s="2025"/>
      <c r="E136" s="2025"/>
      <c r="F136" s="2025"/>
      <c r="G136" s="2025"/>
      <c r="H136" s="2025"/>
      <c r="I136" s="1775" t="s">
        <v>100</v>
      </c>
      <c r="J136" s="2026"/>
      <c r="K136" s="2175"/>
      <c r="L136" s="2018">
        <f t="shared" ref="L136" si="55">J136*K136</f>
        <v>0</v>
      </c>
      <c r="M136" s="2020" t="str">
        <f>IFERROR(IF((VLOOKUP(N136,Überblick!$M$125:$N$134,2))="ja","ja","nein"),"")</f>
        <v/>
      </c>
      <c r="N136" s="2022"/>
      <c r="O136" s="72">
        <f t="shared" ref="O136" si="56">IF(AND(I136="ja",J136=""),1,0)</f>
        <v>0</v>
      </c>
      <c r="P136" s="78">
        <f t="shared" si="20"/>
        <v>0</v>
      </c>
      <c r="T136" s="398"/>
      <c r="U136" s="398"/>
      <c r="V136" s="398"/>
      <c r="W136" s="398"/>
      <c r="X136" s="398"/>
      <c r="Y136" s="398"/>
      <c r="Z136" s="398"/>
      <c r="AA136" s="74"/>
      <c r="AP136" s="68"/>
      <c r="AQ136" s="68"/>
      <c r="AR136" s="68"/>
      <c r="AS136" s="68"/>
    </row>
    <row r="137" spans="1:45" ht="14.25" customHeight="1" outlineLevel="1" x14ac:dyDescent="0.25">
      <c r="A137" s="220"/>
      <c r="B137" s="2024"/>
      <c r="C137" s="2025"/>
      <c r="D137" s="2025"/>
      <c r="E137" s="2025"/>
      <c r="F137" s="2025"/>
      <c r="G137" s="2025"/>
      <c r="H137" s="2025"/>
      <c r="I137" s="1775"/>
      <c r="J137" s="2026"/>
      <c r="K137" s="2176"/>
      <c r="L137" s="2018"/>
      <c r="M137" s="2020"/>
      <c r="N137" s="2022"/>
      <c r="P137" s="78">
        <f t="shared" si="20"/>
        <v>0</v>
      </c>
      <c r="T137" s="398"/>
      <c r="U137" s="398"/>
      <c r="V137" s="398"/>
      <c r="W137" s="398"/>
      <c r="X137" s="398"/>
      <c r="Y137" s="398"/>
      <c r="Z137" s="398"/>
      <c r="AA137" s="74"/>
      <c r="AP137" s="68"/>
      <c r="AQ137" s="68"/>
      <c r="AR137" s="68"/>
      <c r="AS137" s="68"/>
    </row>
    <row r="138" spans="1:45" ht="14.25" customHeight="1" outlineLevel="1" x14ac:dyDescent="0.25">
      <c r="A138" s="220"/>
      <c r="B138" s="2024"/>
      <c r="C138" s="2025"/>
      <c r="D138" s="2025"/>
      <c r="E138" s="2025"/>
      <c r="F138" s="2025"/>
      <c r="G138" s="2025"/>
      <c r="H138" s="2025"/>
      <c r="I138" s="1775"/>
      <c r="J138" s="2026"/>
      <c r="K138" s="2176"/>
      <c r="L138" s="2018"/>
      <c r="M138" s="2020"/>
      <c r="N138" s="2022"/>
      <c r="P138" s="78">
        <f t="shared" ref="P138:P201" si="57">IF(I138="ja",1,0)</f>
        <v>0</v>
      </c>
      <c r="T138" s="398"/>
      <c r="U138" s="398"/>
      <c r="V138" s="398"/>
      <c r="W138" s="398"/>
      <c r="X138" s="398"/>
      <c r="Y138" s="398"/>
      <c r="Z138" s="398"/>
      <c r="AA138" s="74"/>
      <c r="AP138" s="68"/>
      <c r="AQ138" s="68"/>
      <c r="AR138" s="68"/>
      <c r="AS138" s="68"/>
    </row>
    <row r="139" spans="1:45" ht="14.25" customHeight="1" outlineLevel="1" x14ac:dyDescent="0.25">
      <c r="A139" s="220"/>
      <c r="B139" s="2024"/>
      <c r="C139" s="2025"/>
      <c r="D139" s="2025"/>
      <c r="E139" s="2025"/>
      <c r="F139" s="2025"/>
      <c r="G139" s="2025"/>
      <c r="H139" s="2025"/>
      <c r="I139" s="1775"/>
      <c r="J139" s="2026"/>
      <c r="K139" s="2177"/>
      <c r="L139" s="2018"/>
      <c r="M139" s="2020"/>
      <c r="N139" s="2022"/>
      <c r="P139" s="78">
        <f t="shared" si="57"/>
        <v>0</v>
      </c>
      <c r="T139" s="398"/>
      <c r="U139" s="398"/>
      <c r="V139" s="398"/>
      <c r="W139" s="398"/>
      <c r="X139" s="398"/>
      <c r="Y139" s="398"/>
      <c r="Z139" s="398"/>
      <c r="AA139" s="74"/>
      <c r="AP139" s="68"/>
      <c r="AQ139" s="68"/>
      <c r="AR139" s="68"/>
      <c r="AS139" s="68"/>
    </row>
    <row r="140" spans="1:45" ht="14.25" customHeight="1" outlineLevel="1" x14ac:dyDescent="0.25">
      <c r="A140" s="220"/>
      <c r="B140" s="2024" t="s">
        <v>882</v>
      </c>
      <c r="C140" s="2025"/>
      <c r="D140" s="2025"/>
      <c r="E140" s="2025"/>
      <c r="F140" s="2025"/>
      <c r="G140" s="2025"/>
      <c r="H140" s="2025"/>
      <c r="I140" s="1775" t="s">
        <v>100</v>
      </c>
      <c r="J140" s="2026"/>
      <c r="K140" s="2182"/>
      <c r="L140" s="2018">
        <f>J140*K140</f>
        <v>0</v>
      </c>
      <c r="M140" s="2020" t="str">
        <f>IFERROR(IF((VLOOKUP(N140,Überblick!$M$125:$N$134,2))="ja","ja","nein"),"")</f>
        <v/>
      </c>
      <c r="N140" s="2022"/>
      <c r="O140" s="72">
        <f t="shared" ref="O140" si="58">IF(AND(I140="ja",J140=""),1,0)</f>
        <v>0</v>
      </c>
      <c r="P140" s="78">
        <f t="shared" si="57"/>
        <v>0</v>
      </c>
      <c r="T140" s="398"/>
      <c r="U140" s="398"/>
      <c r="V140" s="398"/>
      <c r="W140" s="398"/>
      <c r="X140" s="398"/>
      <c r="Y140" s="398"/>
      <c r="Z140" s="398"/>
      <c r="AA140" s="74"/>
      <c r="AP140" s="68"/>
      <c r="AQ140" s="68"/>
      <c r="AR140" s="68"/>
      <c r="AS140" s="68"/>
    </row>
    <row r="141" spans="1:45" ht="14.25" customHeight="1" outlineLevel="1" x14ac:dyDescent="0.25">
      <c r="A141" s="220"/>
      <c r="B141" s="2024"/>
      <c r="C141" s="2025"/>
      <c r="D141" s="2025"/>
      <c r="E141" s="2025"/>
      <c r="F141" s="2025"/>
      <c r="G141" s="2025"/>
      <c r="H141" s="2025"/>
      <c r="I141" s="1775"/>
      <c r="J141" s="2026"/>
      <c r="K141" s="2182"/>
      <c r="L141" s="2018"/>
      <c r="M141" s="2020"/>
      <c r="N141" s="2022"/>
      <c r="P141" s="78">
        <f t="shared" si="57"/>
        <v>0</v>
      </c>
      <c r="T141" s="398"/>
      <c r="U141" s="398"/>
      <c r="V141" s="398"/>
      <c r="W141" s="398"/>
      <c r="X141" s="398"/>
      <c r="Y141" s="398"/>
      <c r="Z141" s="398"/>
      <c r="AA141" s="74"/>
      <c r="AP141" s="68"/>
      <c r="AQ141" s="68"/>
      <c r="AR141" s="68"/>
      <c r="AS141" s="68"/>
    </row>
    <row r="142" spans="1:45" ht="14.25" customHeight="1" outlineLevel="1" x14ac:dyDescent="0.25">
      <c r="A142" s="220"/>
      <c r="B142" s="2024"/>
      <c r="C142" s="2025"/>
      <c r="D142" s="2025"/>
      <c r="E142" s="2025"/>
      <c r="F142" s="2025"/>
      <c r="G142" s="2025"/>
      <c r="H142" s="2025"/>
      <c r="I142" s="1775"/>
      <c r="J142" s="2026"/>
      <c r="K142" s="2182"/>
      <c r="L142" s="2018"/>
      <c r="M142" s="2020"/>
      <c r="N142" s="2022"/>
      <c r="P142" s="78">
        <f t="shared" si="57"/>
        <v>0</v>
      </c>
      <c r="T142" s="398"/>
      <c r="U142" s="398"/>
      <c r="V142" s="398"/>
      <c r="W142" s="398"/>
      <c r="X142" s="398"/>
      <c r="Y142" s="398"/>
      <c r="Z142" s="398"/>
      <c r="AA142" s="74"/>
      <c r="AP142" s="68"/>
      <c r="AQ142" s="68"/>
      <c r="AR142" s="68"/>
      <c r="AS142" s="68"/>
    </row>
    <row r="143" spans="1:45" ht="14.25" customHeight="1" outlineLevel="1" x14ac:dyDescent="0.25">
      <c r="A143" s="220"/>
      <c r="B143" s="2024"/>
      <c r="C143" s="2025"/>
      <c r="D143" s="2025"/>
      <c r="E143" s="2025"/>
      <c r="F143" s="2025"/>
      <c r="G143" s="2025"/>
      <c r="H143" s="2025"/>
      <c r="I143" s="1775"/>
      <c r="J143" s="2026"/>
      <c r="K143" s="2182"/>
      <c r="L143" s="2018"/>
      <c r="M143" s="2020"/>
      <c r="N143" s="2022"/>
      <c r="P143" s="78">
        <f t="shared" si="57"/>
        <v>0</v>
      </c>
      <c r="T143" s="398"/>
      <c r="U143" s="398"/>
      <c r="V143" s="398"/>
      <c r="W143" s="398"/>
      <c r="X143" s="398"/>
      <c r="Y143" s="398"/>
      <c r="Z143" s="398"/>
      <c r="AA143" s="74"/>
      <c r="AP143" s="68"/>
      <c r="AQ143" s="68"/>
      <c r="AR143" s="68"/>
      <c r="AS143" s="68"/>
    </row>
    <row r="144" spans="1:45" ht="14.25" customHeight="1" outlineLevel="1" x14ac:dyDescent="0.25">
      <c r="A144" s="220"/>
      <c r="B144" s="2024"/>
      <c r="C144" s="2025"/>
      <c r="D144" s="2025"/>
      <c r="E144" s="2025"/>
      <c r="F144" s="2025"/>
      <c r="G144" s="2025"/>
      <c r="H144" s="2025"/>
      <c r="I144" s="1775"/>
      <c r="J144" s="2026"/>
      <c r="K144" s="2182"/>
      <c r="L144" s="2018"/>
      <c r="M144" s="2020"/>
      <c r="N144" s="2022"/>
      <c r="P144" s="78">
        <f t="shared" si="57"/>
        <v>0</v>
      </c>
      <c r="T144" s="398"/>
      <c r="U144" s="398"/>
      <c r="V144" s="398"/>
      <c r="W144" s="398"/>
      <c r="X144" s="398"/>
      <c r="Y144" s="398"/>
      <c r="Z144" s="398"/>
      <c r="AA144" s="74"/>
      <c r="AP144" s="68"/>
      <c r="AQ144" s="68"/>
      <c r="AR144" s="68"/>
      <c r="AS144" s="68"/>
    </row>
    <row r="145" spans="1:45" ht="14.25" customHeight="1" outlineLevel="1" x14ac:dyDescent="0.25">
      <c r="A145" s="220"/>
      <c r="B145" s="2024"/>
      <c r="C145" s="2025"/>
      <c r="D145" s="2025"/>
      <c r="E145" s="2025"/>
      <c r="F145" s="2025"/>
      <c r="G145" s="2025"/>
      <c r="H145" s="2025"/>
      <c r="I145" s="1775"/>
      <c r="J145" s="2026"/>
      <c r="K145" s="2182"/>
      <c r="L145" s="2018"/>
      <c r="M145" s="2020"/>
      <c r="N145" s="2022"/>
      <c r="P145" s="78">
        <f t="shared" si="57"/>
        <v>0</v>
      </c>
      <c r="T145" s="398"/>
      <c r="U145" s="398"/>
      <c r="V145" s="398"/>
      <c r="W145" s="398"/>
      <c r="X145" s="398"/>
      <c r="Y145" s="398"/>
      <c r="Z145" s="398"/>
      <c r="AA145" s="74"/>
      <c r="AP145" s="68"/>
      <c r="AQ145" s="68"/>
      <c r="AR145" s="68"/>
      <c r="AS145" s="68"/>
    </row>
    <row r="146" spans="1:45" ht="14.25" customHeight="1" outlineLevel="1" x14ac:dyDescent="0.25">
      <c r="A146" s="220"/>
      <c r="B146" s="2024"/>
      <c r="C146" s="2025"/>
      <c r="D146" s="2025"/>
      <c r="E146" s="2025"/>
      <c r="F146" s="2025"/>
      <c r="G146" s="2025"/>
      <c r="H146" s="2025"/>
      <c r="I146" s="1775"/>
      <c r="J146" s="2026"/>
      <c r="K146" s="2182"/>
      <c r="L146" s="2018"/>
      <c r="M146" s="2020"/>
      <c r="N146" s="2022"/>
      <c r="P146" s="78">
        <f t="shared" si="57"/>
        <v>0</v>
      </c>
      <c r="T146" s="398"/>
      <c r="U146" s="398"/>
      <c r="V146" s="398"/>
      <c r="W146" s="398"/>
      <c r="X146" s="398"/>
      <c r="Y146" s="398"/>
      <c r="Z146" s="398"/>
      <c r="AA146" s="74"/>
      <c r="AP146" s="68"/>
      <c r="AQ146" s="68"/>
      <c r="AR146" s="68"/>
      <c r="AS146" s="68"/>
    </row>
    <row r="147" spans="1:45" ht="14.25" customHeight="1" outlineLevel="1" x14ac:dyDescent="0.25">
      <c r="A147" s="220"/>
      <c r="B147" s="2179" t="s">
        <v>883</v>
      </c>
      <c r="C147" s="2180"/>
      <c r="D147" s="2180"/>
      <c r="E147" s="2180"/>
      <c r="F147" s="2180"/>
      <c r="G147" s="2180"/>
      <c r="H147" s="2181"/>
      <c r="I147" s="411"/>
      <c r="J147" s="432"/>
      <c r="K147" s="433"/>
      <c r="L147" s="413"/>
      <c r="M147" s="413"/>
      <c r="N147" s="410"/>
      <c r="P147" s="78">
        <f t="shared" si="57"/>
        <v>0</v>
      </c>
      <c r="T147" s="398"/>
      <c r="U147" s="398"/>
      <c r="V147" s="398"/>
      <c r="W147" s="398"/>
      <c r="X147" s="398"/>
      <c r="Y147" s="398"/>
      <c r="Z147" s="398"/>
      <c r="AA147" s="74"/>
      <c r="AP147" s="68"/>
      <c r="AQ147" s="68"/>
      <c r="AR147" s="68"/>
      <c r="AS147" s="68"/>
    </row>
    <row r="148" spans="1:45" ht="15" customHeight="1" outlineLevel="1" x14ac:dyDescent="0.25">
      <c r="A148" s="220"/>
      <c r="B148" s="2024" t="s">
        <v>884</v>
      </c>
      <c r="C148" s="2025"/>
      <c r="D148" s="2025"/>
      <c r="E148" s="2025"/>
      <c r="F148" s="2025"/>
      <c r="G148" s="2025"/>
      <c r="H148" s="2025"/>
      <c r="I148" s="407" t="s">
        <v>100</v>
      </c>
      <c r="J148" s="408"/>
      <c r="K148" s="416"/>
      <c r="L148" s="406">
        <f t="shared" ref="L148" si="59">J148*K148</f>
        <v>0</v>
      </c>
      <c r="M148" s="530" t="str">
        <f>IFERROR(IF((VLOOKUP(N148,Überblick!$M$125:$N$134,2))="ja","ja","nein"),"")</f>
        <v/>
      </c>
      <c r="N148" s="409"/>
      <c r="O148" s="72">
        <f t="shared" ref="O148" si="60">IF(AND(I148="ja",J148=""),1,0)</f>
        <v>0</v>
      </c>
      <c r="P148" s="78">
        <f t="shared" si="57"/>
        <v>0</v>
      </c>
      <c r="T148" s="398"/>
      <c r="U148" s="398"/>
      <c r="V148" s="398"/>
      <c r="W148" s="398"/>
      <c r="X148" s="398"/>
      <c r="Y148" s="398"/>
      <c r="Z148" s="398"/>
      <c r="AA148" s="74"/>
      <c r="AP148" s="68"/>
      <c r="AQ148" s="68"/>
      <c r="AR148" s="68"/>
      <c r="AS148" s="68"/>
    </row>
    <row r="149" spans="1:45" ht="14.25" customHeight="1" outlineLevel="1" x14ac:dyDescent="0.25">
      <c r="A149" s="220"/>
      <c r="B149" s="2024" t="s">
        <v>885</v>
      </c>
      <c r="C149" s="2025"/>
      <c r="D149" s="2025"/>
      <c r="E149" s="2025"/>
      <c r="F149" s="2025"/>
      <c r="G149" s="2025"/>
      <c r="H149" s="2025"/>
      <c r="I149" s="1775" t="s">
        <v>100</v>
      </c>
      <c r="J149" s="2026"/>
      <c r="K149" s="2182"/>
      <c r="L149" s="2018">
        <f t="shared" ref="L149" si="61">J149*K149</f>
        <v>0</v>
      </c>
      <c r="M149" s="2021" t="str">
        <f>IFERROR(IF((VLOOKUP(N149,Überblick!$M$125:$N$134,2))="ja","ja","nein"),"")</f>
        <v/>
      </c>
      <c r="N149" s="2022"/>
      <c r="O149" s="72">
        <f t="shared" ref="O149" si="62">IF(AND(I149="ja",J149=""),1,0)</f>
        <v>0</v>
      </c>
      <c r="P149" s="78">
        <f t="shared" si="57"/>
        <v>0</v>
      </c>
      <c r="T149" s="398"/>
      <c r="U149" s="398"/>
      <c r="V149" s="398"/>
      <c r="W149" s="398"/>
      <c r="X149" s="398"/>
      <c r="Y149" s="398"/>
      <c r="Z149" s="398"/>
      <c r="AA149" s="74"/>
      <c r="AP149" s="68"/>
      <c r="AQ149" s="68"/>
      <c r="AR149" s="68"/>
      <c r="AS149" s="68"/>
    </row>
    <row r="150" spans="1:45" ht="14.25" customHeight="1" outlineLevel="1" x14ac:dyDescent="0.25">
      <c r="A150" s="220"/>
      <c r="B150" s="2024"/>
      <c r="C150" s="2025"/>
      <c r="D150" s="2025"/>
      <c r="E150" s="2025"/>
      <c r="F150" s="2025"/>
      <c r="G150" s="2025"/>
      <c r="H150" s="2025"/>
      <c r="I150" s="1775"/>
      <c r="J150" s="2026"/>
      <c r="K150" s="2182"/>
      <c r="L150" s="2018"/>
      <c r="M150" s="2033"/>
      <c r="N150" s="2022"/>
      <c r="P150" s="78">
        <f t="shared" si="57"/>
        <v>0</v>
      </c>
      <c r="T150" s="398"/>
      <c r="U150" s="398"/>
      <c r="V150" s="398"/>
      <c r="W150" s="398"/>
      <c r="X150" s="398"/>
      <c r="Y150" s="398"/>
      <c r="Z150" s="398"/>
      <c r="AA150" s="74"/>
      <c r="AP150" s="68"/>
      <c r="AQ150" s="68"/>
      <c r="AR150" s="68"/>
      <c r="AS150" s="68"/>
    </row>
    <row r="151" spans="1:45" ht="14.25" customHeight="1" outlineLevel="1" x14ac:dyDescent="0.25">
      <c r="A151" s="220"/>
      <c r="B151" s="2024" t="s">
        <v>886</v>
      </c>
      <c r="C151" s="2025"/>
      <c r="D151" s="2025"/>
      <c r="E151" s="2025"/>
      <c r="F151" s="2025"/>
      <c r="G151" s="2025"/>
      <c r="H151" s="2025"/>
      <c r="I151" s="407" t="s">
        <v>100</v>
      </c>
      <c r="J151" s="408"/>
      <c r="K151" s="416"/>
      <c r="L151" s="406">
        <f t="shared" ref="L151" si="63">J151*K151</f>
        <v>0</v>
      </c>
      <c r="M151" s="530" t="str">
        <f>IFERROR(IF((VLOOKUP(N151,Überblick!$M$125:$N$134,2))="ja","ja","nein"),"")</f>
        <v/>
      </c>
      <c r="N151" s="409"/>
      <c r="O151" s="72">
        <f t="shared" ref="O151" si="64">IF(AND(I151="ja",J151=""),1,0)</f>
        <v>0</v>
      </c>
      <c r="P151" s="78">
        <f t="shared" si="57"/>
        <v>0</v>
      </c>
      <c r="T151" s="398"/>
      <c r="U151" s="398"/>
      <c r="V151" s="398"/>
      <c r="W151" s="398"/>
      <c r="X151" s="398"/>
      <c r="Y151" s="398"/>
      <c r="Z151" s="398"/>
      <c r="AA151" s="74"/>
      <c r="AP151" s="68"/>
      <c r="AQ151" s="68"/>
      <c r="AR151" s="68"/>
      <c r="AS151" s="68"/>
    </row>
    <row r="152" spans="1:45" ht="14.25" customHeight="1" outlineLevel="1" x14ac:dyDescent="0.25">
      <c r="A152" s="220"/>
      <c r="B152" s="2179" t="s">
        <v>887</v>
      </c>
      <c r="C152" s="2180"/>
      <c r="D152" s="2180"/>
      <c r="E152" s="2180"/>
      <c r="F152" s="2180"/>
      <c r="G152" s="2180"/>
      <c r="H152" s="2181"/>
      <c r="I152" s="411"/>
      <c r="J152" s="412"/>
      <c r="K152" s="417"/>
      <c r="L152" s="413"/>
      <c r="M152" s="413"/>
      <c r="N152" s="410"/>
      <c r="P152" s="78">
        <f t="shared" si="57"/>
        <v>0</v>
      </c>
      <c r="T152" s="398"/>
      <c r="U152" s="398"/>
      <c r="V152" s="398"/>
      <c r="W152" s="398"/>
      <c r="X152" s="398"/>
      <c r="Y152" s="398"/>
      <c r="Z152" s="398"/>
      <c r="AA152" s="74"/>
      <c r="AP152" s="68"/>
      <c r="AQ152" s="68"/>
      <c r="AR152" s="68"/>
      <c r="AS152" s="68"/>
    </row>
    <row r="153" spans="1:45" ht="15" customHeight="1" outlineLevel="1" x14ac:dyDescent="0.25">
      <c r="A153" s="220"/>
      <c r="B153" s="2024" t="s">
        <v>888</v>
      </c>
      <c r="C153" s="2025"/>
      <c r="D153" s="2025"/>
      <c r="E153" s="2025"/>
      <c r="F153" s="2025"/>
      <c r="G153" s="2025"/>
      <c r="H153" s="2025"/>
      <c r="I153" s="407" t="s">
        <v>100</v>
      </c>
      <c r="J153" s="408"/>
      <c r="K153" s="416"/>
      <c r="L153" s="406">
        <f t="shared" ref="L153" si="65">J153*K153</f>
        <v>0</v>
      </c>
      <c r="M153" s="530" t="str">
        <f>IFERROR(IF((VLOOKUP(N153,Überblick!$M$125:$N$134,2))="ja","ja","nein"),"")</f>
        <v/>
      </c>
      <c r="N153" s="409"/>
      <c r="O153" s="72">
        <f t="shared" ref="O153" si="66">IF(AND(I153="ja",J153=""),1,0)</f>
        <v>0</v>
      </c>
      <c r="P153" s="78">
        <f t="shared" si="57"/>
        <v>0</v>
      </c>
      <c r="T153" s="398"/>
      <c r="U153" s="398"/>
      <c r="V153" s="398"/>
      <c r="W153" s="398"/>
      <c r="X153" s="398"/>
      <c r="Y153" s="398"/>
      <c r="Z153" s="398"/>
      <c r="AA153" s="74"/>
      <c r="AP153" s="68"/>
      <c r="AQ153" s="68"/>
      <c r="AR153" s="68"/>
      <c r="AS153" s="68"/>
    </row>
    <row r="154" spans="1:45" ht="14.25" customHeight="1" outlineLevel="1" x14ac:dyDescent="0.25">
      <c r="A154" s="220"/>
      <c r="B154" s="2024" t="s">
        <v>889</v>
      </c>
      <c r="C154" s="2025"/>
      <c r="D154" s="2025"/>
      <c r="E154" s="2025"/>
      <c r="F154" s="2025"/>
      <c r="G154" s="2025"/>
      <c r="H154" s="2025"/>
      <c r="I154" s="1775" t="s">
        <v>100</v>
      </c>
      <c r="J154" s="2026"/>
      <c r="K154" s="2182"/>
      <c r="L154" s="2018">
        <f t="shared" ref="L154" si="67">J154*K154</f>
        <v>0</v>
      </c>
      <c r="M154" s="2021" t="str">
        <f>IFERROR(IF((VLOOKUP(N154,Überblick!$M$125:$N$134,2))="ja","ja","nein"),"")</f>
        <v/>
      </c>
      <c r="N154" s="2022"/>
      <c r="O154" s="72">
        <f t="shared" ref="O154" si="68">IF(AND(I154="ja",J154=""),1,0)</f>
        <v>0</v>
      </c>
      <c r="P154" s="78">
        <f t="shared" si="57"/>
        <v>0</v>
      </c>
      <c r="T154" s="398"/>
      <c r="U154" s="398"/>
      <c r="V154" s="398"/>
      <c r="W154" s="398"/>
      <c r="X154" s="398"/>
      <c r="Y154" s="398"/>
      <c r="Z154" s="398"/>
      <c r="AA154" s="74"/>
      <c r="AP154" s="68"/>
      <c r="AQ154" s="68"/>
      <c r="AR154" s="68"/>
      <c r="AS154" s="68"/>
    </row>
    <row r="155" spans="1:45" ht="14.25" customHeight="1" outlineLevel="1" x14ac:dyDescent="0.25">
      <c r="A155" s="220"/>
      <c r="B155" s="2024"/>
      <c r="C155" s="2025"/>
      <c r="D155" s="2025"/>
      <c r="E155" s="2025"/>
      <c r="F155" s="2025"/>
      <c r="G155" s="2025"/>
      <c r="H155" s="2025"/>
      <c r="I155" s="1775"/>
      <c r="J155" s="2026"/>
      <c r="K155" s="2182"/>
      <c r="L155" s="2018"/>
      <c r="M155" s="2033"/>
      <c r="N155" s="2022"/>
      <c r="P155" s="78">
        <f t="shared" si="57"/>
        <v>0</v>
      </c>
      <c r="T155" s="398"/>
      <c r="U155" s="398"/>
      <c r="V155" s="398"/>
      <c r="W155" s="398"/>
      <c r="X155" s="398"/>
      <c r="Y155" s="398"/>
      <c r="Z155" s="398"/>
      <c r="AA155" s="74"/>
      <c r="AP155" s="68"/>
      <c r="AQ155" s="68"/>
      <c r="AR155" s="68"/>
      <c r="AS155" s="68"/>
    </row>
    <row r="156" spans="1:45" ht="14.25" customHeight="1" outlineLevel="1" x14ac:dyDescent="0.25">
      <c r="A156" s="220"/>
      <c r="B156" s="2024" t="s">
        <v>890</v>
      </c>
      <c r="C156" s="2025"/>
      <c r="D156" s="2025"/>
      <c r="E156" s="2025"/>
      <c r="F156" s="2025"/>
      <c r="G156" s="2025"/>
      <c r="H156" s="2025"/>
      <c r="I156" s="407" t="s">
        <v>100</v>
      </c>
      <c r="J156" s="408"/>
      <c r="K156" s="416"/>
      <c r="L156" s="406">
        <f t="shared" ref="L156" si="69">J156*K156</f>
        <v>0</v>
      </c>
      <c r="M156" s="530" t="str">
        <f>IFERROR(IF((VLOOKUP(N156,Überblick!$M$125:$N$134,2))="ja","ja","nein"),"")</f>
        <v/>
      </c>
      <c r="N156" s="409"/>
      <c r="O156" s="72">
        <f t="shared" ref="O156" si="70">IF(AND(I156="ja",J156=""),1,0)</f>
        <v>0</v>
      </c>
      <c r="P156" s="78">
        <f t="shared" si="57"/>
        <v>0</v>
      </c>
      <c r="T156" s="398"/>
      <c r="U156" s="398"/>
      <c r="V156" s="398"/>
      <c r="W156" s="398"/>
      <c r="X156" s="398"/>
      <c r="Y156" s="398"/>
      <c r="Z156" s="398"/>
      <c r="AA156" s="74"/>
      <c r="AP156" s="68"/>
      <c r="AQ156" s="68"/>
      <c r="AR156" s="68"/>
      <c r="AS156" s="68"/>
    </row>
    <row r="157" spans="1:45" ht="14.25" customHeight="1" outlineLevel="1" x14ac:dyDescent="0.25">
      <c r="A157" s="220"/>
      <c r="B157" s="2024" t="s">
        <v>891</v>
      </c>
      <c r="C157" s="2025"/>
      <c r="D157" s="2025"/>
      <c r="E157" s="2025"/>
      <c r="F157" s="2025"/>
      <c r="G157" s="2025"/>
      <c r="H157" s="2025"/>
      <c r="I157" s="407" t="s">
        <v>100</v>
      </c>
      <c r="J157" s="408"/>
      <c r="K157" s="416"/>
      <c r="L157" s="406">
        <f t="shared" ref="L157" si="71">J157*K157</f>
        <v>0</v>
      </c>
      <c r="M157" s="530" t="str">
        <f>IFERROR(IF((VLOOKUP(N157,Überblick!$M$125:$N$134,2))="ja","ja","nein"),"")</f>
        <v/>
      </c>
      <c r="N157" s="409"/>
      <c r="O157" s="72">
        <f t="shared" ref="O157" si="72">IF(AND(I157="ja",J157=""),1,0)</f>
        <v>0</v>
      </c>
      <c r="P157" s="78">
        <f t="shared" si="57"/>
        <v>0</v>
      </c>
      <c r="T157" s="398"/>
      <c r="U157" s="398"/>
      <c r="V157" s="398"/>
      <c r="W157" s="398"/>
      <c r="X157" s="398"/>
      <c r="Y157" s="398"/>
      <c r="Z157" s="398"/>
      <c r="AA157" s="74"/>
      <c r="AP157" s="68"/>
      <c r="AQ157" s="68"/>
      <c r="AR157" s="68"/>
      <c r="AS157" s="68"/>
    </row>
    <row r="158" spans="1:45" ht="14.25" customHeight="1" outlineLevel="1" x14ac:dyDescent="0.25">
      <c r="A158" s="220"/>
      <c r="B158" s="2024" t="s">
        <v>892</v>
      </c>
      <c r="C158" s="2025"/>
      <c r="D158" s="2025"/>
      <c r="E158" s="2025"/>
      <c r="F158" s="2025"/>
      <c r="G158" s="2025"/>
      <c r="H158" s="2025"/>
      <c r="I158" s="1775" t="s">
        <v>100</v>
      </c>
      <c r="J158" s="2026"/>
      <c r="K158" s="2175"/>
      <c r="L158" s="2018">
        <f t="shared" ref="L158" si="73">J158*K158</f>
        <v>0</v>
      </c>
      <c r="M158" s="2020" t="str">
        <f>IFERROR(IF((VLOOKUP(N158,Überblick!$M$125:$N$134,2))="ja","ja","nein"),"")</f>
        <v/>
      </c>
      <c r="N158" s="2022"/>
      <c r="O158" s="72">
        <f t="shared" ref="O158" si="74">IF(AND(I158="ja",J158=""),1,0)</f>
        <v>0</v>
      </c>
      <c r="P158" s="78">
        <f t="shared" si="57"/>
        <v>0</v>
      </c>
      <c r="T158" s="398"/>
      <c r="U158" s="398"/>
      <c r="V158" s="398"/>
      <c r="W158" s="398"/>
      <c r="X158" s="398"/>
      <c r="Y158" s="398"/>
      <c r="Z158" s="398"/>
      <c r="AA158" s="74"/>
      <c r="AP158" s="68"/>
      <c r="AQ158" s="68"/>
      <c r="AR158" s="68"/>
      <c r="AS158" s="68"/>
    </row>
    <row r="159" spans="1:45" ht="14.25" customHeight="1" outlineLevel="1" x14ac:dyDescent="0.25">
      <c r="A159" s="220"/>
      <c r="B159" s="2024"/>
      <c r="C159" s="2025"/>
      <c r="D159" s="2025"/>
      <c r="E159" s="2025"/>
      <c r="F159" s="2025"/>
      <c r="G159" s="2025"/>
      <c r="H159" s="2025"/>
      <c r="I159" s="1775"/>
      <c r="J159" s="2026"/>
      <c r="K159" s="2176"/>
      <c r="L159" s="2018"/>
      <c r="M159" s="2020"/>
      <c r="N159" s="2022"/>
      <c r="P159" s="78">
        <f t="shared" si="57"/>
        <v>0</v>
      </c>
      <c r="T159" s="398"/>
      <c r="U159" s="398"/>
      <c r="V159" s="398"/>
      <c r="W159" s="398"/>
      <c r="X159" s="398"/>
      <c r="Y159" s="398"/>
      <c r="Z159" s="398"/>
      <c r="AA159" s="74"/>
      <c r="AP159" s="68"/>
      <c r="AQ159" s="68"/>
      <c r="AR159" s="68"/>
      <c r="AS159" s="68"/>
    </row>
    <row r="160" spans="1:45" ht="14.25" customHeight="1" outlineLevel="1" x14ac:dyDescent="0.25">
      <c r="A160" s="220"/>
      <c r="B160" s="2024"/>
      <c r="C160" s="2025"/>
      <c r="D160" s="2025"/>
      <c r="E160" s="2025"/>
      <c r="F160" s="2025"/>
      <c r="G160" s="2025"/>
      <c r="H160" s="2025"/>
      <c r="I160" s="1775"/>
      <c r="J160" s="2026"/>
      <c r="K160" s="2177"/>
      <c r="L160" s="2018"/>
      <c r="M160" s="2020"/>
      <c r="N160" s="2022"/>
      <c r="P160" s="78">
        <f t="shared" si="57"/>
        <v>0</v>
      </c>
      <c r="T160" s="398"/>
      <c r="U160" s="398"/>
      <c r="V160" s="398"/>
      <c r="W160" s="398"/>
      <c r="X160" s="398"/>
      <c r="Y160" s="398"/>
      <c r="Z160" s="398"/>
      <c r="AA160" s="74"/>
      <c r="AP160" s="68"/>
      <c r="AQ160" s="68"/>
      <c r="AR160" s="68"/>
      <c r="AS160" s="68"/>
    </row>
    <row r="161" spans="1:45" ht="14.25" customHeight="1" outlineLevel="1" x14ac:dyDescent="0.25">
      <c r="A161" s="220"/>
      <c r="B161" s="2179" t="s">
        <v>893</v>
      </c>
      <c r="C161" s="2180"/>
      <c r="D161" s="2180"/>
      <c r="E161" s="2180"/>
      <c r="F161" s="2180"/>
      <c r="G161" s="2180"/>
      <c r="H161" s="2181"/>
      <c r="I161" s="411"/>
      <c r="J161" s="432"/>
      <c r="K161" s="433"/>
      <c r="L161" s="413"/>
      <c r="M161" s="413"/>
      <c r="N161" s="410"/>
      <c r="P161" s="78">
        <f t="shared" si="57"/>
        <v>0</v>
      </c>
      <c r="T161" s="398"/>
      <c r="U161" s="398"/>
      <c r="V161" s="398"/>
      <c r="W161" s="398"/>
      <c r="X161" s="398"/>
      <c r="Y161" s="398"/>
      <c r="Z161" s="398"/>
      <c r="AA161" s="74"/>
      <c r="AP161" s="68"/>
      <c r="AQ161" s="68"/>
      <c r="AR161" s="68"/>
      <c r="AS161" s="68"/>
    </row>
    <row r="162" spans="1:45" ht="15" customHeight="1" outlineLevel="1" x14ac:dyDescent="0.25">
      <c r="A162" s="220"/>
      <c r="B162" s="2024" t="s">
        <v>894</v>
      </c>
      <c r="C162" s="2025"/>
      <c r="D162" s="2025"/>
      <c r="E162" s="2025"/>
      <c r="F162" s="2025"/>
      <c r="G162" s="2025"/>
      <c r="H162" s="2025"/>
      <c r="I162" s="1775" t="s">
        <v>100</v>
      </c>
      <c r="J162" s="2026"/>
      <c r="K162" s="2182"/>
      <c r="L162" s="2018">
        <f t="shared" ref="L162" si="75">J162*K162</f>
        <v>0</v>
      </c>
      <c r="M162" s="2021" t="str">
        <f>IFERROR(IF((VLOOKUP(N162,Überblick!$M$125:$N$134,2))="ja","ja","nein"),"")</f>
        <v/>
      </c>
      <c r="N162" s="2022"/>
      <c r="O162" s="72">
        <f t="shared" ref="O162" si="76">IF(AND(I162="ja",J162=""),1,0)</f>
        <v>0</v>
      </c>
      <c r="P162" s="78">
        <f t="shared" si="57"/>
        <v>0</v>
      </c>
      <c r="T162" s="398"/>
      <c r="U162" s="398"/>
      <c r="V162" s="398"/>
      <c r="W162" s="398"/>
      <c r="X162" s="398"/>
      <c r="Y162" s="398"/>
      <c r="Z162" s="398"/>
      <c r="AA162" s="74"/>
      <c r="AP162" s="68"/>
      <c r="AQ162" s="68"/>
      <c r="AR162" s="68"/>
      <c r="AS162" s="68"/>
    </row>
    <row r="163" spans="1:45" ht="15" customHeight="1" outlineLevel="1" x14ac:dyDescent="0.25">
      <c r="A163" s="220"/>
      <c r="B163" s="2024"/>
      <c r="C163" s="2025"/>
      <c r="D163" s="2025"/>
      <c r="E163" s="2025"/>
      <c r="F163" s="2025"/>
      <c r="G163" s="2025"/>
      <c r="H163" s="2025"/>
      <c r="I163" s="1775"/>
      <c r="J163" s="2026"/>
      <c r="K163" s="2182"/>
      <c r="L163" s="2018"/>
      <c r="M163" s="2033"/>
      <c r="N163" s="2022"/>
      <c r="P163" s="78">
        <f t="shared" si="57"/>
        <v>0</v>
      </c>
      <c r="T163" s="398"/>
      <c r="U163" s="398"/>
      <c r="V163" s="398"/>
      <c r="W163" s="398"/>
      <c r="X163" s="398"/>
      <c r="Y163" s="398"/>
      <c r="Z163" s="398"/>
      <c r="AA163" s="74"/>
      <c r="AP163" s="68"/>
      <c r="AQ163" s="68"/>
      <c r="AR163" s="68"/>
      <c r="AS163" s="68"/>
    </row>
    <row r="164" spans="1:45" ht="14.25" customHeight="1" outlineLevel="1" x14ac:dyDescent="0.25">
      <c r="A164" s="220"/>
      <c r="B164" s="2024" t="s">
        <v>895</v>
      </c>
      <c r="C164" s="2025"/>
      <c r="D164" s="2025"/>
      <c r="E164" s="2025"/>
      <c r="F164" s="2025"/>
      <c r="G164" s="2025"/>
      <c r="H164" s="2025"/>
      <c r="I164" s="1775" t="s">
        <v>100</v>
      </c>
      <c r="J164" s="2026"/>
      <c r="K164" s="2175"/>
      <c r="L164" s="2018">
        <f t="shared" ref="L164" si="77">J164*K164</f>
        <v>0</v>
      </c>
      <c r="M164" s="2020" t="str">
        <f>IFERROR(IF((VLOOKUP(N164,Überblick!$M$125:$N$134,2))="ja","ja","nein"),"")</f>
        <v/>
      </c>
      <c r="N164" s="2022"/>
      <c r="O164" s="72">
        <f t="shared" ref="O164" si="78">IF(AND(I164="ja",J164=""),1,0)</f>
        <v>0</v>
      </c>
      <c r="P164" s="78">
        <f t="shared" si="57"/>
        <v>0</v>
      </c>
      <c r="T164" s="398"/>
      <c r="U164" s="398"/>
      <c r="V164" s="398"/>
      <c r="W164" s="398"/>
      <c r="X164" s="398"/>
      <c r="Y164" s="398"/>
      <c r="Z164" s="398"/>
      <c r="AA164" s="74"/>
      <c r="AP164" s="68"/>
      <c r="AQ164" s="68"/>
      <c r="AR164" s="68"/>
      <c r="AS164" s="68"/>
    </row>
    <row r="165" spans="1:45" ht="14.25" customHeight="1" outlineLevel="1" x14ac:dyDescent="0.25">
      <c r="A165" s="220"/>
      <c r="B165" s="2024"/>
      <c r="C165" s="2025"/>
      <c r="D165" s="2025"/>
      <c r="E165" s="2025"/>
      <c r="F165" s="2025"/>
      <c r="G165" s="2025"/>
      <c r="H165" s="2025"/>
      <c r="I165" s="1775"/>
      <c r="J165" s="2026"/>
      <c r="K165" s="2176"/>
      <c r="L165" s="2018"/>
      <c r="M165" s="2020"/>
      <c r="N165" s="2022"/>
      <c r="P165" s="78">
        <f t="shared" si="57"/>
        <v>0</v>
      </c>
      <c r="T165" s="398"/>
      <c r="U165" s="398"/>
      <c r="V165" s="398"/>
      <c r="W165" s="398"/>
      <c r="X165" s="398"/>
      <c r="Y165" s="398"/>
      <c r="Z165" s="398"/>
      <c r="AA165" s="74"/>
      <c r="AP165" s="68"/>
      <c r="AQ165" s="68"/>
      <c r="AR165" s="68"/>
      <c r="AS165" s="68"/>
    </row>
    <row r="166" spans="1:45" ht="14.25" customHeight="1" outlineLevel="1" x14ac:dyDescent="0.25">
      <c r="A166" s="220"/>
      <c r="B166" s="2024"/>
      <c r="C166" s="2025"/>
      <c r="D166" s="2025"/>
      <c r="E166" s="2025"/>
      <c r="F166" s="2025"/>
      <c r="G166" s="2025"/>
      <c r="H166" s="2025"/>
      <c r="I166" s="1775"/>
      <c r="J166" s="2026"/>
      <c r="K166" s="2176"/>
      <c r="L166" s="2018"/>
      <c r="M166" s="2020"/>
      <c r="N166" s="2022"/>
      <c r="P166" s="78">
        <f t="shared" si="57"/>
        <v>0</v>
      </c>
      <c r="T166" s="398"/>
      <c r="U166" s="398"/>
      <c r="V166" s="398"/>
      <c r="W166" s="398"/>
      <c r="X166" s="398"/>
      <c r="Y166" s="398"/>
      <c r="Z166" s="398"/>
      <c r="AA166" s="74"/>
      <c r="AP166" s="68"/>
      <c r="AQ166" s="68"/>
      <c r="AR166" s="68"/>
      <c r="AS166" s="68"/>
    </row>
    <row r="167" spans="1:45" ht="14.25" customHeight="1" outlineLevel="1" x14ac:dyDescent="0.25">
      <c r="A167" s="220"/>
      <c r="B167" s="2024"/>
      <c r="C167" s="2025"/>
      <c r="D167" s="2025"/>
      <c r="E167" s="2025"/>
      <c r="F167" s="2025"/>
      <c r="G167" s="2025"/>
      <c r="H167" s="2025"/>
      <c r="I167" s="1775"/>
      <c r="J167" s="2026"/>
      <c r="K167" s="2177"/>
      <c r="L167" s="2018"/>
      <c r="M167" s="2020"/>
      <c r="N167" s="2022"/>
      <c r="P167" s="78">
        <f t="shared" si="57"/>
        <v>0</v>
      </c>
      <c r="T167" s="398"/>
      <c r="U167" s="398"/>
      <c r="V167" s="398"/>
      <c r="W167" s="398"/>
      <c r="X167" s="398"/>
      <c r="Y167" s="398"/>
      <c r="Z167" s="398"/>
      <c r="AA167" s="74"/>
      <c r="AP167" s="68"/>
      <c r="AQ167" s="68"/>
      <c r="AR167" s="68"/>
      <c r="AS167" s="68"/>
    </row>
    <row r="168" spans="1:45" ht="30.8" customHeight="1" outlineLevel="1" x14ac:dyDescent="0.25">
      <c r="A168" s="220"/>
      <c r="B168" s="2179" t="s">
        <v>896</v>
      </c>
      <c r="C168" s="2180"/>
      <c r="D168" s="2180"/>
      <c r="E168" s="2180"/>
      <c r="F168" s="2180"/>
      <c r="G168" s="2180"/>
      <c r="H168" s="2181"/>
      <c r="I168" s="411"/>
      <c r="J168" s="432"/>
      <c r="K168" s="433"/>
      <c r="L168" s="413"/>
      <c r="M168" s="413"/>
      <c r="N168" s="410"/>
      <c r="P168" s="78">
        <f t="shared" si="57"/>
        <v>0</v>
      </c>
      <c r="T168" s="398"/>
      <c r="U168" s="398"/>
      <c r="V168" s="398"/>
      <c r="W168" s="398"/>
      <c r="X168" s="398"/>
      <c r="Y168" s="398"/>
      <c r="Z168" s="398"/>
      <c r="AA168" s="74"/>
      <c r="AP168" s="68"/>
      <c r="AQ168" s="68"/>
      <c r="AR168" s="68"/>
      <c r="AS168" s="68"/>
    </row>
    <row r="169" spans="1:45" ht="15" customHeight="1" outlineLevel="1" x14ac:dyDescent="0.25">
      <c r="A169" s="220"/>
      <c r="B169" s="2024" t="s">
        <v>897</v>
      </c>
      <c r="C169" s="2025"/>
      <c r="D169" s="2025"/>
      <c r="E169" s="2025"/>
      <c r="F169" s="2025"/>
      <c r="G169" s="2025"/>
      <c r="H169" s="2025"/>
      <c r="I169" s="407" t="s">
        <v>100</v>
      </c>
      <c r="J169" s="408"/>
      <c r="K169" s="416"/>
      <c r="L169" s="406">
        <f t="shared" ref="L169" si="79">J169*K169</f>
        <v>0</v>
      </c>
      <c r="M169" s="530" t="str">
        <f>IFERROR(IF((VLOOKUP(N169,Überblick!$M$125:$N$134,2))="ja","ja","nein"),"")</f>
        <v/>
      </c>
      <c r="N169" s="409"/>
      <c r="O169" s="72">
        <f t="shared" ref="O169" si="80">IF(AND(I169="ja",J169=""),1,0)</f>
        <v>0</v>
      </c>
      <c r="P169" s="78">
        <f t="shared" si="57"/>
        <v>0</v>
      </c>
      <c r="T169" s="398"/>
      <c r="U169" s="398"/>
      <c r="V169" s="398"/>
      <c r="W169" s="398"/>
      <c r="X169" s="398"/>
      <c r="Y169" s="398"/>
      <c r="Z169" s="398"/>
      <c r="AA169" s="74"/>
      <c r="AP169" s="68"/>
      <c r="AQ169" s="68"/>
      <c r="AR169" s="68"/>
      <c r="AS169" s="68"/>
    </row>
    <row r="170" spans="1:45" ht="14.25" customHeight="1" outlineLevel="1" x14ac:dyDescent="0.25">
      <c r="A170" s="220"/>
      <c r="B170" s="2024" t="s">
        <v>889</v>
      </c>
      <c r="C170" s="2025"/>
      <c r="D170" s="2025"/>
      <c r="E170" s="2025"/>
      <c r="F170" s="2025"/>
      <c r="G170" s="2025"/>
      <c r="H170" s="2025"/>
      <c r="I170" s="1775" t="s">
        <v>100</v>
      </c>
      <c r="J170" s="2026"/>
      <c r="K170" s="2182"/>
      <c r="L170" s="2018">
        <f t="shared" ref="L170" si="81">J170*K170</f>
        <v>0</v>
      </c>
      <c r="M170" s="2021" t="str">
        <f>IFERROR(IF((VLOOKUP(N170,Überblick!$M$125:$N$134,2))="ja","ja","nein"),"")</f>
        <v/>
      </c>
      <c r="N170" s="2022"/>
      <c r="O170" s="72">
        <f t="shared" ref="O170" si="82">IF(AND(I170="ja",J170=""),1,0)</f>
        <v>0</v>
      </c>
      <c r="P170" s="78">
        <f t="shared" si="57"/>
        <v>0</v>
      </c>
      <c r="T170" s="398"/>
      <c r="U170" s="398"/>
      <c r="V170" s="398"/>
      <c r="W170" s="398"/>
      <c r="X170" s="398"/>
      <c r="Y170" s="398"/>
      <c r="Z170" s="398"/>
      <c r="AA170" s="74"/>
      <c r="AP170" s="68"/>
      <c r="AQ170" s="68"/>
      <c r="AR170" s="68"/>
      <c r="AS170" s="68"/>
    </row>
    <row r="171" spans="1:45" ht="14.25" customHeight="1" outlineLevel="1" x14ac:dyDescent="0.25">
      <c r="A171" s="220"/>
      <c r="B171" s="2024"/>
      <c r="C171" s="2025"/>
      <c r="D171" s="2025"/>
      <c r="E171" s="2025"/>
      <c r="F171" s="2025"/>
      <c r="G171" s="2025"/>
      <c r="H171" s="2025"/>
      <c r="I171" s="1775"/>
      <c r="J171" s="2026"/>
      <c r="K171" s="2182"/>
      <c r="L171" s="2018"/>
      <c r="M171" s="2033"/>
      <c r="N171" s="2022"/>
      <c r="P171" s="78">
        <f t="shared" si="57"/>
        <v>0</v>
      </c>
      <c r="T171" s="398"/>
      <c r="U171" s="398"/>
      <c r="V171" s="398"/>
      <c r="W171" s="398"/>
      <c r="X171" s="398"/>
      <c r="Y171" s="398"/>
      <c r="Z171" s="398"/>
      <c r="AA171" s="74"/>
      <c r="AP171" s="68"/>
      <c r="AQ171" s="68"/>
      <c r="AR171" s="68"/>
      <c r="AS171" s="68"/>
    </row>
    <row r="172" spans="1:45" ht="14.25" customHeight="1" outlineLevel="1" x14ac:dyDescent="0.25">
      <c r="A172" s="220"/>
      <c r="B172" s="2024" t="s">
        <v>898</v>
      </c>
      <c r="C172" s="2025"/>
      <c r="D172" s="2025"/>
      <c r="E172" s="2025"/>
      <c r="F172" s="2025"/>
      <c r="G172" s="2025"/>
      <c r="H172" s="2025"/>
      <c r="I172" s="1775" t="s">
        <v>100</v>
      </c>
      <c r="J172" s="2026"/>
      <c r="K172" s="2175"/>
      <c r="L172" s="2018">
        <f t="shared" ref="L172" si="83">J172*K172</f>
        <v>0</v>
      </c>
      <c r="M172" s="2020" t="str">
        <f>IFERROR(IF((VLOOKUP(N172,Überblick!$M$125:$N$134,2))="ja","ja","nein"),"")</f>
        <v/>
      </c>
      <c r="N172" s="2022"/>
      <c r="O172" s="72">
        <f t="shared" ref="O172" si="84">IF(AND(I172="ja",J172=""),1,0)</f>
        <v>0</v>
      </c>
      <c r="P172" s="78">
        <f t="shared" si="57"/>
        <v>0</v>
      </c>
      <c r="T172" s="398"/>
      <c r="U172" s="398"/>
      <c r="V172" s="398"/>
      <c r="W172" s="398"/>
      <c r="X172" s="398"/>
      <c r="Y172" s="398"/>
      <c r="Z172" s="398"/>
      <c r="AA172" s="74"/>
      <c r="AP172" s="68"/>
      <c r="AQ172" s="68"/>
      <c r="AR172" s="68"/>
      <c r="AS172" s="68"/>
    </row>
    <row r="173" spans="1:45" ht="14.25" customHeight="1" outlineLevel="1" x14ac:dyDescent="0.25">
      <c r="A173" s="220"/>
      <c r="B173" s="2024"/>
      <c r="C173" s="2025"/>
      <c r="D173" s="2025"/>
      <c r="E173" s="2025"/>
      <c r="F173" s="2025"/>
      <c r="G173" s="2025"/>
      <c r="H173" s="2025"/>
      <c r="I173" s="1775"/>
      <c r="J173" s="2026"/>
      <c r="K173" s="2176"/>
      <c r="L173" s="2018"/>
      <c r="M173" s="2020"/>
      <c r="N173" s="2022"/>
      <c r="P173" s="78">
        <f t="shared" si="57"/>
        <v>0</v>
      </c>
      <c r="T173" s="398"/>
      <c r="U173" s="398"/>
      <c r="V173" s="398"/>
      <c r="W173" s="398"/>
      <c r="X173" s="398"/>
      <c r="Y173" s="398"/>
      <c r="Z173" s="398"/>
      <c r="AA173" s="74"/>
      <c r="AP173" s="68"/>
      <c r="AQ173" s="68"/>
      <c r="AR173" s="68"/>
      <c r="AS173" s="68"/>
    </row>
    <row r="174" spans="1:45" ht="14.25" customHeight="1" outlineLevel="1" x14ac:dyDescent="0.25">
      <c r="A174" s="220"/>
      <c r="B174" s="2024"/>
      <c r="C174" s="2025"/>
      <c r="D174" s="2025"/>
      <c r="E174" s="2025"/>
      <c r="F174" s="2025"/>
      <c r="G174" s="2025"/>
      <c r="H174" s="2025"/>
      <c r="I174" s="1775"/>
      <c r="J174" s="2026"/>
      <c r="K174" s="2177"/>
      <c r="L174" s="2018"/>
      <c r="M174" s="2020"/>
      <c r="N174" s="2022"/>
      <c r="P174" s="78">
        <f t="shared" si="57"/>
        <v>0</v>
      </c>
      <c r="T174" s="398"/>
      <c r="U174" s="398"/>
      <c r="V174" s="398"/>
      <c r="W174" s="398"/>
      <c r="X174" s="398"/>
      <c r="Y174" s="398"/>
      <c r="Z174" s="398"/>
      <c r="AA174" s="74"/>
      <c r="AP174" s="68"/>
      <c r="AQ174" s="68"/>
      <c r="AR174" s="68"/>
      <c r="AS174" s="68"/>
    </row>
    <row r="175" spans="1:45" ht="14.25" customHeight="1" outlineLevel="1" x14ac:dyDescent="0.25">
      <c r="A175" s="220"/>
      <c r="B175" s="2024" t="s">
        <v>899</v>
      </c>
      <c r="C175" s="2025"/>
      <c r="D175" s="2025"/>
      <c r="E175" s="2025"/>
      <c r="F175" s="2025"/>
      <c r="G175" s="2025"/>
      <c r="H175" s="2025"/>
      <c r="I175" s="1775" t="s">
        <v>100</v>
      </c>
      <c r="J175" s="2026"/>
      <c r="K175" s="2175"/>
      <c r="L175" s="2018">
        <f t="shared" ref="L175" si="85">J175*K175</f>
        <v>0</v>
      </c>
      <c r="M175" s="2020" t="str">
        <f>IFERROR(IF((VLOOKUP(N175,Überblick!$M$125:$N$134,2))="ja","ja","nein"),"")</f>
        <v/>
      </c>
      <c r="N175" s="2022"/>
      <c r="O175" s="72">
        <f t="shared" ref="O175" si="86">IF(AND(I175="ja",J175=""),1,0)</f>
        <v>0</v>
      </c>
      <c r="P175" s="78">
        <f t="shared" si="57"/>
        <v>0</v>
      </c>
      <c r="T175" s="398"/>
      <c r="U175" s="398"/>
      <c r="V175" s="398"/>
      <c r="W175" s="398"/>
      <c r="X175" s="398"/>
      <c r="Y175" s="398"/>
      <c r="Z175" s="398"/>
      <c r="AA175" s="74"/>
      <c r="AP175" s="68"/>
      <c r="AQ175" s="68"/>
      <c r="AR175" s="68"/>
      <c r="AS175" s="68"/>
    </row>
    <row r="176" spans="1:45" ht="14.25" customHeight="1" outlineLevel="1" x14ac:dyDescent="0.25">
      <c r="A176" s="220"/>
      <c r="B176" s="2024"/>
      <c r="C176" s="2025"/>
      <c r="D176" s="2025"/>
      <c r="E176" s="2025"/>
      <c r="F176" s="2025"/>
      <c r="G176" s="2025"/>
      <c r="H176" s="2025"/>
      <c r="I176" s="1775"/>
      <c r="J176" s="2026"/>
      <c r="K176" s="2176"/>
      <c r="L176" s="2018"/>
      <c r="M176" s="2020"/>
      <c r="N176" s="2022"/>
      <c r="P176" s="78">
        <f t="shared" si="57"/>
        <v>0</v>
      </c>
      <c r="T176" s="398"/>
      <c r="U176" s="398"/>
      <c r="V176" s="398"/>
      <c r="W176" s="398"/>
      <c r="X176" s="398"/>
      <c r="Y176" s="398"/>
      <c r="Z176" s="398"/>
      <c r="AA176" s="74"/>
      <c r="AP176" s="68"/>
      <c r="AQ176" s="68"/>
      <c r="AR176" s="68"/>
      <c r="AS176" s="68"/>
    </row>
    <row r="177" spans="1:45" ht="14.25" customHeight="1" outlineLevel="1" x14ac:dyDescent="0.25">
      <c r="A177" s="220"/>
      <c r="B177" s="2024"/>
      <c r="C177" s="2025"/>
      <c r="D177" s="2025"/>
      <c r="E177" s="2025"/>
      <c r="F177" s="2025"/>
      <c r="G177" s="2025"/>
      <c r="H177" s="2025"/>
      <c r="I177" s="1775"/>
      <c r="J177" s="2026"/>
      <c r="K177" s="2177"/>
      <c r="L177" s="2018"/>
      <c r="M177" s="2020"/>
      <c r="N177" s="2022"/>
      <c r="P177" s="78">
        <f t="shared" si="57"/>
        <v>0</v>
      </c>
      <c r="T177" s="398"/>
      <c r="U177" s="398"/>
      <c r="V177" s="398"/>
      <c r="W177" s="398"/>
      <c r="X177" s="398"/>
      <c r="Y177" s="398"/>
      <c r="Z177" s="398"/>
      <c r="AA177" s="74"/>
      <c r="AP177" s="68"/>
      <c r="AQ177" s="68"/>
      <c r="AR177" s="68"/>
      <c r="AS177" s="68"/>
    </row>
    <row r="178" spans="1:45" ht="30.8" customHeight="1" outlineLevel="1" x14ac:dyDescent="0.25">
      <c r="A178" s="220"/>
      <c r="B178" s="2179" t="s">
        <v>900</v>
      </c>
      <c r="C178" s="2180"/>
      <c r="D178" s="2180"/>
      <c r="E178" s="2180"/>
      <c r="F178" s="2180"/>
      <c r="G178" s="2180"/>
      <c r="H178" s="2181"/>
      <c r="I178" s="411"/>
      <c r="J178" s="432"/>
      <c r="K178" s="433"/>
      <c r="L178" s="413"/>
      <c r="M178" s="413"/>
      <c r="N178" s="410"/>
      <c r="P178" s="78">
        <f t="shared" si="57"/>
        <v>0</v>
      </c>
      <c r="T178" s="398"/>
      <c r="U178" s="398"/>
      <c r="V178" s="398"/>
      <c r="W178" s="398"/>
      <c r="X178" s="398"/>
      <c r="Y178" s="398"/>
      <c r="Z178" s="398"/>
      <c r="AA178" s="74"/>
      <c r="AP178" s="68"/>
      <c r="AQ178" s="68"/>
      <c r="AR178" s="68"/>
      <c r="AS178" s="68"/>
    </row>
    <row r="179" spans="1:45" ht="15" customHeight="1" outlineLevel="1" x14ac:dyDescent="0.25">
      <c r="A179" s="220"/>
      <c r="B179" s="2024" t="s">
        <v>901</v>
      </c>
      <c r="C179" s="2025"/>
      <c r="D179" s="2025"/>
      <c r="E179" s="2025"/>
      <c r="F179" s="2025"/>
      <c r="G179" s="2025"/>
      <c r="H179" s="2025"/>
      <c r="I179" s="1775" t="s">
        <v>100</v>
      </c>
      <c r="J179" s="2026"/>
      <c r="K179" s="2175"/>
      <c r="L179" s="2018">
        <f t="shared" ref="L179" si="87">J179*K179</f>
        <v>0</v>
      </c>
      <c r="M179" s="2020" t="str">
        <f>IFERROR(IF((VLOOKUP(N179,Überblick!$M$125:$N$134,2))="ja","ja","nein"),"")</f>
        <v/>
      </c>
      <c r="N179" s="2022"/>
      <c r="O179" s="72">
        <f t="shared" ref="O179" si="88">IF(AND(I179="ja",J179=""),1,0)</f>
        <v>0</v>
      </c>
      <c r="P179" s="78">
        <f t="shared" si="57"/>
        <v>0</v>
      </c>
      <c r="T179" s="398"/>
      <c r="U179" s="398"/>
      <c r="V179" s="398"/>
      <c r="W179" s="398"/>
      <c r="X179" s="398"/>
      <c r="Y179" s="398"/>
      <c r="Z179" s="398"/>
      <c r="AA179" s="74"/>
      <c r="AP179" s="68"/>
      <c r="AQ179" s="68"/>
      <c r="AR179" s="68"/>
      <c r="AS179" s="68"/>
    </row>
    <row r="180" spans="1:45" ht="15" customHeight="1" outlineLevel="1" x14ac:dyDescent="0.25">
      <c r="A180" s="220"/>
      <c r="B180" s="2024"/>
      <c r="C180" s="2025"/>
      <c r="D180" s="2025"/>
      <c r="E180" s="2025"/>
      <c r="F180" s="2025"/>
      <c r="G180" s="2025"/>
      <c r="H180" s="2025"/>
      <c r="I180" s="1775"/>
      <c r="J180" s="2026"/>
      <c r="K180" s="2176"/>
      <c r="L180" s="2018"/>
      <c r="M180" s="2020"/>
      <c r="N180" s="2022"/>
      <c r="P180" s="78">
        <f t="shared" si="57"/>
        <v>0</v>
      </c>
      <c r="T180" s="398"/>
      <c r="U180" s="398"/>
      <c r="V180" s="398"/>
      <c r="W180" s="398"/>
      <c r="X180" s="398"/>
      <c r="Y180" s="398"/>
      <c r="Z180" s="398"/>
      <c r="AA180" s="74"/>
      <c r="AP180" s="68"/>
      <c r="AQ180" s="68"/>
      <c r="AR180" s="68"/>
      <c r="AS180" s="68"/>
    </row>
    <row r="181" spans="1:45" ht="14.25" customHeight="1" outlineLevel="1" x14ac:dyDescent="0.25">
      <c r="A181" s="220"/>
      <c r="B181" s="2024"/>
      <c r="C181" s="2025"/>
      <c r="D181" s="2025"/>
      <c r="E181" s="2025"/>
      <c r="F181" s="2025"/>
      <c r="G181" s="2025"/>
      <c r="H181" s="2025"/>
      <c r="I181" s="1775"/>
      <c r="J181" s="2026"/>
      <c r="K181" s="2177"/>
      <c r="L181" s="2018"/>
      <c r="M181" s="2020"/>
      <c r="N181" s="2022"/>
      <c r="P181" s="78">
        <f t="shared" si="57"/>
        <v>0</v>
      </c>
      <c r="T181" s="398"/>
      <c r="U181" s="398"/>
      <c r="V181" s="398"/>
      <c r="W181" s="398"/>
      <c r="X181" s="398"/>
      <c r="Y181" s="398"/>
      <c r="Z181" s="398"/>
      <c r="AA181" s="74"/>
      <c r="AP181" s="68"/>
      <c r="AQ181" s="68"/>
      <c r="AR181" s="68"/>
      <c r="AS181" s="68"/>
    </row>
    <row r="182" spans="1:45" ht="30.8" customHeight="1" outlineLevel="1" x14ac:dyDescent="0.25">
      <c r="A182" s="220"/>
      <c r="B182" s="2179" t="s">
        <v>902</v>
      </c>
      <c r="C182" s="2180"/>
      <c r="D182" s="2180"/>
      <c r="E182" s="2180"/>
      <c r="F182" s="2180"/>
      <c r="G182" s="2180"/>
      <c r="H182" s="2181"/>
      <c r="I182" s="411"/>
      <c r="J182" s="432"/>
      <c r="K182" s="433"/>
      <c r="L182" s="413"/>
      <c r="M182" s="413"/>
      <c r="N182" s="410"/>
      <c r="P182" s="78">
        <f t="shared" si="57"/>
        <v>0</v>
      </c>
      <c r="T182" s="398"/>
      <c r="U182" s="398"/>
      <c r="V182" s="398"/>
      <c r="W182" s="398"/>
      <c r="X182" s="398"/>
      <c r="Y182" s="398"/>
      <c r="Z182" s="398"/>
      <c r="AA182" s="74"/>
      <c r="AP182" s="68"/>
      <c r="AQ182" s="68"/>
      <c r="AR182" s="68"/>
      <c r="AS182" s="68"/>
    </row>
    <row r="183" spans="1:45" ht="15" customHeight="1" outlineLevel="1" x14ac:dyDescent="0.25">
      <c r="A183" s="220"/>
      <c r="B183" s="2024" t="s">
        <v>903</v>
      </c>
      <c r="C183" s="2025"/>
      <c r="D183" s="2025"/>
      <c r="E183" s="2025"/>
      <c r="F183" s="2025"/>
      <c r="G183" s="2025"/>
      <c r="H183" s="2025"/>
      <c r="I183" s="1775" t="s">
        <v>100</v>
      </c>
      <c r="J183" s="2026"/>
      <c r="K183" s="2182"/>
      <c r="L183" s="2018">
        <f t="shared" ref="L183" si="89">J183*K183</f>
        <v>0</v>
      </c>
      <c r="M183" s="2021" t="str">
        <f>IFERROR(IF((VLOOKUP(N183,Überblick!$M$125:$N$134,2))="ja","ja","nein"),"")</f>
        <v/>
      </c>
      <c r="N183" s="2022"/>
      <c r="O183" s="72">
        <f t="shared" ref="O183" si="90">IF(AND(I183="ja",J183=""),1,0)</f>
        <v>0</v>
      </c>
      <c r="P183" s="78">
        <f t="shared" si="57"/>
        <v>0</v>
      </c>
      <c r="T183" s="398"/>
      <c r="U183" s="398"/>
      <c r="V183" s="398"/>
      <c r="W183" s="398"/>
      <c r="X183" s="398"/>
      <c r="Y183" s="398"/>
      <c r="Z183" s="398"/>
      <c r="AA183" s="74"/>
      <c r="AP183" s="68"/>
      <c r="AQ183" s="68"/>
      <c r="AR183" s="68"/>
      <c r="AS183" s="68"/>
    </row>
    <row r="184" spans="1:45" ht="15" customHeight="1" outlineLevel="1" x14ac:dyDescent="0.25">
      <c r="A184" s="220"/>
      <c r="B184" s="2024"/>
      <c r="C184" s="2025"/>
      <c r="D184" s="2025"/>
      <c r="E184" s="2025"/>
      <c r="F184" s="2025"/>
      <c r="G184" s="2025"/>
      <c r="H184" s="2025"/>
      <c r="I184" s="1775"/>
      <c r="J184" s="2026"/>
      <c r="K184" s="2182"/>
      <c r="L184" s="2018"/>
      <c r="M184" s="2033"/>
      <c r="N184" s="2022"/>
      <c r="P184" s="78">
        <f t="shared" si="57"/>
        <v>0</v>
      </c>
      <c r="T184" s="398"/>
      <c r="U184" s="398"/>
      <c r="V184" s="398"/>
      <c r="W184" s="398"/>
      <c r="X184" s="398"/>
      <c r="Y184" s="398"/>
      <c r="Z184" s="398"/>
      <c r="AA184" s="74"/>
      <c r="AP184" s="68"/>
      <c r="AQ184" s="68"/>
      <c r="AR184" s="68"/>
      <c r="AS184" s="68"/>
    </row>
    <row r="185" spans="1:45" ht="14.25" customHeight="1" outlineLevel="1" x14ac:dyDescent="0.25">
      <c r="A185" s="220"/>
      <c r="B185" s="2024" t="s">
        <v>904</v>
      </c>
      <c r="C185" s="2025"/>
      <c r="D185" s="2025"/>
      <c r="E185" s="2025"/>
      <c r="F185" s="2025"/>
      <c r="G185" s="2025"/>
      <c r="H185" s="2025"/>
      <c r="I185" s="1775" t="s">
        <v>100</v>
      </c>
      <c r="J185" s="2026"/>
      <c r="K185" s="2182"/>
      <c r="L185" s="2018">
        <f t="shared" ref="L185" si="91">J185*K185</f>
        <v>0</v>
      </c>
      <c r="M185" s="2021" t="str">
        <f>IFERROR(IF((VLOOKUP(N185,Überblick!$M$125:$N$134,2))="ja","ja","nein"),"")</f>
        <v/>
      </c>
      <c r="N185" s="2022"/>
      <c r="O185" s="72">
        <f t="shared" ref="O185:O187" si="92">IF(AND(I185="ja",J185=""),1,0)</f>
        <v>0</v>
      </c>
      <c r="P185" s="78">
        <f t="shared" si="57"/>
        <v>0</v>
      </c>
      <c r="T185" s="398"/>
      <c r="U185" s="398"/>
      <c r="V185" s="398"/>
      <c r="W185" s="398"/>
      <c r="X185" s="398"/>
      <c r="Y185" s="398"/>
      <c r="Z185" s="398"/>
      <c r="AA185" s="74"/>
      <c r="AP185" s="68"/>
      <c r="AQ185" s="68"/>
      <c r="AR185" s="68"/>
      <c r="AS185" s="68"/>
    </row>
    <row r="186" spans="1:45" ht="14.25" customHeight="1" outlineLevel="1" x14ac:dyDescent="0.25">
      <c r="A186" s="220"/>
      <c r="B186" s="2024"/>
      <c r="C186" s="2025"/>
      <c r="D186" s="2025"/>
      <c r="E186" s="2025"/>
      <c r="F186" s="2025"/>
      <c r="G186" s="2025"/>
      <c r="H186" s="2025"/>
      <c r="I186" s="1775"/>
      <c r="J186" s="2026"/>
      <c r="K186" s="2182"/>
      <c r="L186" s="2018"/>
      <c r="M186" s="2033"/>
      <c r="N186" s="2022"/>
      <c r="P186" s="78">
        <f t="shared" si="57"/>
        <v>0</v>
      </c>
      <c r="T186" s="398"/>
      <c r="U186" s="398"/>
      <c r="V186" s="398"/>
      <c r="W186" s="398"/>
      <c r="X186" s="398"/>
      <c r="Y186" s="398"/>
      <c r="Z186" s="398"/>
      <c r="AA186" s="74"/>
      <c r="AP186" s="68"/>
      <c r="AQ186" s="68"/>
      <c r="AR186" s="68"/>
      <c r="AS186" s="68"/>
    </row>
    <row r="187" spans="1:45" ht="14.25" customHeight="1" outlineLevel="1" x14ac:dyDescent="0.25">
      <c r="A187" s="220"/>
      <c r="B187" s="2123" t="s">
        <v>905</v>
      </c>
      <c r="C187" s="2124"/>
      <c r="D187" s="2124"/>
      <c r="E187" s="2124"/>
      <c r="F187" s="2124"/>
      <c r="G187" s="2124"/>
      <c r="H187" s="2125"/>
      <c r="I187" s="1726" t="s">
        <v>100</v>
      </c>
      <c r="J187" s="2029"/>
      <c r="K187" s="2182"/>
      <c r="L187" s="2019">
        <f>J187*K187</f>
        <v>0</v>
      </c>
      <c r="M187" s="2021" t="str">
        <f>IFERROR(IF((VLOOKUP(N187,Überblick!$M$125:$N$134,2))="ja","ja","nein"),"")</f>
        <v/>
      </c>
      <c r="N187" s="2023"/>
      <c r="O187" s="72">
        <f t="shared" si="92"/>
        <v>0</v>
      </c>
      <c r="P187" s="78">
        <f t="shared" si="57"/>
        <v>0</v>
      </c>
      <c r="T187" s="398"/>
      <c r="U187" s="398"/>
      <c r="V187" s="398"/>
      <c r="W187" s="398"/>
      <c r="X187" s="398"/>
      <c r="Y187" s="398"/>
      <c r="Z187" s="398"/>
      <c r="AA187" s="74"/>
      <c r="AP187" s="68"/>
      <c r="AQ187" s="68"/>
      <c r="AR187" s="68"/>
      <c r="AS187" s="68"/>
    </row>
    <row r="188" spans="1:45" ht="14.25" customHeight="1" outlineLevel="1" x14ac:dyDescent="0.25">
      <c r="A188" s="220"/>
      <c r="B188" s="2118"/>
      <c r="C188" s="2119"/>
      <c r="D188" s="2119"/>
      <c r="E188" s="2119"/>
      <c r="F188" s="2119"/>
      <c r="G188" s="2119"/>
      <c r="H188" s="2120"/>
      <c r="I188" s="1743"/>
      <c r="J188" s="2034"/>
      <c r="K188" s="2182"/>
      <c r="L188" s="2057"/>
      <c r="M188" s="2033"/>
      <c r="N188" s="2036"/>
      <c r="P188" s="78">
        <f t="shared" si="57"/>
        <v>0</v>
      </c>
      <c r="T188" s="398"/>
      <c r="U188" s="398"/>
      <c r="V188" s="398"/>
      <c r="W188" s="398"/>
      <c r="X188" s="398"/>
      <c r="Y188" s="398"/>
      <c r="Z188" s="398"/>
      <c r="AA188" s="74"/>
      <c r="AP188" s="68"/>
      <c r="AQ188" s="68"/>
      <c r="AR188" s="68"/>
      <c r="AS188" s="68"/>
    </row>
    <row r="189" spans="1:45" ht="14.25" customHeight="1" outlineLevel="1" x14ac:dyDescent="0.25">
      <c r="A189" s="220"/>
      <c r="B189" s="2024" t="s">
        <v>906</v>
      </c>
      <c r="C189" s="2025"/>
      <c r="D189" s="2025"/>
      <c r="E189" s="2025"/>
      <c r="F189" s="2025"/>
      <c r="G189" s="2025"/>
      <c r="H189" s="2025"/>
      <c r="I189" s="1775" t="s">
        <v>100</v>
      </c>
      <c r="J189" s="2026"/>
      <c r="K189" s="2182"/>
      <c r="L189" s="2018">
        <f t="shared" ref="L189" si="93">J189*K189</f>
        <v>0</v>
      </c>
      <c r="M189" s="2021" t="str">
        <f>IFERROR(IF((VLOOKUP(N189,Überblick!$M$125:$N$134,2))="ja","ja","nein"),"")</f>
        <v/>
      </c>
      <c r="N189" s="2022"/>
      <c r="O189" s="72">
        <f t="shared" ref="O189" si="94">IF(AND(I189="ja",J189=""),1,0)</f>
        <v>0</v>
      </c>
      <c r="P189" s="78">
        <f t="shared" si="57"/>
        <v>0</v>
      </c>
      <c r="T189" s="398"/>
      <c r="U189" s="398"/>
      <c r="V189" s="398"/>
      <c r="W189" s="398"/>
      <c r="X189" s="398"/>
      <c r="Y189" s="398"/>
      <c r="Z189" s="398"/>
      <c r="AA189" s="74"/>
      <c r="AP189" s="68"/>
      <c r="AQ189" s="68"/>
      <c r="AR189" s="68"/>
      <c r="AS189" s="68"/>
    </row>
    <row r="190" spans="1:45" ht="14.25" customHeight="1" outlineLevel="1" x14ac:dyDescent="0.25">
      <c r="A190" s="220"/>
      <c r="B190" s="2024"/>
      <c r="C190" s="2025"/>
      <c r="D190" s="2025"/>
      <c r="E190" s="2025"/>
      <c r="F190" s="2025"/>
      <c r="G190" s="2025"/>
      <c r="H190" s="2025"/>
      <c r="I190" s="1775"/>
      <c r="J190" s="2026"/>
      <c r="K190" s="2182"/>
      <c r="L190" s="2018"/>
      <c r="M190" s="2033"/>
      <c r="N190" s="2022"/>
      <c r="P190" s="78">
        <f t="shared" si="57"/>
        <v>0</v>
      </c>
      <c r="T190" s="398"/>
      <c r="U190" s="398"/>
      <c r="V190" s="398"/>
      <c r="W190" s="398"/>
      <c r="X190" s="398"/>
      <c r="Y190" s="398"/>
      <c r="Z190" s="398"/>
      <c r="AA190" s="74"/>
      <c r="AP190" s="68"/>
      <c r="AQ190" s="68"/>
      <c r="AR190" s="68"/>
      <c r="AS190" s="68"/>
    </row>
    <row r="191" spans="1:45" ht="14.25" customHeight="1" outlineLevel="1" x14ac:dyDescent="0.25">
      <c r="A191" s="220"/>
      <c r="B191" s="2024" t="s">
        <v>907</v>
      </c>
      <c r="C191" s="2025"/>
      <c r="D191" s="2025"/>
      <c r="E191" s="2025"/>
      <c r="F191" s="2025"/>
      <c r="G191" s="2025"/>
      <c r="H191" s="2025"/>
      <c r="I191" s="407" t="s">
        <v>100</v>
      </c>
      <c r="J191" s="408"/>
      <c r="K191" s="416"/>
      <c r="L191" s="406">
        <f t="shared" ref="L191" si="95">J191*K191</f>
        <v>0</v>
      </c>
      <c r="M191" s="530" t="str">
        <f>IFERROR(IF((VLOOKUP(N191,Überblick!$M$125:$N$134,2))="ja","ja","nein"),"")</f>
        <v/>
      </c>
      <c r="N191" s="409"/>
      <c r="O191" s="72">
        <f t="shared" ref="O191" si="96">IF(AND(I191="ja",J191=""),1,0)</f>
        <v>0</v>
      </c>
      <c r="P191" s="78">
        <f t="shared" si="57"/>
        <v>0</v>
      </c>
      <c r="T191" s="398"/>
      <c r="U191" s="398"/>
      <c r="V191" s="398"/>
      <c r="W191" s="398"/>
      <c r="X191" s="398"/>
      <c r="Y191" s="398"/>
      <c r="Z191" s="398"/>
      <c r="AA191" s="74"/>
      <c r="AP191" s="68"/>
      <c r="AQ191" s="68"/>
      <c r="AR191" s="68"/>
      <c r="AS191" s="68"/>
    </row>
    <row r="192" spans="1:45" ht="14.25" customHeight="1" outlineLevel="1" x14ac:dyDescent="0.25">
      <c r="A192" s="220"/>
      <c r="B192" s="2024" t="s">
        <v>908</v>
      </c>
      <c r="C192" s="2025"/>
      <c r="D192" s="2025"/>
      <c r="E192" s="2025"/>
      <c r="F192" s="2025"/>
      <c r="G192" s="2025"/>
      <c r="H192" s="2025"/>
      <c r="I192" s="1775" t="s">
        <v>100</v>
      </c>
      <c r="J192" s="2026"/>
      <c r="K192" s="2175"/>
      <c r="L192" s="2018">
        <f t="shared" ref="L192" si="97">J192*K192</f>
        <v>0</v>
      </c>
      <c r="M192" s="2020" t="str">
        <f>IFERROR(IF((VLOOKUP(N192,Überblick!$M$125:$N$134,2))="ja","ja","nein"),"")</f>
        <v/>
      </c>
      <c r="N192" s="2022"/>
      <c r="O192" s="72">
        <f t="shared" ref="O192" si="98">IF(AND(I192="ja",J192=""),1,0)</f>
        <v>0</v>
      </c>
      <c r="P192" s="78">
        <f t="shared" si="57"/>
        <v>0</v>
      </c>
      <c r="T192" s="398"/>
      <c r="U192" s="398"/>
      <c r="V192" s="398"/>
      <c r="W192" s="398"/>
      <c r="X192" s="398"/>
      <c r="Y192" s="398"/>
      <c r="Z192" s="398"/>
      <c r="AA192" s="74"/>
      <c r="AP192" s="68"/>
      <c r="AQ192" s="68"/>
      <c r="AR192" s="68"/>
      <c r="AS192" s="68"/>
    </row>
    <row r="193" spans="1:45" ht="14.25" customHeight="1" outlineLevel="1" x14ac:dyDescent="0.25">
      <c r="A193" s="220"/>
      <c r="B193" s="2024"/>
      <c r="C193" s="2025"/>
      <c r="D193" s="2025"/>
      <c r="E193" s="2025"/>
      <c r="F193" s="2025"/>
      <c r="G193" s="2025"/>
      <c r="H193" s="2025"/>
      <c r="I193" s="1775"/>
      <c r="J193" s="2026"/>
      <c r="K193" s="2176"/>
      <c r="L193" s="2018"/>
      <c r="M193" s="2020"/>
      <c r="N193" s="2022"/>
      <c r="P193" s="78">
        <f t="shared" si="57"/>
        <v>0</v>
      </c>
      <c r="T193" s="398"/>
      <c r="U193" s="398"/>
      <c r="V193" s="398"/>
      <c r="W193" s="398"/>
      <c r="X193" s="398"/>
      <c r="Y193" s="398"/>
      <c r="Z193" s="398"/>
      <c r="AA193" s="74"/>
      <c r="AP193" s="68"/>
      <c r="AQ193" s="68"/>
      <c r="AR193" s="68"/>
      <c r="AS193" s="68"/>
    </row>
    <row r="194" spans="1:45" ht="14.25" customHeight="1" outlineLevel="1" x14ac:dyDescent="0.25">
      <c r="A194" s="220"/>
      <c r="B194" s="2024"/>
      <c r="C194" s="2025"/>
      <c r="D194" s="2025"/>
      <c r="E194" s="2025"/>
      <c r="F194" s="2025"/>
      <c r="G194" s="2025"/>
      <c r="H194" s="2025"/>
      <c r="I194" s="1775"/>
      <c r="J194" s="2026"/>
      <c r="K194" s="2176"/>
      <c r="L194" s="2018"/>
      <c r="M194" s="2020"/>
      <c r="N194" s="2022"/>
      <c r="P194" s="78">
        <f t="shared" si="57"/>
        <v>0</v>
      </c>
      <c r="T194" s="398"/>
      <c r="U194" s="398"/>
      <c r="V194" s="398"/>
      <c r="W194" s="398"/>
      <c r="X194" s="398"/>
      <c r="Y194" s="398"/>
      <c r="Z194" s="398"/>
      <c r="AA194" s="74"/>
      <c r="AP194" s="68"/>
      <c r="AQ194" s="68"/>
      <c r="AR194" s="68"/>
      <c r="AS194" s="68"/>
    </row>
    <row r="195" spans="1:45" ht="14.25" customHeight="1" outlineLevel="1" x14ac:dyDescent="0.25">
      <c r="A195" s="220"/>
      <c r="B195" s="2024"/>
      <c r="C195" s="2025"/>
      <c r="D195" s="2025"/>
      <c r="E195" s="2025"/>
      <c r="F195" s="2025"/>
      <c r="G195" s="2025"/>
      <c r="H195" s="2025"/>
      <c r="I195" s="1775"/>
      <c r="J195" s="2026"/>
      <c r="K195" s="2177"/>
      <c r="L195" s="2018"/>
      <c r="M195" s="2020"/>
      <c r="N195" s="2022"/>
      <c r="P195" s="78">
        <f t="shared" si="57"/>
        <v>0</v>
      </c>
      <c r="T195" s="398"/>
      <c r="U195" s="398"/>
      <c r="V195" s="398"/>
      <c r="W195" s="398"/>
      <c r="X195" s="398"/>
      <c r="Y195" s="398"/>
      <c r="Z195" s="398"/>
      <c r="AA195" s="74"/>
      <c r="AP195" s="68"/>
      <c r="AQ195" s="68"/>
      <c r="AR195" s="68"/>
      <c r="AS195" s="68"/>
    </row>
    <row r="196" spans="1:45" ht="30.8" customHeight="1" outlineLevel="1" x14ac:dyDescent="0.25">
      <c r="A196" s="220"/>
      <c r="B196" s="2179" t="s">
        <v>909</v>
      </c>
      <c r="C196" s="2180"/>
      <c r="D196" s="2180"/>
      <c r="E196" s="2180"/>
      <c r="F196" s="2180"/>
      <c r="G196" s="2180"/>
      <c r="H196" s="2181"/>
      <c r="I196" s="411"/>
      <c r="J196" s="432"/>
      <c r="K196" s="433"/>
      <c r="L196" s="413"/>
      <c r="M196" s="413"/>
      <c r="N196" s="410"/>
      <c r="P196" s="78">
        <f t="shared" si="57"/>
        <v>0</v>
      </c>
      <c r="T196" s="398"/>
      <c r="U196" s="398"/>
      <c r="V196" s="398"/>
      <c r="W196" s="398"/>
      <c r="X196" s="398"/>
      <c r="Y196" s="398"/>
      <c r="Z196" s="398"/>
      <c r="AA196" s="74"/>
      <c r="AP196" s="68"/>
      <c r="AQ196" s="68"/>
      <c r="AR196" s="68"/>
      <c r="AS196" s="68"/>
    </row>
    <row r="197" spans="1:45" ht="15" customHeight="1" outlineLevel="1" x14ac:dyDescent="0.25">
      <c r="A197" s="220"/>
      <c r="B197" s="2024" t="s">
        <v>910</v>
      </c>
      <c r="C197" s="2025"/>
      <c r="D197" s="2025"/>
      <c r="E197" s="2025"/>
      <c r="F197" s="2025"/>
      <c r="G197" s="2025"/>
      <c r="H197" s="2025"/>
      <c r="I197" s="1775" t="s">
        <v>100</v>
      </c>
      <c r="J197" s="2026"/>
      <c r="K197" s="2175"/>
      <c r="L197" s="2018">
        <f t="shared" ref="L197" si="99">J197*K197</f>
        <v>0</v>
      </c>
      <c r="M197" s="2020" t="str">
        <f>IFERROR(IF((VLOOKUP(N197,Überblick!$M$125:$N$134,2))="ja","ja","nein"),"")</f>
        <v/>
      </c>
      <c r="N197" s="2022"/>
      <c r="O197" s="72">
        <f t="shared" ref="O197" si="100">IF(AND(I197="ja",J197=""),1,0)</f>
        <v>0</v>
      </c>
      <c r="P197" s="78">
        <f t="shared" si="57"/>
        <v>0</v>
      </c>
      <c r="T197" s="398"/>
      <c r="U197" s="398"/>
      <c r="V197" s="398"/>
      <c r="W197" s="398"/>
      <c r="X197" s="398"/>
      <c r="Y197" s="398"/>
      <c r="Z197" s="398"/>
      <c r="AA197" s="74"/>
      <c r="AP197" s="68"/>
      <c r="AQ197" s="68"/>
      <c r="AR197" s="68"/>
      <c r="AS197" s="68"/>
    </row>
    <row r="198" spans="1:45" ht="15" customHeight="1" outlineLevel="1" x14ac:dyDescent="0.25">
      <c r="A198" s="220"/>
      <c r="B198" s="2024"/>
      <c r="C198" s="2025"/>
      <c r="D198" s="2025"/>
      <c r="E198" s="2025"/>
      <c r="F198" s="2025"/>
      <c r="G198" s="2025"/>
      <c r="H198" s="2025"/>
      <c r="I198" s="1775"/>
      <c r="J198" s="2026"/>
      <c r="K198" s="2176"/>
      <c r="L198" s="2018"/>
      <c r="M198" s="2020"/>
      <c r="N198" s="2022"/>
      <c r="P198" s="78">
        <f t="shared" si="57"/>
        <v>0</v>
      </c>
      <c r="T198" s="398"/>
      <c r="U198" s="398"/>
      <c r="V198" s="398"/>
      <c r="W198" s="398"/>
      <c r="X198" s="398"/>
      <c r="Y198" s="398"/>
      <c r="Z198" s="398"/>
      <c r="AA198" s="74"/>
      <c r="AP198" s="68"/>
      <c r="AQ198" s="68"/>
      <c r="AR198" s="68"/>
      <c r="AS198" s="68"/>
    </row>
    <row r="199" spans="1:45" ht="14.25" customHeight="1" outlineLevel="1" x14ac:dyDescent="0.25">
      <c r="A199" s="220"/>
      <c r="B199" s="2024"/>
      <c r="C199" s="2025"/>
      <c r="D199" s="2025"/>
      <c r="E199" s="2025"/>
      <c r="F199" s="2025"/>
      <c r="G199" s="2025"/>
      <c r="H199" s="2025"/>
      <c r="I199" s="1775"/>
      <c r="J199" s="2026"/>
      <c r="K199" s="2177"/>
      <c r="L199" s="2018"/>
      <c r="M199" s="2020"/>
      <c r="N199" s="2022"/>
      <c r="P199" s="78">
        <f t="shared" si="57"/>
        <v>0</v>
      </c>
      <c r="T199" s="398"/>
      <c r="U199" s="398"/>
      <c r="V199" s="398"/>
      <c r="W199" s="398"/>
      <c r="X199" s="398"/>
      <c r="Y199" s="398"/>
      <c r="Z199" s="398"/>
      <c r="AA199" s="74"/>
      <c r="AP199" s="68"/>
      <c r="AQ199" s="68"/>
      <c r="AR199" s="68"/>
      <c r="AS199" s="68"/>
    </row>
    <row r="200" spans="1:45" ht="14.25" customHeight="1" outlineLevel="1" x14ac:dyDescent="0.25">
      <c r="A200" s="220"/>
      <c r="B200" s="2024" t="s">
        <v>911</v>
      </c>
      <c r="C200" s="2025"/>
      <c r="D200" s="2025"/>
      <c r="E200" s="2025"/>
      <c r="F200" s="2025"/>
      <c r="G200" s="2025"/>
      <c r="H200" s="2025"/>
      <c r="I200" s="407" t="s">
        <v>100</v>
      </c>
      <c r="J200" s="408"/>
      <c r="K200" s="416"/>
      <c r="L200" s="406">
        <f t="shared" ref="L200" si="101">J200*K200</f>
        <v>0</v>
      </c>
      <c r="M200" s="530" t="str">
        <f>IFERROR(IF((VLOOKUP(N200,Überblick!$M$125:$N$134,2))="ja","ja","nein"),"")</f>
        <v/>
      </c>
      <c r="N200" s="409"/>
      <c r="O200" s="72">
        <f t="shared" ref="O200" si="102">IF(AND(I200="ja",J200=""),1,0)</f>
        <v>0</v>
      </c>
      <c r="P200" s="78">
        <f t="shared" si="57"/>
        <v>0</v>
      </c>
      <c r="T200" s="398"/>
      <c r="U200" s="398"/>
      <c r="V200" s="398"/>
      <c r="W200" s="398"/>
      <c r="X200" s="398"/>
      <c r="Y200" s="398"/>
      <c r="Z200" s="398"/>
      <c r="AA200" s="74"/>
      <c r="AP200" s="68"/>
      <c r="AQ200" s="68"/>
      <c r="AR200" s="68"/>
      <c r="AS200" s="68"/>
    </row>
    <row r="201" spans="1:45" ht="14.25" customHeight="1" outlineLevel="1" x14ac:dyDescent="0.25">
      <c r="A201" s="220"/>
      <c r="B201" s="2024" t="s">
        <v>912</v>
      </c>
      <c r="C201" s="2025"/>
      <c r="D201" s="2025"/>
      <c r="E201" s="2025"/>
      <c r="F201" s="2025"/>
      <c r="G201" s="2025"/>
      <c r="H201" s="2025"/>
      <c r="I201" s="1775" t="s">
        <v>100</v>
      </c>
      <c r="J201" s="2026"/>
      <c r="K201" s="2175"/>
      <c r="L201" s="2018">
        <f t="shared" ref="L201" si="103">J201*K201</f>
        <v>0</v>
      </c>
      <c r="M201" s="2020" t="str">
        <f>IFERROR(IF((VLOOKUP(N201,Überblick!$M$125:$N$134,2))="ja","ja","nein"),"")</f>
        <v/>
      </c>
      <c r="N201" s="2022"/>
      <c r="O201" s="72">
        <f t="shared" ref="O201" si="104">IF(AND(I201="ja",J201=""),1,0)</f>
        <v>0</v>
      </c>
      <c r="P201" s="78">
        <f t="shared" si="57"/>
        <v>0</v>
      </c>
      <c r="T201" s="398"/>
      <c r="U201" s="398"/>
      <c r="V201" s="398"/>
      <c r="W201" s="398"/>
      <c r="X201" s="398"/>
      <c r="Y201" s="398"/>
      <c r="Z201" s="398"/>
      <c r="AA201" s="74"/>
      <c r="AP201" s="68"/>
      <c r="AQ201" s="68"/>
      <c r="AR201" s="68"/>
      <c r="AS201" s="68"/>
    </row>
    <row r="202" spans="1:45" ht="14.25" customHeight="1" outlineLevel="1" x14ac:dyDescent="0.25">
      <c r="A202" s="220"/>
      <c r="B202" s="2024"/>
      <c r="C202" s="2025"/>
      <c r="D202" s="2025"/>
      <c r="E202" s="2025"/>
      <c r="F202" s="2025"/>
      <c r="G202" s="2025"/>
      <c r="H202" s="2025"/>
      <c r="I202" s="1775"/>
      <c r="J202" s="2026"/>
      <c r="K202" s="2176"/>
      <c r="L202" s="2018"/>
      <c r="M202" s="2020"/>
      <c r="N202" s="2022"/>
      <c r="P202" s="78">
        <f t="shared" ref="P202:P209" si="105">IF(I202="ja",1,0)</f>
        <v>0</v>
      </c>
      <c r="T202" s="398"/>
      <c r="U202" s="398"/>
      <c r="V202" s="398"/>
      <c r="W202" s="398"/>
      <c r="X202" s="398"/>
      <c r="Y202" s="398"/>
      <c r="Z202" s="398"/>
      <c r="AA202" s="74"/>
      <c r="AP202" s="68"/>
      <c r="AQ202" s="68"/>
      <c r="AR202" s="68"/>
      <c r="AS202" s="68"/>
    </row>
    <row r="203" spans="1:45" ht="14.25" customHeight="1" outlineLevel="1" x14ac:dyDescent="0.25">
      <c r="A203" s="220"/>
      <c r="B203" s="2024"/>
      <c r="C203" s="2025"/>
      <c r="D203" s="2025"/>
      <c r="E203" s="2025"/>
      <c r="F203" s="2025"/>
      <c r="G203" s="2025"/>
      <c r="H203" s="2025"/>
      <c r="I203" s="1775"/>
      <c r="J203" s="2026"/>
      <c r="K203" s="2177"/>
      <c r="L203" s="2018"/>
      <c r="M203" s="2020"/>
      <c r="N203" s="2022"/>
      <c r="P203" s="78">
        <f t="shared" si="105"/>
        <v>0</v>
      </c>
      <c r="T203" s="398"/>
      <c r="U203" s="398"/>
      <c r="V203" s="398"/>
      <c r="W203" s="398"/>
      <c r="X203" s="398"/>
      <c r="Y203" s="398"/>
      <c r="Z203" s="398"/>
      <c r="AA203" s="74"/>
      <c r="AP203" s="68"/>
      <c r="AQ203" s="68"/>
      <c r="AR203" s="68"/>
      <c r="AS203" s="68"/>
    </row>
    <row r="204" spans="1:45" ht="14.25" customHeight="1" outlineLevel="1" x14ac:dyDescent="0.25">
      <c r="A204" s="220"/>
      <c r="B204" s="2024" t="s">
        <v>913</v>
      </c>
      <c r="C204" s="2025"/>
      <c r="D204" s="2025"/>
      <c r="E204" s="2025"/>
      <c r="F204" s="2025"/>
      <c r="G204" s="2025"/>
      <c r="H204" s="2025"/>
      <c r="I204" s="1775" t="s">
        <v>100</v>
      </c>
      <c r="J204" s="2026"/>
      <c r="K204" s="2175"/>
      <c r="L204" s="2018">
        <f t="shared" ref="L204" si="106">J204*K204</f>
        <v>0</v>
      </c>
      <c r="M204" s="2020" t="str">
        <f>IFERROR(IF((VLOOKUP(N204,Überblick!$M$125:$N$134,2))="ja","ja","nein"),"")</f>
        <v/>
      </c>
      <c r="N204" s="2022"/>
      <c r="O204" s="72">
        <f t="shared" ref="O204" si="107">IF(AND(I204="ja",J204=""),1,0)</f>
        <v>0</v>
      </c>
      <c r="P204" s="78">
        <f t="shared" si="105"/>
        <v>0</v>
      </c>
      <c r="T204" s="398"/>
      <c r="U204" s="398"/>
      <c r="V204" s="398"/>
      <c r="W204" s="398"/>
      <c r="X204" s="398"/>
      <c r="Y204" s="398"/>
      <c r="Z204" s="398"/>
      <c r="AA204" s="74"/>
      <c r="AP204" s="68"/>
      <c r="AQ204" s="68"/>
      <c r="AR204" s="68"/>
      <c r="AS204" s="68"/>
    </row>
    <row r="205" spans="1:45" ht="14.25" customHeight="1" outlineLevel="1" x14ac:dyDescent="0.25">
      <c r="A205" s="220"/>
      <c r="B205" s="2024"/>
      <c r="C205" s="2025"/>
      <c r="D205" s="2025"/>
      <c r="E205" s="2025"/>
      <c r="F205" s="2025"/>
      <c r="G205" s="2025"/>
      <c r="H205" s="2025"/>
      <c r="I205" s="1775"/>
      <c r="J205" s="2026"/>
      <c r="K205" s="2176"/>
      <c r="L205" s="2018"/>
      <c r="M205" s="2020"/>
      <c r="N205" s="2022"/>
      <c r="P205" s="78">
        <f t="shared" si="105"/>
        <v>0</v>
      </c>
      <c r="T205" s="398"/>
      <c r="U205" s="398"/>
      <c r="V205" s="398"/>
      <c r="W205" s="398"/>
      <c r="X205" s="398"/>
      <c r="Y205" s="398"/>
      <c r="Z205" s="398"/>
      <c r="AA205" s="74"/>
      <c r="AP205" s="68"/>
      <c r="AQ205" s="68"/>
      <c r="AR205" s="68"/>
      <c r="AS205" s="68"/>
    </row>
    <row r="206" spans="1:45" ht="14.25" customHeight="1" outlineLevel="1" x14ac:dyDescent="0.25">
      <c r="A206" s="220"/>
      <c r="B206" s="2024"/>
      <c r="C206" s="2025"/>
      <c r="D206" s="2025"/>
      <c r="E206" s="2025"/>
      <c r="F206" s="2025"/>
      <c r="G206" s="2025"/>
      <c r="H206" s="2025"/>
      <c r="I206" s="1775"/>
      <c r="J206" s="2026"/>
      <c r="K206" s="2177"/>
      <c r="L206" s="2018"/>
      <c r="M206" s="2020"/>
      <c r="N206" s="2022"/>
      <c r="P206" s="78">
        <f t="shared" si="105"/>
        <v>0</v>
      </c>
      <c r="T206" s="398"/>
      <c r="U206" s="398"/>
      <c r="V206" s="398"/>
      <c r="W206" s="398"/>
      <c r="X206" s="398"/>
      <c r="Y206" s="398"/>
      <c r="Z206" s="398"/>
      <c r="AA206" s="74"/>
      <c r="AP206" s="68"/>
      <c r="AQ206" s="68"/>
      <c r="AR206" s="68"/>
      <c r="AS206" s="68"/>
    </row>
    <row r="207" spans="1:45" ht="14.25" customHeight="1" outlineLevel="1" x14ac:dyDescent="0.25">
      <c r="A207" s="220"/>
      <c r="B207" s="2024" t="s">
        <v>914</v>
      </c>
      <c r="C207" s="2025"/>
      <c r="D207" s="2025"/>
      <c r="E207" s="2025"/>
      <c r="F207" s="2025"/>
      <c r="G207" s="2025"/>
      <c r="H207" s="2025"/>
      <c r="I207" s="1775" t="s">
        <v>100</v>
      </c>
      <c r="J207" s="2026"/>
      <c r="K207" s="2175"/>
      <c r="L207" s="2018">
        <f>J207*K207</f>
        <v>0</v>
      </c>
      <c r="M207" s="2020" t="s">
        <v>100</v>
      </c>
      <c r="N207" s="2022"/>
      <c r="O207" s="72">
        <f t="shared" ref="O207" si="108">IF(AND(I207="ja",J207=""),1,0)</f>
        <v>0</v>
      </c>
      <c r="P207" s="78">
        <f t="shared" si="105"/>
        <v>0</v>
      </c>
      <c r="T207" s="398"/>
      <c r="U207" s="398"/>
      <c r="V207" s="398"/>
      <c r="W207" s="398"/>
      <c r="X207" s="398"/>
      <c r="Y207" s="398"/>
      <c r="Z207" s="398"/>
      <c r="AA207" s="74"/>
      <c r="AP207" s="68"/>
      <c r="AQ207" s="68"/>
      <c r="AR207" s="68"/>
      <c r="AS207" s="68"/>
    </row>
    <row r="208" spans="1:45" ht="14.25" customHeight="1" outlineLevel="1" x14ac:dyDescent="0.25">
      <c r="A208" s="220"/>
      <c r="B208" s="2024"/>
      <c r="C208" s="2025"/>
      <c r="D208" s="2025"/>
      <c r="E208" s="2025"/>
      <c r="F208" s="2025"/>
      <c r="G208" s="2025"/>
      <c r="H208" s="2025"/>
      <c r="I208" s="1775"/>
      <c r="J208" s="2026"/>
      <c r="K208" s="2176"/>
      <c r="L208" s="2018"/>
      <c r="M208" s="2020"/>
      <c r="N208" s="2022"/>
      <c r="P208" s="78">
        <f t="shared" si="105"/>
        <v>0</v>
      </c>
      <c r="T208" s="398"/>
      <c r="U208" s="398"/>
      <c r="V208" s="398"/>
      <c r="W208" s="398"/>
      <c r="X208" s="398"/>
      <c r="Y208" s="398"/>
      <c r="Z208" s="398"/>
      <c r="AA208" s="74"/>
      <c r="AP208" s="68"/>
      <c r="AQ208" s="68"/>
      <c r="AR208" s="68"/>
      <c r="AS208" s="68"/>
    </row>
    <row r="209" spans="1:45" ht="14.25" customHeight="1" outlineLevel="1" thickBot="1" x14ac:dyDescent="0.3">
      <c r="A209" s="220"/>
      <c r="B209" s="2042"/>
      <c r="C209" s="2043"/>
      <c r="D209" s="2043"/>
      <c r="E209" s="2043"/>
      <c r="F209" s="2043"/>
      <c r="G209" s="2043"/>
      <c r="H209" s="2043"/>
      <c r="I209" s="1776"/>
      <c r="J209" s="2044"/>
      <c r="K209" s="2178"/>
      <c r="L209" s="2045"/>
      <c r="M209" s="2046"/>
      <c r="N209" s="2047"/>
      <c r="P209" s="78">
        <f t="shared" si="105"/>
        <v>0</v>
      </c>
      <c r="T209" s="398"/>
      <c r="U209" s="398"/>
      <c r="V209" s="398"/>
      <c r="W209" s="398"/>
      <c r="X209" s="398"/>
      <c r="Y209" s="398"/>
      <c r="Z209" s="398"/>
      <c r="AA209" s="74"/>
      <c r="AP209" s="68"/>
      <c r="AQ209" s="68"/>
      <c r="AR209" s="68"/>
      <c r="AS209" s="68"/>
    </row>
    <row r="210" spans="1:45" x14ac:dyDescent="0.25">
      <c r="B210" s="60"/>
      <c r="C210" s="60"/>
      <c r="D210" s="60"/>
      <c r="E210" s="60"/>
      <c r="F210" s="65"/>
      <c r="G210" s="65"/>
      <c r="H210" s="65"/>
      <c r="I210" s="65"/>
      <c r="J210" s="65"/>
      <c r="K210" s="424">
        <f>SUM(K9:K209)</f>
        <v>0</v>
      </c>
      <c r="L210" s="424">
        <f>SUM(L9:L209)</f>
        <v>0</v>
      </c>
      <c r="M210" s="399"/>
      <c r="N210" s="424">
        <f>SUM(N9:N209)</f>
        <v>0</v>
      </c>
      <c r="O210" s="426">
        <f>SUM(O5:O209)</f>
        <v>1</v>
      </c>
      <c r="P210" s="426">
        <f>IF(SUM(P5:P207)&gt;0,1,0)</f>
        <v>1</v>
      </c>
      <c r="Q210" s="399"/>
      <c r="R210" s="399"/>
      <c r="S210" s="399"/>
      <c r="T210" s="399"/>
      <c r="U210" s="399"/>
      <c r="V210" s="399"/>
      <c r="W210" s="399"/>
      <c r="X210" s="399"/>
    </row>
    <row r="211" spans="1:45" ht="15" customHeight="1" x14ac:dyDescent="0.25">
      <c r="A211" s="38" t="s">
        <v>818</v>
      </c>
      <c r="B211" s="2126" t="str">
        <f>IF(B1=V2,"Honorarvereinbarung für die zunächst beauftragten weiteren Besonderen Leistungen und für die optionalen Besonderen Leistungen - GÜ Berater ","Honorarangebot für die zunächst beauftragten weiteren Besonderen Leistungen und für die optionalen Besonderen Leistungen - GÜ Berater")</f>
        <v>Honorarangebot für die zunächst beauftragten weiteren Besonderen Leistungen und für die optionalen Besonderen Leistungen - GÜ Berater</v>
      </c>
      <c r="C211" s="2126"/>
      <c r="D211" s="2126"/>
      <c r="E211" s="2126"/>
      <c r="F211" s="2126"/>
      <c r="G211" s="2126"/>
      <c r="H211" s="2126"/>
      <c r="I211" s="2126"/>
      <c r="J211" s="2126"/>
      <c r="K211" s="414"/>
      <c r="L211" s="414"/>
      <c r="M211" s="66"/>
      <c r="N211" s="414"/>
      <c r="O211" s="426"/>
      <c r="P211" s="502"/>
      <c r="Q211" s="399"/>
      <c r="R211" s="399"/>
      <c r="S211" s="399"/>
      <c r="T211" s="399"/>
      <c r="U211" s="399"/>
      <c r="V211" s="399"/>
      <c r="W211" s="399"/>
      <c r="X211" s="399"/>
    </row>
    <row r="212" spans="1:45" x14ac:dyDescent="0.25">
      <c r="B212" s="2126"/>
      <c r="C212" s="2126"/>
      <c r="D212" s="2126"/>
      <c r="E212" s="2126"/>
      <c r="F212" s="2126"/>
      <c r="G212" s="2126"/>
      <c r="H212" s="2126"/>
      <c r="I212" s="2126"/>
      <c r="J212" s="2126"/>
      <c r="K212" s="414"/>
      <c r="L212" s="414"/>
      <c r="M212" s="66"/>
      <c r="N212" s="414"/>
      <c r="O212" s="426"/>
      <c r="P212" s="399"/>
      <c r="Q212" s="399"/>
      <c r="R212" s="399"/>
      <c r="S212" s="399"/>
      <c r="T212" s="399"/>
      <c r="U212" s="399"/>
      <c r="V212" s="399"/>
      <c r="W212" s="399"/>
      <c r="X212" s="399"/>
    </row>
    <row r="213" spans="1:45" ht="14.55" thickBot="1" x14ac:dyDescent="0.3">
      <c r="B213" s="60"/>
      <c r="C213" s="60"/>
      <c r="D213" s="60"/>
      <c r="E213" s="60"/>
      <c r="F213" s="65"/>
      <c r="G213" s="65"/>
      <c r="H213" s="65"/>
      <c r="I213" s="65"/>
      <c r="J213" s="65"/>
      <c r="K213" s="414"/>
      <c r="L213" s="414"/>
      <c r="M213" s="66"/>
      <c r="N213" s="414"/>
      <c r="O213" s="426"/>
      <c r="P213" s="399"/>
      <c r="Q213" s="399"/>
      <c r="R213" s="399"/>
      <c r="S213" s="399"/>
      <c r="T213" s="399"/>
      <c r="U213" s="399"/>
      <c r="V213" s="399"/>
      <c r="W213" s="399"/>
      <c r="X213" s="399"/>
    </row>
    <row r="214" spans="1:45" x14ac:dyDescent="0.25">
      <c r="B214" s="103"/>
      <c r="C214" s="104"/>
      <c r="D214" s="104"/>
      <c r="E214" s="104"/>
      <c r="F214" s="201"/>
      <c r="G214" s="259"/>
      <c r="H214" s="103"/>
      <c r="I214" s="46"/>
      <c r="J214" s="105"/>
      <c r="K214" s="414"/>
      <c r="L214" s="414"/>
      <c r="M214" s="66"/>
      <c r="N214" s="414"/>
      <c r="O214" s="426"/>
      <c r="P214" s="399"/>
      <c r="Q214" s="399"/>
      <c r="R214" s="399"/>
      <c r="S214" s="399"/>
      <c r="T214" s="399"/>
      <c r="U214" s="399"/>
      <c r="V214" s="399"/>
      <c r="W214" s="399"/>
      <c r="X214" s="399"/>
    </row>
    <row r="215" spans="1:45" x14ac:dyDescent="0.25">
      <c r="B215" s="926" t="s">
        <v>819</v>
      </c>
      <c r="C215" s="927"/>
      <c r="D215" s="927"/>
      <c r="E215" s="927"/>
      <c r="F215" s="928"/>
      <c r="G215" s="274"/>
      <c r="H215" s="2085">
        <f>L210</f>
        <v>0</v>
      </c>
      <c r="I215" s="954"/>
      <c r="J215" s="955"/>
      <c r="K215" s="414"/>
      <c r="L215" s="414"/>
      <c r="M215" s="66"/>
      <c r="N215" s="414"/>
      <c r="O215" s="426"/>
      <c r="P215" s="399"/>
      <c r="Q215" s="399"/>
      <c r="R215" s="399"/>
      <c r="S215" s="399"/>
      <c r="T215" s="399"/>
      <c r="U215" s="399"/>
      <c r="V215" s="399"/>
      <c r="W215" s="399"/>
      <c r="X215" s="399"/>
    </row>
    <row r="216" spans="1:45" ht="14.55" thickBot="1" x14ac:dyDescent="0.3">
      <c r="B216" s="291"/>
      <c r="C216" s="202"/>
      <c r="D216" s="202"/>
      <c r="E216" s="202"/>
      <c r="F216" s="203"/>
      <c r="G216" s="275"/>
      <c r="H216" s="296"/>
      <c r="I216" s="202"/>
      <c r="J216" s="203"/>
      <c r="K216" s="414"/>
      <c r="L216" s="414"/>
      <c r="M216" s="66"/>
      <c r="N216" s="414"/>
      <c r="O216" s="426"/>
      <c r="P216" s="399"/>
      <c r="Q216" s="399"/>
      <c r="R216" s="399"/>
      <c r="S216" s="399"/>
      <c r="T216" s="399"/>
      <c r="U216" s="399"/>
      <c r="V216" s="399"/>
      <c r="W216" s="399"/>
      <c r="X216" s="399"/>
    </row>
    <row r="217" spans="1:45" x14ac:dyDescent="0.25">
      <c r="B217" s="90"/>
      <c r="C217" s="91"/>
      <c r="D217" s="91"/>
      <c r="E217" s="91"/>
      <c r="F217" s="92"/>
      <c r="G217" s="274"/>
      <c r="H217" s="320"/>
      <c r="I217" s="46"/>
      <c r="J217" s="273"/>
      <c r="K217" s="414"/>
      <c r="L217" s="414"/>
      <c r="M217" s="66"/>
      <c r="N217" s="414"/>
      <c r="O217" s="426"/>
      <c r="P217" s="399"/>
      <c r="Q217" s="399"/>
      <c r="R217" s="399"/>
      <c r="S217" s="399"/>
      <c r="T217" s="399"/>
      <c r="U217" s="399"/>
      <c r="V217" s="399"/>
      <c r="W217" s="399"/>
      <c r="X217" s="399"/>
    </row>
    <row r="218" spans="1:45" x14ac:dyDescent="0.25">
      <c r="B218" s="917" t="s">
        <v>94</v>
      </c>
      <c r="C218" s="918"/>
      <c r="D218" s="918"/>
      <c r="E218" s="918"/>
      <c r="F218" s="919"/>
      <c r="G218" s="350">
        <f>Überblick!$G$98</f>
        <v>0.19</v>
      </c>
      <c r="H218" s="2086">
        <f>H215*G218</f>
        <v>0</v>
      </c>
      <c r="I218" s="2087"/>
      <c r="J218" s="2088"/>
      <c r="K218" s="414"/>
      <c r="L218" s="414"/>
      <c r="M218" s="66"/>
      <c r="N218" s="414"/>
      <c r="O218" s="426"/>
      <c r="P218" s="399"/>
      <c r="Q218" s="399"/>
      <c r="R218" s="399"/>
      <c r="S218" s="399"/>
      <c r="T218" s="399"/>
      <c r="U218" s="399"/>
      <c r="V218" s="399"/>
      <c r="W218" s="399"/>
      <c r="X218" s="399"/>
    </row>
    <row r="219" spans="1:45" ht="14.55" thickBot="1" x14ac:dyDescent="0.3">
      <c r="B219" s="305"/>
      <c r="C219" s="306"/>
      <c r="D219" s="306"/>
      <c r="E219" s="306"/>
      <c r="F219" s="307"/>
      <c r="G219" s="264"/>
      <c r="H219" s="323"/>
      <c r="I219" s="267"/>
      <c r="J219" s="300"/>
      <c r="K219" s="414"/>
      <c r="L219" s="414"/>
      <c r="M219" s="66"/>
      <c r="N219" s="414"/>
      <c r="O219" s="426"/>
      <c r="P219" s="399"/>
      <c r="Q219" s="399"/>
      <c r="R219" s="399"/>
      <c r="S219" s="399"/>
      <c r="T219" s="399"/>
      <c r="U219" s="399"/>
      <c r="V219" s="399"/>
      <c r="W219" s="399"/>
      <c r="X219" s="399"/>
    </row>
    <row r="220" spans="1:45" x14ac:dyDescent="0.25">
      <c r="B220" s="920" t="s">
        <v>98</v>
      </c>
      <c r="C220" s="921"/>
      <c r="D220" s="921"/>
      <c r="E220" s="921"/>
      <c r="F220" s="922"/>
      <c r="G220" s="277"/>
      <c r="H220" s="257"/>
      <c r="I220" s="258"/>
      <c r="J220" s="272"/>
      <c r="K220" s="414"/>
      <c r="L220" s="414"/>
      <c r="M220" s="66"/>
      <c r="N220" s="414"/>
      <c r="O220" s="426"/>
      <c r="P220" s="399"/>
      <c r="Q220" s="399"/>
      <c r="R220" s="399"/>
      <c r="S220" s="399"/>
      <c r="T220" s="399"/>
      <c r="U220" s="399"/>
      <c r="V220" s="399"/>
      <c r="W220" s="399"/>
      <c r="X220" s="399"/>
    </row>
    <row r="221" spans="1:45" ht="14.55" thickBot="1" x14ac:dyDescent="0.3">
      <c r="B221" s="923"/>
      <c r="C221" s="924"/>
      <c r="D221" s="924"/>
      <c r="E221" s="924"/>
      <c r="F221" s="925"/>
      <c r="G221" s="278"/>
      <c r="H221" s="2089">
        <f>H215+H218</f>
        <v>0</v>
      </c>
      <c r="I221" s="2090"/>
      <c r="J221" s="2091"/>
      <c r="K221" s="414"/>
      <c r="L221" s="414"/>
      <c r="M221" s="66"/>
      <c r="N221" s="414"/>
      <c r="O221" s="426"/>
      <c r="P221" s="399"/>
      <c r="Q221" s="399"/>
      <c r="R221" s="399"/>
      <c r="S221" s="399"/>
      <c r="T221" s="399"/>
      <c r="U221" s="399"/>
      <c r="V221" s="399"/>
      <c r="W221" s="399"/>
      <c r="X221" s="399"/>
    </row>
    <row r="222" spans="1:45" x14ac:dyDescent="0.25">
      <c r="B222" s="60"/>
      <c r="C222" s="60"/>
      <c r="D222" s="60"/>
      <c r="E222" s="60"/>
      <c r="F222" s="65"/>
      <c r="G222" s="65"/>
      <c r="H222" s="65"/>
      <c r="I222" s="65"/>
      <c r="J222" s="65"/>
      <c r="K222" s="414"/>
      <c r="L222" s="414"/>
      <c r="M222" s="66"/>
      <c r="N222" s="414"/>
      <c r="O222" s="426"/>
      <c r="P222" s="399"/>
      <c r="Q222" s="399"/>
      <c r="R222" s="399"/>
      <c r="S222" s="399"/>
      <c r="T222" s="399"/>
      <c r="U222" s="399"/>
      <c r="V222" s="399"/>
      <c r="W222" s="399"/>
      <c r="X222" s="399"/>
    </row>
    <row r="223" spans="1:45" ht="15" customHeight="1" x14ac:dyDescent="0.25">
      <c r="A223" s="38" t="s">
        <v>820</v>
      </c>
      <c r="B223" s="2126" t="str">
        <f>IF(B1=V2,"Honorarvereinbarung für die zunächst beauftragenden weiteren Besonderen Leistungen - GÜ Berater","Honorangebot für die zunächst beauftragenden weiteren Besonderen Leistungen - GÜ-Berater ")</f>
        <v xml:space="preserve">Honorangebot für die zunächst beauftragenden weiteren Besonderen Leistungen - GÜ-Berater </v>
      </c>
      <c r="C223" s="2126"/>
      <c r="D223" s="2126"/>
      <c r="E223" s="2126"/>
      <c r="F223" s="2126"/>
      <c r="G223" s="2126"/>
      <c r="H223" s="2126"/>
      <c r="I223" s="2126"/>
      <c r="J223" s="2126"/>
      <c r="K223" s="414"/>
      <c r="L223" s="414"/>
      <c r="M223" s="66"/>
      <c r="N223" s="414"/>
      <c r="O223" s="426"/>
      <c r="P223" s="399"/>
      <c r="Q223" s="399"/>
      <c r="R223" s="399"/>
      <c r="S223" s="399"/>
      <c r="T223" s="399"/>
      <c r="U223" s="399"/>
      <c r="V223" s="399"/>
      <c r="W223" s="399"/>
      <c r="X223" s="399"/>
    </row>
    <row r="224" spans="1:45" ht="15" customHeight="1" x14ac:dyDescent="0.25">
      <c r="B224" s="2126"/>
      <c r="C224" s="2126"/>
      <c r="D224" s="2126"/>
      <c r="E224" s="2126"/>
      <c r="F224" s="2126"/>
      <c r="G224" s="2126"/>
      <c r="H224" s="2126"/>
      <c r="I224" s="2126"/>
      <c r="J224" s="2126"/>
      <c r="K224" s="414"/>
      <c r="L224" s="414"/>
      <c r="M224" s="66"/>
      <c r="N224" s="414"/>
      <c r="O224" s="426"/>
      <c r="P224" s="399"/>
      <c r="Q224" s="399"/>
      <c r="R224" s="399"/>
      <c r="S224" s="399"/>
      <c r="T224" s="399"/>
      <c r="U224" s="399"/>
      <c r="V224" s="399"/>
      <c r="W224" s="399"/>
      <c r="X224" s="399"/>
    </row>
    <row r="225" spans="1:24" ht="15" customHeight="1" thickBot="1" x14ac:dyDescent="0.3">
      <c r="B225" s="60"/>
      <c r="C225" s="60"/>
      <c r="D225" s="60"/>
      <c r="E225" s="60"/>
      <c r="F225" s="65"/>
      <c r="G225" s="65"/>
      <c r="H225" s="65"/>
      <c r="I225" s="65"/>
      <c r="J225" s="65"/>
      <c r="K225" s="414"/>
      <c r="L225" s="414"/>
      <c r="M225" s="66"/>
      <c r="N225" s="414"/>
      <c r="O225" s="426"/>
      <c r="P225" s="399"/>
      <c r="Q225" s="399"/>
      <c r="R225" s="399"/>
      <c r="S225" s="399"/>
      <c r="T225" s="399"/>
      <c r="U225" s="399"/>
      <c r="V225" s="399"/>
      <c r="W225" s="399"/>
      <c r="X225" s="399"/>
    </row>
    <row r="226" spans="1:24" ht="15" customHeight="1" x14ac:dyDescent="0.25">
      <c r="B226" s="1251" t="s">
        <v>915</v>
      </c>
      <c r="C226" s="1252"/>
      <c r="D226" s="1252"/>
      <c r="E226" s="1252"/>
      <c r="F226" s="1253"/>
      <c r="G226" s="259"/>
      <c r="H226" s="103"/>
      <c r="I226" s="46"/>
      <c r="J226" s="105"/>
      <c r="K226" s="270"/>
      <c r="L226" s="48"/>
      <c r="M226" s="48"/>
      <c r="N226" s="66"/>
      <c r="O226" s="399"/>
      <c r="P226" s="399"/>
      <c r="Q226" s="399"/>
      <c r="R226" s="399"/>
      <c r="S226" s="399"/>
      <c r="T226" s="399"/>
      <c r="U226" s="399"/>
      <c r="V226" s="399"/>
      <c r="W226" s="399"/>
      <c r="X226" s="399"/>
    </row>
    <row r="227" spans="1:24" ht="15" customHeight="1" x14ac:dyDescent="0.25">
      <c r="B227" s="946"/>
      <c r="C227" s="947"/>
      <c r="D227" s="947"/>
      <c r="E227" s="947"/>
      <c r="F227" s="948"/>
      <c r="G227" s="274"/>
      <c r="H227" s="2085">
        <f>'Berechnung - GÜ-Berater'!B74</f>
        <v>0</v>
      </c>
      <c r="I227" s="954"/>
      <c r="J227" s="955"/>
      <c r="K227" s="270"/>
      <c r="L227" s="48"/>
      <c r="M227" s="48"/>
      <c r="N227" s="66"/>
      <c r="O227" s="399"/>
      <c r="P227" s="399"/>
      <c r="Q227" s="399"/>
      <c r="R227" s="399"/>
      <c r="S227" s="399"/>
      <c r="T227" s="399"/>
      <c r="U227" s="399"/>
      <c r="V227" s="399"/>
      <c r="W227" s="399"/>
      <c r="X227" s="399"/>
    </row>
    <row r="228" spans="1:24" ht="14.55" thickBot="1" x14ac:dyDescent="0.3">
      <c r="B228" s="291"/>
      <c r="C228" s="202"/>
      <c r="D228" s="202"/>
      <c r="E228" s="202"/>
      <c r="F228" s="203"/>
      <c r="G228" s="275"/>
      <c r="H228" s="296"/>
      <c r="I228" s="202"/>
      <c r="J228" s="203"/>
      <c r="K228" s="270"/>
      <c r="L228" s="48"/>
      <c r="M228" s="48"/>
      <c r="N228" s="66"/>
      <c r="O228" s="399"/>
      <c r="P228" s="399"/>
      <c r="Q228" s="399"/>
      <c r="R228" s="399"/>
      <c r="S228" s="399"/>
      <c r="T228" s="399"/>
      <c r="U228" s="399"/>
      <c r="V228" s="399"/>
      <c r="W228" s="399"/>
      <c r="X228" s="399"/>
    </row>
    <row r="229" spans="1:24" x14ac:dyDescent="0.25">
      <c r="B229" s="90"/>
      <c r="C229" s="91"/>
      <c r="D229" s="91"/>
      <c r="E229" s="91"/>
      <c r="F229" s="92"/>
      <c r="G229" s="274"/>
      <c r="H229" s="320"/>
      <c r="I229" s="46"/>
      <c r="J229" s="273"/>
      <c r="K229" s="270"/>
      <c r="L229" s="48"/>
      <c r="M229" s="48"/>
      <c r="N229" s="66"/>
      <c r="O229" s="399"/>
      <c r="P229" s="399"/>
      <c r="Q229" s="399"/>
      <c r="R229" s="399"/>
      <c r="S229" s="399"/>
      <c r="T229" s="399"/>
      <c r="U229" s="399"/>
      <c r="V229" s="399"/>
      <c r="W229" s="399"/>
      <c r="X229" s="399"/>
    </row>
    <row r="230" spans="1:24" x14ac:dyDescent="0.25">
      <c r="B230" s="917" t="s">
        <v>94</v>
      </c>
      <c r="C230" s="918"/>
      <c r="D230" s="918"/>
      <c r="E230" s="918"/>
      <c r="F230" s="919"/>
      <c r="G230" s="350">
        <f>Überblick!G98</f>
        <v>0.19</v>
      </c>
      <c r="H230" s="2086">
        <f>H227*G230</f>
        <v>0</v>
      </c>
      <c r="I230" s="2087"/>
      <c r="J230" s="2088"/>
      <c r="K230" s="270"/>
      <c r="L230" s="48"/>
      <c r="M230" s="48"/>
      <c r="N230" s="66"/>
      <c r="O230" s="399"/>
      <c r="P230" s="399"/>
      <c r="Q230" s="399"/>
      <c r="R230" s="399"/>
      <c r="S230" s="399"/>
      <c r="T230" s="399"/>
      <c r="U230" s="399"/>
      <c r="V230" s="399"/>
      <c r="W230" s="399"/>
      <c r="X230" s="399"/>
    </row>
    <row r="231" spans="1:24" ht="14.55" thickBot="1" x14ac:dyDescent="0.3">
      <c r="B231" s="305"/>
      <c r="C231" s="306"/>
      <c r="D231" s="306"/>
      <c r="E231" s="306"/>
      <c r="F231" s="307"/>
      <c r="G231" s="264"/>
      <c r="H231" s="323"/>
      <c r="I231" s="267"/>
      <c r="J231" s="300"/>
      <c r="K231" s="270"/>
      <c r="L231" s="48"/>
      <c r="M231" s="48"/>
      <c r="N231" s="66"/>
      <c r="O231" s="399"/>
      <c r="P231" s="399"/>
      <c r="Q231" s="399"/>
      <c r="R231" s="399"/>
      <c r="S231" s="399"/>
      <c r="T231" s="399"/>
      <c r="U231" s="399"/>
      <c r="V231" s="399"/>
      <c r="W231" s="399"/>
      <c r="X231" s="399"/>
    </row>
    <row r="232" spans="1:24" x14ac:dyDescent="0.25">
      <c r="B232" s="920" t="s">
        <v>98</v>
      </c>
      <c r="C232" s="921"/>
      <c r="D232" s="921"/>
      <c r="E232" s="921"/>
      <c r="F232" s="922"/>
      <c r="G232" s="277"/>
      <c r="H232" s="257"/>
      <c r="I232" s="258"/>
      <c r="J232" s="272"/>
      <c r="K232" s="270"/>
      <c r="L232" s="48"/>
      <c r="M232" s="48"/>
      <c r="N232" s="66"/>
      <c r="O232" s="399"/>
      <c r="P232" s="399"/>
      <c r="Q232" s="399"/>
      <c r="R232" s="399"/>
      <c r="S232" s="399"/>
      <c r="T232" s="399"/>
      <c r="U232" s="399"/>
      <c r="V232" s="399"/>
      <c r="W232" s="399"/>
      <c r="X232" s="399"/>
    </row>
    <row r="233" spans="1:24" ht="14.55" thickBot="1" x14ac:dyDescent="0.3">
      <c r="B233" s="923"/>
      <c r="C233" s="924"/>
      <c r="D233" s="924"/>
      <c r="E233" s="924"/>
      <c r="F233" s="925"/>
      <c r="G233" s="278"/>
      <c r="H233" s="2089">
        <f>H227+H230</f>
        <v>0</v>
      </c>
      <c r="I233" s="2090"/>
      <c r="J233" s="2091"/>
      <c r="K233" s="270"/>
      <c r="L233" s="48"/>
      <c r="M233" s="48"/>
      <c r="N233" s="66"/>
      <c r="O233" s="399"/>
      <c r="P233" s="399"/>
      <c r="Q233" s="399"/>
      <c r="R233" s="399"/>
      <c r="S233" s="399"/>
      <c r="T233" s="399"/>
      <c r="U233" s="399"/>
      <c r="V233" s="399"/>
      <c r="W233" s="399"/>
      <c r="X233" s="399"/>
    </row>
    <row r="234" spans="1:24" x14ac:dyDescent="0.25">
      <c r="B234" s="60"/>
      <c r="C234" s="60"/>
      <c r="D234" s="60"/>
      <c r="E234" s="60"/>
      <c r="F234" s="65"/>
      <c r="G234" s="65"/>
      <c r="H234" s="65"/>
      <c r="I234" s="65"/>
      <c r="J234" s="65"/>
      <c r="K234" s="66"/>
      <c r="L234" s="66"/>
      <c r="M234" s="66"/>
      <c r="N234" s="66"/>
      <c r="O234" s="399"/>
      <c r="P234" s="399"/>
      <c r="Q234" s="399"/>
      <c r="R234" s="399"/>
      <c r="S234" s="399"/>
      <c r="T234" s="399"/>
      <c r="U234" s="399"/>
      <c r="V234" s="399"/>
      <c r="W234" s="399"/>
      <c r="X234" s="399"/>
    </row>
    <row r="235" spans="1:24" x14ac:dyDescent="0.25">
      <c r="A235" s="38" t="s">
        <v>279</v>
      </c>
      <c r="B235" s="40" t="str">
        <f>IF(B1=V2,"Gemäß der Honorarvereinbarung werden die Stufen wie folgt vergütet (netto): ","Gemäß des Honorarangebotes werden die Stufen wie folgt vergütet (netto): ")</f>
        <v xml:space="preserve">Gemäß des Honorarangebotes werden die Stufen wie folgt vergütet (netto): </v>
      </c>
      <c r="C235" s="40"/>
      <c r="D235" s="40"/>
      <c r="E235" s="40"/>
      <c r="F235" s="40"/>
      <c r="G235" s="40"/>
      <c r="H235" s="40"/>
      <c r="I235" s="40"/>
      <c r="J235" s="40"/>
      <c r="K235" s="40"/>
      <c r="L235" s="40"/>
      <c r="M235" s="40"/>
      <c r="N235" s="40"/>
      <c r="O235" s="461"/>
      <c r="P235" s="399"/>
      <c r="Q235" s="399"/>
      <c r="R235" s="151"/>
      <c r="S235" s="399"/>
      <c r="T235" s="399"/>
      <c r="U235" s="399"/>
      <c r="V235" s="399"/>
      <c r="W235" s="399"/>
      <c r="X235" s="399"/>
    </row>
    <row r="236" spans="1:24" ht="14.55" thickBot="1" x14ac:dyDescent="0.3">
      <c r="B236" s="60"/>
      <c r="C236" s="60"/>
      <c r="D236" s="60"/>
      <c r="E236" s="60"/>
      <c r="F236" s="65"/>
      <c r="G236" s="65"/>
      <c r="H236" s="65"/>
      <c r="I236" s="65"/>
      <c r="J236" s="65"/>
      <c r="K236" s="66"/>
      <c r="L236" s="66"/>
      <c r="M236" s="66"/>
      <c r="N236" s="66"/>
      <c r="O236" s="399"/>
      <c r="P236" s="399"/>
      <c r="Q236" s="399"/>
      <c r="R236" s="151"/>
      <c r="S236" s="399"/>
      <c r="T236" s="399"/>
      <c r="U236" s="399"/>
      <c r="V236" s="399"/>
      <c r="W236" s="399"/>
      <c r="X236" s="399"/>
    </row>
    <row r="237" spans="1:24" x14ac:dyDescent="0.25">
      <c r="B237" s="1707" t="s">
        <v>105</v>
      </c>
      <c r="C237" s="2081" t="s">
        <v>459</v>
      </c>
      <c r="D237" s="1715"/>
      <c r="E237" s="60"/>
      <c r="F237" s="65"/>
      <c r="G237" s="65"/>
      <c r="H237" s="65"/>
      <c r="I237" s="65"/>
      <c r="J237" s="65"/>
      <c r="K237" s="66"/>
      <c r="L237" s="66"/>
      <c r="M237" s="66"/>
      <c r="N237" s="66"/>
      <c r="O237" s="399"/>
      <c r="P237" s="399"/>
      <c r="Q237" s="399"/>
      <c r="R237" s="151"/>
      <c r="S237" s="399"/>
      <c r="T237" s="399"/>
      <c r="U237" s="399"/>
      <c r="V237" s="399"/>
      <c r="W237" s="399"/>
      <c r="X237" s="399"/>
    </row>
    <row r="238" spans="1:24" ht="15.95" customHeight="1" thickBot="1" x14ac:dyDescent="0.3">
      <c r="B238" s="1711"/>
      <c r="C238" s="2082"/>
      <c r="D238" s="1718"/>
      <c r="E238" s="247"/>
      <c r="F238" s="247"/>
      <c r="G238" s="247"/>
      <c r="H238" s="247"/>
      <c r="I238" s="248"/>
      <c r="J238" s="248"/>
      <c r="K238" s="204"/>
      <c r="L238" s="204"/>
      <c r="M238" s="204"/>
      <c r="N238" s="204"/>
      <c r="O238" s="462"/>
      <c r="P238" s="462"/>
      <c r="Q238" s="462"/>
      <c r="R238" s="462"/>
      <c r="S238" s="462"/>
      <c r="T238" s="399"/>
      <c r="U238" s="399"/>
      <c r="V238" s="399"/>
      <c r="W238" s="399"/>
      <c r="X238" s="399"/>
    </row>
    <row r="239" spans="1:24" x14ac:dyDescent="0.25">
      <c r="A239" s="42"/>
      <c r="B239" s="173" t="str">
        <f>IF(Überblick!$H$53&gt;=1,"1:",0)</f>
        <v>1:</v>
      </c>
      <c r="C239" s="2080">
        <f>'Berechnung - GÜ-Berater'!C145</f>
        <v>0</v>
      </c>
      <c r="D239" s="2080"/>
      <c r="E239" s="177"/>
      <c r="F239" s="177"/>
      <c r="G239" s="177"/>
      <c r="H239" s="177"/>
      <c r="I239" s="177"/>
      <c r="J239" s="177"/>
      <c r="K239" s="177"/>
      <c r="L239" s="177"/>
      <c r="M239" s="177"/>
      <c r="N239" s="177"/>
      <c r="O239" s="177"/>
      <c r="P239" s="177"/>
      <c r="Q239" s="177"/>
      <c r="R239" s="177"/>
      <c r="S239" s="177"/>
      <c r="T239" s="96">
        <f>SUM(C239:S239)</f>
        <v>0</v>
      </c>
      <c r="V239" s="178"/>
      <c r="W239" s="178"/>
      <c r="X239" s="178"/>
    </row>
    <row r="240" spans="1:24" ht="15.95" customHeight="1" x14ac:dyDescent="0.25">
      <c r="A240" s="42"/>
      <c r="B240" s="173" t="str">
        <f>IF(Überblick!$H$53&gt;=2,"2:",0)</f>
        <v>2:</v>
      </c>
      <c r="C240" s="2080">
        <f>'Berechnung - GÜ-Berater'!D145</f>
        <v>0</v>
      </c>
      <c r="D240" s="2080"/>
      <c r="E240" s="177"/>
      <c r="F240" s="177"/>
      <c r="G240" s="177"/>
      <c r="H240" s="177"/>
      <c r="I240" s="177"/>
      <c r="J240" s="177"/>
      <c r="K240" s="177"/>
      <c r="L240" s="177"/>
      <c r="M240" s="177"/>
      <c r="N240" s="177"/>
      <c r="O240" s="177"/>
      <c r="P240" s="177"/>
      <c r="Q240" s="177"/>
      <c r="R240" s="177"/>
      <c r="S240" s="177"/>
      <c r="T240" s="96"/>
    </row>
    <row r="241" spans="1:20" x14ac:dyDescent="0.25">
      <c r="A241" s="40"/>
      <c r="B241" s="173" t="str">
        <f>IF(Überblick!$H$53&gt;=3,"3:",0)</f>
        <v>3:</v>
      </c>
      <c r="C241" s="2080">
        <f>'Berechnung - GÜ-Berater'!E145</f>
        <v>0</v>
      </c>
      <c r="D241" s="2080"/>
      <c r="E241" s="177"/>
      <c r="F241" s="177"/>
      <c r="G241" s="177"/>
      <c r="H241" s="177"/>
      <c r="I241" s="177"/>
      <c r="J241" s="177"/>
      <c r="K241" s="177"/>
      <c r="L241" s="177"/>
      <c r="M241" s="177"/>
      <c r="N241" s="177"/>
      <c r="O241" s="177"/>
      <c r="P241" s="177"/>
      <c r="Q241" s="177"/>
      <c r="R241" s="177"/>
      <c r="S241" s="177"/>
      <c r="T241" s="96"/>
    </row>
    <row r="242" spans="1:20" x14ac:dyDescent="0.25">
      <c r="B242" s="173" t="str">
        <f>IF(Überblick!$H$53&gt;=4,"4:",0)</f>
        <v>4:</v>
      </c>
      <c r="C242" s="2080">
        <f>'Berechnung - GÜ-Berater'!F145</f>
        <v>0</v>
      </c>
      <c r="D242" s="2080"/>
      <c r="E242" s="177"/>
      <c r="F242" s="177"/>
      <c r="G242" s="177"/>
      <c r="H242" s="177"/>
      <c r="I242" s="177"/>
      <c r="J242" s="177"/>
      <c r="K242" s="177"/>
      <c r="L242" s="177"/>
      <c r="M242" s="177"/>
      <c r="N242" s="177"/>
      <c r="O242" s="177"/>
      <c r="P242" s="177"/>
      <c r="Q242" s="177"/>
      <c r="R242" s="177"/>
      <c r="S242" s="177"/>
      <c r="T242" s="96"/>
    </row>
    <row r="243" spans="1:20" x14ac:dyDescent="0.25">
      <c r="B243" s="173" t="str">
        <f>IF(Überblick!$H$53&gt;=5,"5:",0)</f>
        <v>5:</v>
      </c>
      <c r="C243" s="2080">
        <f>'Berechnung - GÜ-Berater'!G145</f>
        <v>0</v>
      </c>
      <c r="D243" s="2080"/>
      <c r="E243" s="177"/>
      <c r="F243" s="177"/>
      <c r="G243" s="177"/>
      <c r="H243" s="177"/>
      <c r="I243" s="177"/>
      <c r="J243" s="177"/>
      <c r="K243" s="177"/>
      <c r="L243" s="177"/>
      <c r="M243" s="177"/>
      <c r="N243" s="177"/>
      <c r="O243" s="177"/>
      <c r="P243" s="177"/>
      <c r="Q243" s="177"/>
      <c r="R243" s="177"/>
      <c r="S243" s="177"/>
      <c r="T243" s="96"/>
    </row>
    <row r="244" spans="1:20" ht="15.95" customHeight="1" x14ac:dyDescent="0.25">
      <c r="B244" s="173" t="str">
        <f>IF(Überblick!$H$53&gt;=6,"6:",0)</f>
        <v>6:</v>
      </c>
      <c r="C244" s="2080">
        <f>'Berechnung - GÜ-Berater'!H145</f>
        <v>0</v>
      </c>
      <c r="D244" s="2080"/>
      <c r="E244" s="177"/>
      <c r="F244" s="177"/>
      <c r="G244" s="177"/>
      <c r="H244" s="177"/>
      <c r="I244" s="177"/>
      <c r="J244" s="177"/>
      <c r="K244" s="177"/>
      <c r="L244" s="177"/>
      <c r="M244" s="177"/>
      <c r="N244" s="177"/>
      <c r="O244" s="177"/>
      <c r="P244" s="177"/>
      <c r="Q244" s="177"/>
      <c r="R244" s="177"/>
      <c r="S244" s="177"/>
      <c r="T244" s="96"/>
    </row>
    <row r="245" spans="1:20" x14ac:dyDescent="0.25">
      <c r="B245" s="173">
        <f>IF(Überblick!$H$53&gt;=7,"7:",0)</f>
        <v>0</v>
      </c>
      <c r="C245" s="2080">
        <f>'Berechnung - GÜ-Berater'!I145</f>
        <v>0</v>
      </c>
      <c r="D245" s="2080"/>
      <c r="E245" s="177"/>
      <c r="F245" s="177"/>
      <c r="G245" s="177"/>
      <c r="H245" s="177"/>
      <c r="I245" s="177"/>
      <c r="J245" s="177"/>
      <c r="K245" s="177"/>
      <c r="L245" s="177"/>
      <c r="M245" s="177"/>
      <c r="N245" s="177"/>
      <c r="O245" s="177"/>
      <c r="P245" s="177"/>
      <c r="Q245" s="177"/>
      <c r="R245" s="177"/>
      <c r="S245" s="177"/>
      <c r="T245" s="96"/>
    </row>
    <row r="246" spans="1:20" ht="15" customHeight="1" x14ac:dyDescent="0.25">
      <c r="B246" s="173">
        <f>IF(Überblick!$H$53&gt;=8,"8:",0)</f>
        <v>0</v>
      </c>
      <c r="C246" s="2080">
        <f>'Berechnung - GÜ-Berater'!J145</f>
        <v>0</v>
      </c>
      <c r="D246" s="2080"/>
      <c r="E246" s="177"/>
      <c r="F246" s="177"/>
      <c r="G246" s="177"/>
      <c r="H246" s="177"/>
      <c r="I246" s="177"/>
      <c r="J246" s="177"/>
      <c r="K246" s="177"/>
      <c r="L246" s="177"/>
      <c r="M246" s="177"/>
      <c r="N246" s="177"/>
      <c r="O246" s="177"/>
      <c r="P246" s="177"/>
      <c r="Q246" s="177"/>
      <c r="R246" s="177"/>
      <c r="S246" s="177"/>
      <c r="T246" s="96"/>
    </row>
    <row r="247" spans="1:20" x14ac:dyDescent="0.25">
      <c r="B247" s="173">
        <f>IF(Überblick!$H$53&gt;=9,"9:",0)</f>
        <v>0</v>
      </c>
      <c r="C247" s="2080">
        <f>'Berechnung - GÜ-Berater'!K145</f>
        <v>0</v>
      </c>
      <c r="D247" s="2080"/>
      <c r="T247" s="96"/>
    </row>
    <row r="248" spans="1:20" ht="14.25" customHeight="1" x14ac:dyDescent="0.25">
      <c r="T248" s="96"/>
    </row>
    <row r="249" spans="1:20" x14ac:dyDescent="0.25">
      <c r="T249" s="96"/>
    </row>
    <row r="250" spans="1:20" x14ac:dyDescent="0.25">
      <c r="T250" s="96"/>
    </row>
    <row r="251" spans="1:20" x14ac:dyDescent="0.25">
      <c r="T251" s="96"/>
    </row>
  </sheetData>
  <sheetProtection algorithmName="SHA-512" hashValue="k3N9Pb51rPYiJc4cNISfzWp6ZmKIvW7krLBMJSezdAosOXjjQFGjkbbqshf0mZ9yJtaXimOLQ2YL8BMElae4gQ==" saltValue="ELGfywSn3BioOZVQl4l8yg==" spinCount="100000" sheet="1" objects="1" scenarios="1"/>
  <mergeCells count="440">
    <mergeCell ref="B26:H27"/>
    <mergeCell ref="B28:H29"/>
    <mergeCell ref="B20:H20"/>
    <mergeCell ref="N68:N71"/>
    <mergeCell ref="I68:I71"/>
    <mergeCell ref="J68:J71"/>
    <mergeCell ref="B30:H32"/>
    <mergeCell ref="I30:I32"/>
    <mergeCell ref="L2:N2"/>
    <mergeCell ref="L3:N3"/>
    <mergeCell ref="L4:N4"/>
    <mergeCell ref="N26:N27"/>
    <mergeCell ref="B21:H25"/>
    <mergeCell ref="I21:I25"/>
    <mergeCell ref="J21:J25"/>
    <mergeCell ref="B18:H19"/>
    <mergeCell ref="M18:M19"/>
    <mergeCell ref="N18:N19"/>
    <mergeCell ref="B13:H17"/>
    <mergeCell ref="I13:I17"/>
    <mergeCell ref="J13:J17"/>
    <mergeCell ref="K13:K17"/>
    <mergeCell ref="L13:L17"/>
    <mergeCell ref="M13:M17"/>
    <mergeCell ref="K21:K25"/>
    <mergeCell ref="L21:L25"/>
    <mergeCell ref="M21:M25"/>
    <mergeCell ref="I18:I19"/>
    <mergeCell ref="J18:J19"/>
    <mergeCell ref="K18:K19"/>
    <mergeCell ref="L18:L19"/>
    <mergeCell ref="K68:K71"/>
    <mergeCell ref="L68:L71"/>
    <mergeCell ref="M68:M71"/>
    <mergeCell ref="I26:I27"/>
    <mergeCell ref="J26:J27"/>
    <mergeCell ref="K26:K27"/>
    <mergeCell ref="L26:L27"/>
    <mergeCell ref="M26:M27"/>
    <mergeCell ref="J30:J32"/>
    <mergeCell ref="K30:K32"/>
    <mergeCell ref="L30:L32"/>
    <mergeCell ref="M30:M32"/>
    <mergeCell ref="O1:P1"/>
    <mergeCell ref="M158:M160"/>
    <mergeCell ref="N158:N160"/>
    <mergeCell ref="I9:I12"/>
    <mergeCell ref="J9:J12"/>
    <mergeCell ref="K9:K12"/>
    <mergeCell ref="L9:L12"/>
    <mergeCell ref="M9:M12"/>
    <mergeCell ref="N9:N12"/>
    <mergeCell ref="I5:I7"/>
    <mergeCell ref="J5:J7"/>
    <mergeCell ref="K5:K7"/>
    <mergeCell ref="L5:L7"/>
    <mergeCell ref="M5:M7"/>
    <mergeCell ref="N5:N7"/>
    <mergeCell ref="N13:N17"/>
    <mergeCell ref="N21:N25"/>
    <mergeCell ref="N28:N29"/>
    <mergeCell ref="N30:N32"/>
    <mergeCell ref="I28:I29"/>
    <mergeCell ref="J28:J29"/>
    <mergeCell ref="K28:K29"/>
    <mergeCell ref="L28:L29"/>
    <mergeCell ref="M28:M29"/>
    <mergeCell ref="B35:H38"/>
    <mergeCell ref="I35:I38"/>
    <mergeCell ref="J35:J38"/>
    <mergeCell ref="K35:K38"/>
    <mergeCell ref="L35:L38"/>
    <mergeCell ref="M35:M38"/>
    <mergeCell ref="N35:N38"/>
    <mergeCell ref="B33:H34"/>
    <mergeCell ref="I33:I34"/>
    <mergeCell ref="J33:J34"/>
    <mergeCell ref="K33:K34"/>
    <mergeCell ref="L33:L34"/>
    <mergeCell ref="M33:M34"/>
    <mergeCell ref="N33:N34"/>
    <mergeCell ref="B45:H49"/>
    <mergeCell ref="I45:I49"/>
    <mergeCell ref="J45:J49"/>
    <mergeCell ref="K45:K49"/>
    <mergeCell ref="L45:L49"/>
    <mergeCell ref="M45:M49"/>
    <mergeCell ref="N45:N49"/>
    <mergeCell ref="B39:H44"/>
    <mergeCell ref="I39:I44"/>
    <mergeCell ref="J39:J44"/>
    <mergeCell ref="K39:K44"/>
    <mergeCell ref="L39:L44"/>
    <mergeCell ref="M39:M44"/>
    <mergeCell ref="N39:N44"/>
    <mergeCell ref="B52:H52"/>
    <mergeCell ref="B50:H51"/>
    <mergeCell ref="I50:I51"/>
    <mergeCell ref="J50:J51"/>
    <mergeCell ref="K50:K51"/>
    <mergeCell ref="L50:L51"/>
    <mergeCell ref="M50:M51"/>
    <mergeCell ref="N54:N56"/>
    <mergeCell ref="B57:H59"/>
    <mergeCell ref="I57:I59"/>
    <mergeCell ref="J57:J59"/>
    <mergeCell ref="K57:K59"/>
    <mergeCell ref="L57:L59"/>
    <mergeCell ref="M57:M59"/>
    <mergeCell ref="N57:N59"/>
    <mergeCell ref="B54:H56"/>
    <mergeCell ref="I54:I56"/>
    <mergeCell ref="J54:J56"/>
    <mergeCell ref="K54:K56"/>
    <mergeCell ref="L54:L56"/>
    <mergeCell ref="M54:M56"/>
    <mergeCell ref="N50:N51"/>
    <mergeCell ref="B53:H53"/>
    <mergeCell ref="B65:H67"/>
    <mergeCell ref="I65:I67"/>
    <mergeCell ref="J65:J67"/>
    <mergeCell ref="K65:K67"/>
    <mergeCell ref="L65:L67"/>
    <mergeCell ref="M65:M67"/>
    <mergeCell ref="N65:N67"/>
    <mergeCell ref="B60:H64"/>
    <mergeCell ref="I60:I64"/>
    <mergeCell ref="J60:J64"/>
    <mergeCell ref="K60:K64"/>
    <mergeCell ref="L60:L64"/>
    <mergeCell ref="M60:M64"/>
    <mergeCell ref="N60:N64"/>
    <mergeCell ref="B94:H96"/>
    <mergeCell ref="I94:I96"/>
    <mergeCell ref="J94:J96"/>
    <mergeCell ref="K94:K96"/>
    <mergeCell ref="L94:L96"/>
    <mergeCell ref="M94:M96"/>
    <mergeCell ref="N94:N96"/>
    <mergeCell ref="M79:M80"/>
    <mergeCell ref="J83:J86"/>
    <mergeCell ref="B81:H82"/>
    <mergeCell ref="I81:I82"/>
    <mergeCell ref="J81:J82"/>
    <mergeCell ref="K81:K82"/>
    <mergeCell ref="L81:L82"/>
    <mergeCell ref="M81:M82"/>
    <mergeCell ref="N81:N82"/>
    <mergeCell ref="B83:H86"/>
    <mergeCell ref="I83:I86"/>
    <mergeCell ref="B230:F230"/>
    <mergeCell ref="H230:J230"/>
    <mergeCell ref="B232:F233"/>
    <mergeCell ref="H233:J233"/>
    <mergeCell ref="M103:M104"/>
    <mergeCell ref="N103:N104"/>
    <mergeCell ref="B97:H102"/>
    <mergeCell ref="I97:I102"/>
    <mergeCell ref="J97:J102"/>
    <mergeCell ref="K97:K102"/>
    <mergeCell ref="L97:L102"/>
    <mergeCell ref="M97:M102"/>
    <mergeCell ref="B157:H157"/>
    <mergeCell ref="B154:H155"/>
    <mergeCell ref="I154:I155"/>
    <mergeCell ref="J154:J155"/>
    <mergeCell ref="K154:K155"/>
    <mergeCell ref="L154:L155"/>
    <mergeCell ref="M154:M155"/>
    <mergeCell ref="N154:N155"/>
    <mergeCell ref="I158:I160"/>
    <mergeCell ref="J158:J160"/>
    <mergeCell ref="K158:K160"/>
    <mergeCell ref="L158:L160"/>
    <mergeCell ref="C243:D243"/>
    <mergeCell ref="C244:D244"/>
    <mergeCell ref="C245:D245"/>
    <mergeCell ref="C246:D246"/>
    <mergeCell ref="C247:D247"/>
    <mergeCell ref="B5:H7"/>
    <mergeCell ref="B8:H8"/>
    <mergeCell ref="B90:H92"/>
    <mergeCell ref="B237:B238"/>
    <mergeCell ref="C237:D238"/>
    <mergeCell ref="C239:D239"/>
    <mergeCell ref="C240:D240"/>
    <mergeCell ref="C241:D241"/>
    <mergeCell ref="C242:D242"/>
    <mergeCell ref="B103:H104"/>
    <mergeCell ref="B78:H78"/>
    <mergeCell ref="B76:H77"/>
    <mergeCell ref="B73:H75"/>
    <mergeCell ref="B68:H71"/>
    <mergeCell ref="B9:H12"/>
    <mergeCell ref="B152:H152"/>
    <mergeCell ref="B153:H153"/>
    <mergeCell ref="B156:H156"/>
    <mergeCell ref="B158:H160"/>
    <mergeCell ref="B72:H72"/>
    <mergeCell ref="B79:H80"/>
    <mergeCell ref="I79:I80"/>
    <mergeCell ref="J79:J80"/>
    <mergeCell ref="K79:K80"/>
    <mergeCell ref="L79:L80"/>
    <mergeCell ref="N76:N77"/>
    <mergeCell ref="I76:I77"/>
    <mergeCell ref="J76:J77"/>
    <mergeCell ref="K76:K77"/>
    <mergeCell ref="L76:L77"/>
    <mergeCell ref="M76:M77"/>
    <mergeCell ref="I73:I75"/>
    <mergeCell ref="J73:J75"/>
    <mergeCell ref="K73:K75"/>
    <mergeCell ref="L73:L75"/>
    <mergeCell ref="M73:M75"/>
    <mergeCell ref="N73:N75"/>
    <mergeCell ref="N79:N80"/>
    <mergeCell ref="B105:H105"/>
    <mergeCell ref="B93:H93"/>
    <mergeCell ref="I90:I92"/>
    <mergeCell ref="J90:J92"/>
    <mergeCell ref="K90:K92"/>
    <mergeCell ref="L90:L92"/>
    <mergeCell ref="M90:M92"/>
    <mergeCell ref="N90:N92"/>
    <mergeCell ref="K83:K86"/>
    <mergeCell ref="L83:L86"/>
    <mergeCell ref="M83:M86"/>
    <mergeCell ref="N83:N86"/>
    <mergeCell ref="B87:H89"/>
    <mergeCell ref="I87:I89"/>
    <mergeCell ref="J87:J89"/>
    <mergeCell ref="K87:K89"/>
    <mergeCell ref="L87:L89"/>
    <mergeCell ref="M87:M89"/>
    <mergeCell ref="N87:N89"/>
    <mergeCell ref="N97:N102"/>
    <mergeCell ref="I103:I104"/>
    <mergeCell ref="J103:J104"/>
    <mergeCell ref="K103:K104"/>
    <mergeCell ref="L103:L104"/>
    <mergeCell ref="B109:H111"/>
    <mergeCell ref="I109:I111"/>
    <mergeCell ref="J109:J111"/>
    <mergeCell ref="K109:K111"/>
    <mergeCell ref="L109:L111"/>
    <mergeCell ref="M109:M111"/>
    <mergeCell ref="N109:N111"/>
    <mergeCell ref="B108:H108"/>
    <mergeCell ref="B106:H107"/>
    <mergeCell ref="I106:I107"/>
    <mergeCell ref="J106:J107"/>
    <mergeCell ref="K106:K107"/>
    <mergeCell ref="L106:L107"/>
    <mergeCell ref="M106:M107"/>
    <mergeCell ref="N106:N107"/>
    <mergeCell ref="N123:N125"/>
    <mergeCell ref="B123:H125"/>
    <mergeCell ref="I123:I125"/>
    <mergeCell ref="J123:J125"/>
    <mergeCell ref="K123:K125"/>
    <mergeCell ref="L123:L125"/>
    <mergeCell ref="M123:M125"/>
    <mergeCell ref="N112:N114"/>
    <mergeCell ref="B115:H115"/>
    <mergeCell ref="B116:H122"/>
    <mergeCell ref="I116:I122"/>
    <mergeCell ref="J116:J122"/>
    <mergeCell ref="K116:K122"/>
    <mergeCell ref="L116:L122"/>
    <mergeCell ref="M116:M122"/>
    <mergeCell ref="N116:N122"/>
    <mergeCell ref="B112:H114"/>
    <mergeCell ref="I112:I114"/>
    <mergeCell ref="J112:J114"/>
    <mergeCell ref="K112:K114"/>
    <mergeCell ref="L112:L114"/>
    <mergeCell ref="M112:M114"/>
    <mergeCell ref="N140:N146"/>
    <mergeCell ref="N136:N139"/>
    <mergeCell ref="B126:H126"/>
    <mergeCell ref="B127:H131"/>
    <mergeCell ref="I127:I131"/>
    <mergeCell ref="B136:H139"/>
    <mergeCell ref="I136:I139"/>
    <mergeCell ref="J136:J139"/>
    <mergeCell ref="K136:K139"/>
    <mergeCell ref="L136:L139"/>
    <mergeCell ref="M136:M139"/>
    <mergeCell ref="J127:J131"/>
    <mergeCell ref="K127:K131"/>
    <mergeCell ref="L127:L131"/>
    <mergeCell ref="M127:M131"/>
    <mergeCell ref="B149:H150"/>
    <mergeCell ref="I149:I150"/>
    <mergeCell ref="J149:J150"/>
    <mergeCell ref="K149:K150"/>
    <mergeCell ref="L149:L150"/>
    <mergeCell ref="M149:M150"/>
    <mergeCell ref="N149:N150"/>
    <mergeCell ref="B151:H151"/>
    <mergeCell ref="N127:N131"/>
    <mergeCell ref="B132:H135"/>
    <mergeCell ref="I132:I135"/>
    <mergeCell ref="J132:J135"/>
    <mergeCell ref="K132:K135"/>
    <mergeCell ref="L132:L135"/>
    <mergeCell ref="B147:H147"/>
    <mergeCell ref="B148:H148"/>
    <mergeCell ref="M132:M135"/>
    <mergeCell ref="N132:N135"/>
    <mergeCell ref="B140:H146"/>
    <mergeCell ref="I140:I146"/>
    <mergeCell ref="J140:J146"/>
    <mergeCell ref="K140:K146"/>
    <mergeCell ref="L140:L146"/>
    <mergeCell ref="M140:M146"/>
    <mergeCell ref="B161:H161"/>
    <mergeCell ref="B162:H163"/>
    <mergeCell ref="I162:I163"/>
    <mergeCell ref="J162:J163"/>
    <mergeCell ref="K162:K163"/>
    <mergeCell ref="L162:L163"/>
    <mergeCell ref="M162:M163"/>
    <mergeCell ref="N162:N163"/>
    <mergeCell ref="B164:H167"/>
    <mergeCell ref="I164:I167"/>
    <mergeCell ref="J164:J167"/>
    <mergeCell ref="K164:K167"/>
    <mergeCell ref="L164:L167"/>
    <mergeCell ref="M164:M167"/>
    <mergeCell ref="N164:N167"/>
    <mergeCell ref="B168:H168"/>
    <mergeCell ref="B169:H169"/>
    <mergeCell ref="B170:H171"/>
    <mergeCell ref="I170:I171"/>
    <mergeCell ref="J170:J171"/>
    <mergeCell ref="K170:K171"/>
    <mergeCell ref="L170:L171"/>
    <mergeCell ref="M170:M171"/>
    <mergeCell ref="N170:N171"/>
    <mergeCell ref="B175:H177"/>
    <mergeCell ref="I175:I177"/>
    <mergeCell ref="J175:J177"/>
    <mergeCell ref="K175:K177"/>
    <mergeCell ref="L175:L177"/>
    <mergeCell ref="M175:M177"/>
    <mergeCell ref="N175:N177"/>
    <mergeCell ref="B172:H174"/>
    <mergeCell ref="I172:I174"/>
    <mergeCell ref="J172:J174"/>
    <mergeCell ref="K172:K174"/>
    <mergeCell ref="L172:L174"/>
    <mergeCell ref="M172:M174"/>
    <mergeCell ref="N172:N174"/>
    <mergeCell ref="B178:H178"/>
    <mergeCell ref="B179:H181"/>
    <mergeCell ref="I179:I181"/>
    <mergeCell ref="J179:J181"/>
    <mergeCell ref="K179:K181"/>
    <mergeCell ref="L179:L181"/>
    <mergeCell ref="M179:M181"/>
    <mergeCell ref="N179:N181"/>
    <mergeCell ref="B189:H190"/>
    <mergeCell ref="I189:I190"/>
    <mergeCell ref="J189:J190"/>
    <mergeCell ref="K189:K190"/>
    <mergeCell ref="L189:L190"/>
    <mergeCell ref="M189:M190"/>
    <mergeCell ref="N189:N190"/>
    <mergeCell ref="B182:H182"/>
    <mergeCell ref="B183:H184"/>
    <mergeCell ref="I183:I184"/>
    <mergeCell ref="J183:J184"/>
    <mergeCell ref="K183:K184"/>
    <mergeCell ref="L183:L184"/>
    <mergeCell ref="M183:M184"/>
    <mergeCell ref="N183:N184"/>
    <mergeCell ref="B185:H186"/>
    <mergeCell ref="I185:I186"/>
    <mergeCell ref="J185:J186"/>
    <mergeCell ref="K185:K186"/>
    <mergeCell ref="L185:L186"/>
    <mergeCell ref="M185:M186"/>
    <mergeCell ref="N185:N186"/>
    <mergeCell ref="B191:H191"/>
    <mergeCell ref="B192:H195"/>
    <mergeCell ref="I192:I195"/>
    <mergeCell ref="J192:J195"/>
    <mergeCell ref="K192:K195"/>
    <mergeCell ref="L192:L195"/>
    <mergeCell ref="M192:M195"/>
    <mergeCell ref="N192:N195"/>
    <mergeCell ref="B187:H188"/>
    <mergeCell ref="I187:I188"/>
    <mergeCell ref="J187:J188"/>
    <mergeCell ref="K187:K188"/>
    <mergeCell ref="L187:L188"/>
    <mergeCell ref="M187:M188"/>
    <mergeCell ref="N187:N188"/>
    <mergeCell ref="B200:H200"/>
    <mergeCell ref="B201:H203"/>
    <mergeCell ref="I201:I203"/>
    <mergeCell ref="J201:J203"/>
    <mergeCell ref="K201:K203"/>
    <mergeCell ref="L201:L203"/>
    <mergeCell ref="M201:M203"/>
    <mergeCell ref="N201:N203"/>
    <mergeCell ref="B196:H196"/>
    <mergeCell ref="B197:H199"/>
    <mergeCell ref="I197:I199"/>
    <mergeCell ref="J197:J199"/>
    <mergeCell ref="K197:K199"/>
    <mergeCell ref="L197:L199"/>
    <mergeCell ref="M197:M199"/>
    <mergeCell ref="N197:N199"/>
    <mergeCell ref="B226:F227"/>
    <mergeCell ref="B204:H206"/>
    <mergeCell ref="I204:I206"/>
    <mergeCell ref="J204:J206"/>
    <mergeCell ref="K204:K206"/>
    <mergeCell ref="L204:L206"/>
    <mergeCell ref="M204:M206"/>
    <mergeCell ref="N204:N206"/>
    <mergeCell ref="B207:H209"/>
    <mergeCell ref="I207:I209"/>
    <mergeCell ref="J207:J209"/>
    <mergeCell ref="K207:K209"/>
    <mergeCell ref="L207:L209"/>
    <mergeCell ref="M207:M209"/>
    <mergeCell ref="N207:N209"/>
    <mergeCell ref="H227:J227"/>
    <mergeCell ref="B211:J212"/>
    <mergeCell ref="B215:F215"/>
    <mergeCell ref="H215:J215"/>
    <mergeCell ref="B218:F218"/>
    <mergeCell ref="H218:J218"/>
    <mergeCell ref="B220:F221"/>
    <mergeCell ref="H221:J221"/>
    <mergeCell ref="B223:J224"/>
  </mergeCells>
  <conditionalFormatting sqref="M9:M11 M93 M109:M111">
    <cfRule type="expression" dxfId="197" priority="482">
      <formula>M9="JA"</formula>
    </cfRule>
  </conditionalFormatting>
  <conditionalFormatting sqref="B239:B246">
    <cfRule type="cellIs" dxfId="196" priority="478" operator="greaterThan">
      <formula>0</formula>
    </cfRule>
  </conditionalFormatting>
  <conditionalFormatting sqref="C239:D247">
    <cfRule type="cellIs" dxfId="195" priority="476" operator="greaterThan">
      <formula>0</formula>
    </cfRule>
    <cfRule type="expression" dxfId="194" priority="477">
      <formula>$B239&gt;=1</formula>
    </cfRule>
  </conditionalFormatting>
  <conditionalFormatting sqref="J9:J11 J87:J89 J81 J93 J123:J125 J108:J111 J200:J203 J169:J174 J153:J160 J148:J151 J185:J186 J189:J191">
    <cfRule type="expression" dxfId="193" priority="483">
      <formula>I9="ja"</formula>
    </cfRule>
  </conditionalFormatting>
  <conditionalFormatting sqref="K9:K11 K148:K151">
    <cfRule type="expression" dxfId="192" priority="474">
      <formula>I9="ja"</formula>
    </cfRule>
  </conditionalFormatting>
  <conditionalFormatting sqref="M13:M16">
    <cfRule type="expression" dxfId="191" priority="451">
      <formula>M13="JA"</formula>
    </cfRule>
  </conditionalFormatting>
  <conditionalFormatting sqref="M18">
    <cfRule type="expression" dxfId="190" priority="450">
      <formula>M18="JA"</formula>
    </cfRule>
  </conditionalFormatting>
  <conditionalFormatting sqref="M21:M24">
    <cfRule type="expression" dxfId="189" priority="449">
      <formula>M21="JA"</formula>
    </cfRule>
  </conditionalFormatting>
  <conditionalFormatting sqref="M26">
    <cfRule type="expression" dxfId="188" priority="448">
      <formula>M26="JA"</formula>
    </cfRule>
  </conditionalFormatting>
  <conditionalFormatting sqref="M28">
    <cfRule type="expression" dxfId="187" priority="447">
      <formula>M28="JA"</formula>
    </cfRule>
  </conditionalFormatting>
  <conditionalFormatting sqref="M30:M31">
    <cfRule type="expression" dxfId="186" priority="446">
      <formula>M30="JA"</formula>
    </cfRule>
  </conditionalFormatting>
  <conditionalFormatting sqref="M33">
    <cfRule type="expression" dxfId="185" priority="445">
      <formula>M33="JA"</formula>
    </cfRule>
  </conditionalFormatting>
  <conditionalFormatting sqref="M35:M37">
    <cfRule type="expression" dxfId="184" priority="444">
      <formula>M35="JA"</formula>
    </cfRule>
  </conditionalFormatting>
  <conditionalFormatting sqref="M39:M43">
    <cfRule type="expression" dxfId="183" priority="443">
      <formula>M39="JA"</formula>
    </cfRule>
  </conditionalFormatting>
  <conditionalFormatting sqref="M45:M48">
    <cfRule type="expression" dxfId="182" priority="442">
      <formula>M45="JA"</formula>
    </cfRule>
  </conditionalFormatting>
  <conditionalFormatting sqref="M50">
    <cfRule type="expression" dxfId="181" priority="441">
      <formula>M50="JA"</formula>
    </cfRule>
  </conditionalFormatting>
  <conditionalFormatting sqref="M52">
    <cfRule type="expression" dxfId="180" priority="440">
      <formula>M52="JA"</formula>
    </cfRule>
  </conditionalFormatting>
  <conditionalFormatting sqref="M54:M55">
    <cfRule type="expression" dxfId="179" priority="439">
      <formula>M54="JA"</formula>
    </cfRule>
  </conditionalFormatting>
  <conditionalFormatting sqref="M57:M58">
    <cfRule type="expression" dxfId="178" priority="438">
      <formula>M57="JA"</formula>
    </cfRule>
  </conditionalFormatting>
  <conditionalFormatting sqref="M65:M66">
    <cfRule type="expression" dxfId="177" priority="436">
      <formula>M65="JA"</formula>
    </cfRule>
  </conditionalFormatting>
  <conditionalFormatting sqref="M68:M70">
    <cfRule type="expression" dxfId="176" priority="435">
      <formula>M68="JA"</formula>
    </cfRule>
  </conditionalFormatting>
  <conditionalFormatting sqref="J35:J37">
    <cfRule type="expression" dxfId="175" priority="409">
      <formula>I35="ja"</formula>
    </cfRule>
  </conditionalFormatting>
  <conditionalFormatting sqref="J39:J43">
    <cfRule type="expression" dxfId="174" priority="407">
      <formula>I39="ja"</formula>
    </cfRule>
  </conditionalFormatting>
  <conditionalFormatting sqref="J45:J48">
    <cfRule type="expression" dxfId="173" priority="405">
      <formula>I45="ja"</formula>
    </cfRule>
  </conditionalFormatting>
  <conditionalFormatting sqref="J50">
    <cfRule type="expression" dxfId="172" priority="403">
      <formula>I50="ja"</formula>
    </cfRule>
  </conditionalFormatting>
  <conditionalFormatting sqref="J52">
    <cfRule type="expression" dxfId="171" priority="401">
      <formula>I52="ja"</formula>
    </cfRule>
  </conditionalFormatting>
  <conditionalFormatting sqref="J54:J55">
    <cfRule type="expression" dxfId="170" priority="399">
      <formula>I54="ja"</formula>
    </cfRule>
  </conditionalFormatting>
  <conditionalFormatting sqref="J57:J58">
    <cfRule type="expression" dxfId="169" priority="397">
      <formula>I57="ja"</formula>
    </cfRule>
  </conditionalFormatting>
  <conditionalFormatting sqref="J60:J63">
    <cfRule type="expression" dxfId="168" priority="395">
      <formula>I60="ja"</formula>
    </cfRule>
  </conditionalFormatting>
  <conditionalFormatting sqref="J65:J66">
    <cfRule type="expression" dxfId="167" priority="393">
      <formula>I65="ja"</formula>
    </cfRule>
  </conditionalFormatting>
  <conditionalFormatting sqref="J68:J70">
    <cfRule type="expression" dxfId="166" priority="391">
      <formula>I68="ja"</formula>
    </cfRule>
  </conditionalFormatting>
  <conditionalFormatting sqref="J13:J16">
    <cfRule type="expression" dxfId="165" priority="357">
      <formula>I13="ja"</formula>
    </cfRule>
  </conditionalFormatting>
  <conditionalFormatting sqref="K13:K16">
    <cfRule type="expression" dxfId="164" priority="356">
      <formula>I13="ja"</formula>
    </cfRule>
  </conditionalFormatting>
  <conditionalFormatting sqref="J18">
    <cfRule type="expression" dxfId="163" priority="355">
      <formula>I18="ja"</formula>
    </cfRule>
  </conditionalFormatting>
  <conditionalFormatting sqref="K18">
    <cfRule type="expression" dxfId="162" priority="354">
      <formula>I18="ja"</formula>
    </cfRule>
  </conditionalFormatting>
  <conditionalFormatting sqref="J21:J24">
    <cfRule type="expression" dxfId="161" priority="353">
      <formula>I21="ja"</formula>
    </cfRule>
  </conditionalFormatting>
  <conditionalFormatting sqref="J26">
    <cfRule type="expression" dxfId="160" priority="351">
      <formula>I26="ja"</formula>
    </cfRule>
  </conditionalFormatting>
  <conditionalFormatting sqref="J28">
    <cfRule type="expression" dxfId="159" priority="349">
      <formula>I28="ja"</formula>
    </cfRule>
  </conditionalFormatting>
  <conditionalFormatting sqref="J30:J31">
    <cfRule type="expression" dxfId="158" priority="347">
      <formula>I30="ja"</formula>
    </cfRule>
  </conditionalFormatting>
  <conditionalFormatting sqref="J33">
    <cfRule type="expression" dxfId="157" priority="345">
      <formula>I33="ja"</formula>
    </cfRule>
  </conditionalFormatting>
  <conditionalFormatting sqref="B247">
    <cfRule type="cellIs" dxfId="156" priority="343" operator="greaterThan">
      <formula>0</formula>
    </cfRule>
  </conditionalFormatting>
  <conditionalFormatting sqref="M73:M74">
    <cfRule type="expression" dxfId="155" priority="342">
      <formula>M73="JA"</formula>
    </cfRule>
  </conditionalFormatting>
  <conditionalFormatting sqref="J73:J74">
    <cfRule type="expression" dxfId="154" priority="341">
      <formula>I73="ja"</formula>
    </cfRule>
  </conditionalFormatting>
  <conditionalFormatting sqref="J76">
    <cfRule type="expression" dxfId="153" priority="339">
      <formula>I76="ja"</formula>
    </cfRule>
  </conditionalFormatting>
  <conditionalFormatting sqref="M97:M101">
    <cfRule type="expression" dxfId="152" priority="325">
      <formula>M97="JA"</formula>
    </cfRule>
  </conditionalFormatting>
  <conditionalFormatting sqref="M103">
    <cfRule type="expression" dxfId="151" priority="322">
      <formula>M103="JA"</formula>
    </cfRule>
  </conditionalFormatting>
  <conditionalFormatting sqref="M78">
    <cfRule type="expression" dxfId="150" priority="336">
      <formula>M78="JA"</formula>
    </cfRule>
  </conditionalFormatting>
  <conditionalFormatting sqref="J78:J79">
    <cfRule type="expression" dxfId="149" priority="334">
      <formula>I78="ja"</formula>
    </cfRule>
  </conditionalFormatting>
  <conditionalFormatting sqref="K79">
    <cfRule type="expression" dxfId="148" priority="333">
      <formula>I79="ja"</formula>
    </cfRule>
  </conditionalFormatting>
  <conditionalFormatting sqref="J94:J95">
    <cfRule type="expression" dxfId="147" priority="329">
      <formula>I94="ja"</formula>
    </cfRule>
  </conditionalFormatting>
  <conditionalFormatting sqref="J97:J101">
    <cfRule type="expression" dxfId="146" priority="327">
      <formula>I97="ja"</formula>
    </cfRule>
  </conditionalFormatting>
  <conditionalFormatting sqref="J103">
    <cfRule type="expression" dxfId="145" priority="324">
      <formula>I103="ja"</formula>
    </cfRule>
  </conditionalFormatting>
  <conditionalFormatting sqref="M83:M85">
    <cfRule type="expression" dxfId="144" priority="309">
      <formula>M83="JA"</formula>
    </cfRule>
  </conditionalFormatting>
  <conditionalFormatting sqref="M87:M89">
    <cfRule type="expression" dxfId="143" priority="308">
      <formula>M87="JA"</formula>
    </cfRule>
  </conditionalFormatting>
  <conditionalFormatting sqref="J83:J85">
    <cfRule type="expression" dxfId="142" priority="303">
      <formula>I83="ja"</formula>
    </cfRule>
  </conditionalFormatting>
  <conditionalFormatting sqref="J90:J91">
    <cfRule type="expression" dxfId="141" priority="299">
      <formula>I90="ja"</formula>
    </cfRule>
  </conditionalFormatting>
  <conditionalFormatting sqref="M108">
    <cfRule type="expression" dxfId="140" priority="279">
      <formula>M108="JA"</formula>
    </cfRule>
  </conditionalFormatting>
  <conditionalFormatting sqref="J106">
    <cfRule type="expression" dxfId="139" priority="295">
      <formula>I106="ja"</formula>
    </cfRule>
  </conditionalFormatting>
  <conditionalFormatting sqref="M127:M130">
    <cfRule type="expression" dxfId="138" priority="242">
      <formula>M127="JA"</formula>
    </cfRule>
  </conditionalFormatting>
  <conditionalFormatting sqref="M140:M145">
    <cfRule type="expression" dxfId="137" priority="239">
      <formula>M140="JA"</formula>
    </cfRule>
  </conditionalFormatting>
  <conditionalFormatting sqref="J105">
    <cfRule type="expression" dxfId="136" priority="291">
      <formula>I105="ja"</formula>
    </cfRule>
  </conditionalFormatting>
  <conditionalFormatting sqref="K105">
    <cfRule type="expression" dxfId="135" priority="290">
      <formula>I105="ja"</formula>
    </cfRule>
  </conditionalFormatting>
  <conditionalFormatting sqref="J136:J139 J127:J130">
    <cfRule type="expression" dxfId="134" priority="257">
      <formula>I127="ja"</formula>
    </cfRule>
  </conditionalFormatting>
  <conditionalFormatting sqref="J112:J113">
    <cfRule type="expression" dxfId="133" priority="274">
      <formula>I112="ja"</formula>
    </cfRule>
  </conditionalFormatting>
  <conditionalFormatting sqref="J116:J121">
    <cfRule type="expression" dxfId="132" priority="269">
      <formula>I116="ja"</formula>
    </cfRule>
  </conditionalFormatting>
  <conditionalFormatting sqref="J115">
    <cfRule type="expression" dxfId="131" priority="266">
      <formula>I115="ja"</formula>
    </cfRule>
  </conditionalFormatting>
  <conditionalFormatting sqref="K115">
    <cfRule type="expression" dxfId="130" priority="265">
      <formula>I115="ja"</formula>
    </cfRule>
  </conditionalFormatting>
  <conditionalFormatting sqref="M116:M121">
    <cfRule type="expression" dxfId="129" priority="264">
      <formula>M116="JA"</formula>
    </cfRule>
  </conditionalFormatting>
  <conditionalFormatting sqref="M123:M125">
    <cfRule type="expression" dxfId="128" priority="263">
      <formula>M123="JA"</formula>
    </cfRule>
  </conditionalFormatting>
  <conditionalFormatting sqref="J126">
    <cfRule type="expression" dxfId="127" priority="253">
      <formula>I126="ja"</formula>
    </cfRule>
  </conditionalFormatting>
  <conditionalFormatting sqref="K126">
    <cfRule type="expression" dxfId="126" priority="252">
      <formula>I126="ja"</formula>
    </cfRule>
  </conditionalFormatting>
  <conditionalFormatting sqref="M132:M134">
    <cfRule type="expression" dxfId="125" priority="241">
      <formula>M132="JA"</formula>
    </cfRule>
  </conditionalFormatting>
  <conditionalFormatting sqref="J132:J134">
    <cfRule type="expression" dxfId="124" priority="238">
      <formula>I132="ja"</formula>
    </cfRule>
  </conditionalFormatting>
  <conditionalFormatting sqref="J140:J145">
    <cfRule type="expression" dxfId="123" priority="236">
      <formula>I140="ja"</formula>
    </cfRule>
  </conditionalFormatting>
  <conditionalFormatting sqref="J147">
    <cfRule type="expression" dxfId="122" priority="231">
      <formula>I147="ja"</formula>
    </cfRule>
  </conditionalFormatting>
  <conditionalFormatting sqref="K147">
    <cfRule type="expression" dxfId="121" priority="230">
      <formula>I147="ja"</formula>
    </cfRule>
  </conditionalFormatting>
  <conditionalFormatting sqref="M148">
    <cfRule type="expression" dxfId="120" priority="229">
      <formula>M148="JA"</formula>
    </cfRule>
  </conditionalFormatting>
  <conditionalFormatting sqref="M151">
    <cfRule type="expression" dxfId="119" priority="227">
      <formula>M151="JA"</formula>
    </cfRule>
  </conditionalFormatting>
  <conditionalFormatting sqref="M153">
    <cfRule type="expression" dxfId="118" priority="216">
      <formula>M153="JA"</formula>
    </cfRule>
  </conditionalFormatting>
  <conditionalFormatting sqref="J152">
    <cfRule type="expression" dxfId="117" priority="218">
      <formula>I152="ja"</formula>
    </cfRule>
  </conditionalFormatting>
  <conditionalFormatting sqref="K152">
    <cfRule type="expression" dxfId="116" priority="217">
      <formula>I152="ja"</formula>
    </cfRule>
  </conditionalFormatting>
  <conditionalFormatting sqref="M158:M160">
    <cfRule type="expression" dxfId="115" priority="208">
      <formula>M158="JA"</formula>
    </cfRule>
  </conditionalFormatting>
  <conditionalFormatting sqref="J164:J166">
    <cfRule type="expression" dxfId="114" priority="197">
      <formula>I164="ja"</formula>
    </cfRule>
  </conditionalFormatting>
  <conditionalFormatting sqref="J162:J163">
    <cfRule type="expression" dxfId="113" priority="205">
      <formula>I162="ja"</formula>
    </cfRule>
  </conditionalFormatting>
  <conditionalFormatting sqref="J161">
    <cfRule type="expression" dxfId="112" priority="202">
      <formula>I161="ja"</formula>
    </cfRule>
  </conditionalFormatting>
  <conditionalFormatting sqref="K161">
    <cfRule type="expression" dxfId="111" priority="201">
      <formula>I161="ja"</formula>
    </cfRule>
  </conditionalFormatting>
  <conditionalFormatting sqref="M164:M166">
    <cfRule type="expression" dxfId="110" priority="199">
      <formula>M164="JA"</formula>
    </cfRule>
  </conditionalFormatting>
  <conditionalFormatting sqref="M172:M174">
    <cfRule type="expression" dxfId="109" priority="182">
      <formula>M172="JA"</formula>
    </cfRule>
  </conditionalFormatting>
  <conditionalFormatting sqref="J175:J177">
    <cfRule type="expression" dxfId="108" priority="175">
      <formula>I175="ja"</formula>
    </cfRule>
  </conditionalFormatting>
  <conditionalFormatting sqref="M169">
    <cfRule type="expression" dxfId="107" priority="184">
      <formula>M169="JA"</formula>
    </cfRule>
  </conditionalFormatting>
  <conditionalFormatting sqref="J168">
    <cfRule type="expression" dxfId="106" priority="186">
      <formula>I168="ja"</formula>
    </cfRule>
  </conditionalFormatting>
  <conditionalFormatting sqref="K168">
    <cfRule type="expression" dxfId="105" priority="185">
      <formula>I168="ja"</formula>
    </cfRule>
  </conditionalFormatting>
  <conditionalFormatting sqref="J192:J194">
    <cfRule type="expression" dxfId="104" priority="162">
      <formula>I192="ja"</formula>
    </cfRule>
  </conditionalFormatting>
  <conditionalFormatting sqref="M192:M194">
    <cfRule type="expression" dxfId="103" priority="163">
      <formula>M192="JA"</formula>
    </cfRule>
  </conditionalFormatting>
  <conditionalFormatting sqref="M191">
    <cfRule type="expression" dxfId="102" priority="166">
      <formula>M191="JA"</formula>
    </cfRule>
  </conditionalFormatting>
  <conditionalFormatting sqref="J179:J180">
    <cfRule type="expression" dxfId="101" priority="173">
      <formula>I179="ja"</formula>
    </cfRule>
  </conditionalFormatting>
  <conditionalFormatting sqref="J178">
    <cfRule type="expression" dxfId="100" priority="170">
      <formula>I178="ja"</formula>
    </cfRule>
  </conditionalFormatting>
  <conditionalFormatting sqref="K178">
    <cfRule type="expression" dxfId="99" priority="169">
      <formula>I178="ja"</formula>
    </cfRule>
  </conditionalFormatting>
  <conditionalFormatting sqref="J204:J206">
    <cfRule type="expression" dxfId="98" priority="127">
      <formula>I204="ja"</formula>
    </cfRule>
  </conditionalFormatting>
  <conditionalFormatting sqref="M204:M206">
    <cfRule type="expression" dxfId="97" priority="128">
      <formula>M204="JA"</formula>
    </cfRule>
  </conditionalFormatting>
  <conditionalFormatting sqref="J183:J184">
    <cfRule type="expression" dxfId="96" priority="160">
      <formula>I183="ja"</formula>
    </cfRule>
  </conditionalFormatting>
  <conditionalFormatting sqref="J182">
    <cfRule type="expression" dxfId="95" priority="157">
      <formula>I182="ja"</formula>
    </cfRule>
  </conditionalFormatting>
  <conditionalFormatting sqref="K182">
    <cfRule type="expression" dxfId="94" priority="156">
      <formula>I182="ja"</formula>
    </cfRule>
  </conditionalFormatting>
  <conditionalFormatting sqref="J207:J209">
    <cfRule type="expression" dxfId="93" priority="143">
      <formula>I207="ja"</formula>
    </cfRule>
  </conditionalFormatting>
  <conditionalFormatting sqref="M207:M209">
    <cfRule type="expression" dxfId="92" priority="145">
      <formula>M207="JA"</formula>
    </cfRule>
  </conditionalFormatting>
  <conditionalFormatting sqref="M197:M198">
    <cfRule type="expression" dxfId="91" priority="133">
      <formula>M197="JA"</formula>
    </cfRule>
  </conditionalFormatting>
  <conditionalFormatting sqref="J197:J198">
    <cfRule type="expression" dxfId="90" priority="138">
      <formula>I197="ja"</formula>
    </cfRule>
  </conditionalFormatting>
  <conditionalFormatting sqref="J196">
    <cfRule type="expression" dxfId="89" priority="135">
      <formula>I196="ja"</formula>
    </cfRule>
  </conditionalFormatting>
  <conditionalFormatting sqref="K196">
    <cfRule type="expression" dxfId="88" priority="134">
      <formula>I196="ja"</formula>
    </cfRule>
  </conditionalFormatting>
  <conditionalFormatting sqref="M200">
    <cfRule type="expression" dxfId="87" priority="132">
      <formula>M200="JA"</formula>
    </cfRule>
  </conditionalFormatting>
  <conditionalFormatting sqref="K93">
    <cfRule type="expression" dxfId="86" priority="100">
      <formula>I93="ja"</formula>
    </cfRule>
  </conditionalFormatting>
  <conditionalFormatting sqref="J187">
    <cfRule type="expression" dxfId="85" priority="80">
      <formula>I187="ja"</formula>
    </cfRule>
  </conditionalFormatting>
  <conditionalFormatting sqref="K21:K24">
    <cfRule type="expression" dxfId="84" priority="78">
      <formula>I21="ja"</formula>
    </cfRule>
  </conditionalFormatting>
  <conditionalFormatting sqref="K26">
    <cfRule type="expression" dxfId="83" priority="77">
      <formula>I26="ja"</formula>
    </cfRule>
  </conditionalFormatting>
  <conditionalFormatting sqref="K28">
    <cfRule type="expression" dxfId="82" priority="76">
      <formula>I28="ja"</formula>
    </cfRule>
  </conditionalFormatting>
  <conditionalFormatting sqref="K35:K37">
    <cfRule type="expression" dxfId="81" priority="75">
      <formula>I35="ja"</formula>
    </cfRule>
  </conditionalFormatting>
  <conditionalFormatting sqref="K50">
    <cfRule type="expression" dxfId="80" priority="74">
      <formula>I50="ja"</formula>
    </cfRule>
  </conditionalFormatting>
  <conditionalFormatting sqref="K52">
    <cfRule type="expression" dxfId="79" priority="73">
      <formula>I52="ja"</formula>
    </cfRule>
  </conditionalFormatting>
  <conditionalFormatting sqref="K39">
    <cfRule type="expression" dxfId="78" priority="72">
      <formula>I39="ja"</formula>
    </cfRule>
  </conditionalFormatting>
  <conditionalFormatting sqref="K30:K32">
    <cfRule type="expression" dxfId="77" priority="71">
      <formula>I30="ja"</formula>
    </cfRule>
  </conditionalFormatting>
  <conditionalFormatting sqref="K33:K34">
    <cfRule type="expression" dxfId="76" priority="70">
      <formula>I33="ja"</formula>
    </cfRule>
  </conditionalFormatting>
  <conditionalFormatting sqref="K45">
    <cfRule type="expression" dxfId="75" priority="69">
      <formula>I45="ja"</formula>
    </cfRule>
  </conditionalFormatting>
  <conditionalFormatting sqref="K60">
    <cfRule type="expression" dxfId="74" priority="68">
      <formula>I60="ja"</formula>
    </cfRule>
  </conditionalFormatting>
  <conditionalFormatting sqref="K54">
    <cfRule type="expression" dxfId="73" priority="67">
      <formula>I54="ja"</formula>
    </cfRule>
  </conditionalFormatting>
  <conditionalFormatting sqref="K57">
    <cfRule type="expression" dxfId="72" priority="66">
      <formula>I57="ja"</formula>
    </cfRule>
  </conditionalFormatting>
  <conditionalFormatting sqref="K65">
    <cfRule type="expression" dxfId="71" priority="65">
      <formula>I65="ja"</formula>
    </cfRule>
  </conditionalFormatting>
  <conditionalFormatting sqref="K68">
    <cfRule type="expression" dxfId="70" priority="64">
      <formula>I68="ja"</formula>
    </cfRule>
  </conditionalFormatting>
  <conditionalFormatting sqref="K73">
    <cfRule type="expression" dxfId="69" priority="63">
      <formula>I73="ja"</formula>
    </cfRule>
  </conditionalFormatting>
  <conditionalFormatting sqref="K76">
    <cfRule type="expression" dxfId="68" priority="62">
      <formula>I76="ja"</formula>
    </cfRule>
  </conditionalFormatting>
  <conditionalFormatting sqref="K78">
    <cfRule type="expression" dxfId="67" priority="61">
      <formula>I78="ja"</formula>
    </cfRule>
  </conditionalFormatting>
  <conditionalFormatting sqref="K108">
    <cfRule type="expression" dxfId="66" priority="60">
      <formula>I108="ja"</formula>
    </cfRule>
  </conditionalFormatting>
  <conditionalFormatting sqref="K156">
    <cfRule type="expression" dxfId="65" priority="59">
      <formula>I156="ja"</formula>
    </cfRule>
  </conditionalFormatting>
  <conditionalFormatting sqref="K153">
    <cfRule type="expression" dxfId="64" priority="58">
      <formula>I153="ja"</formula>
    </cfRule>
  </conditionalFormatting>
  <conditionalFormatting sqref="K157">
    <cfRule type="expression" dxfId="63" priority="57">
      <formula>I157="ja"</formula>
    </cfRule>
  </conditionalFormatting>
  <conditionalFormatting sqref="K169">
    <cfRule type="expression" dxfId="62" priority="56">
      <formula>I169="ja"</formula>
    </cfRule>
  </conditionalFormatting>
  <conditionalFormatting sqref="K191">
    <cfRule type="expression" dxfId="61" priority="55">
      <formula>I191="ja"</formula>
    </cfRule>
  </conditionalFormatting>
  <conditionalFormatting sqref="K200">
    <cfRule type="expression" dxfId="60" priority="54">
      <formula>I200="ja"</formula>
    </cfRule>
  </conditionalFormatting>
  <conditionalFormatting sqref="K81">
    <cfRule type="expression" dxfId="59" priority="53">
      <formula>I81="ja"</formula>
    </cfRule>
  </conditionalFormatting>
  <conditionalFormatting sqref="K87">
    <cfRule type="expression" dxfId="58" priority="52">
      <formula>I87="ja"</formula>
    </cfRule>
  </conditionalFormatting>
  <conditionalFormatting sqref="K83">
    <cfRule type="expression" dxfId="57" priority="51">
      <formula>I83="ja"</formula>
    </cfRule>
  </conditionalFormatting>
  <conditionalFormatting sqref="K90">
    <cfRule type="expression" dxfId="56" priority="50">
      <formula>I90="ja"</formula>
    </cfRule>
  </conditionalFormatting>
  <conditionalFormatting sqref="K94">
    <cfRule type="expression" dxfId="55" priority="49">
      <formula>I94="ja"</formula>
    </cfRule>
  </conditionalFormatting>
  <conditionalFormatting sqref="K97">
    <cfRule type="expression" dxfId="54" priority="48">
      <formula>I97="ja"</formula>
    </cfRule>
  </conditionalFormatting>
  <conditionalFormatting sqref="K103">
    <cfRule type="expression" dxfId="53" priority="47">
      <formula>I103="ja"</formula>
    </cfRule>
  </conditionalFormatting>
  <conditionalFormatting sqref="K106">
    <cfRule type="expression" dxfId="52" priority="46">
      <formula>I106="ja"</formula>
    </cfRule>
  </conditionalFormatting>
  <conditionalFormatting sqref="K109">
    <cfRule type="expression" dxfId="51" priority="45">
      <formula>I109="ja"</formula>
    </cfRule>
  </conditionalFormatting>
  <conditionalFormatting sqref="K112">
    <cfRule type="expression" dxfId="50" priority="44">
      <formula>I112="ja"</formula>
    </cfRule>
  </conditionalFormatting>
  <conditionalFormatting sqref="K123">
    <cfRule type="expression" dxfId="49" priority="43">
      <formula>I123="ja"</formula>
    </cfRule>
  </conditionalFormatting>
  <conditionalFormatting sqref="K116:K122">
    <cfRule type="expression" dxfId="48" priority="42">
      <formula>I116="ja"</formula>
    </cfRule>
  </conditionalFormatting>
  <conditionalFormatting sqref="K140:K146">
    <cfRule type="expression" dxfId="47" priority="41">
      <formula>I140="ja"</formula>
    </cfRule>
  </conditionalFormatting>
  <conditionalFormatting sqref="K158">
    <cfRule type="expression" dxfId="46" priority="40">
      <formula>I158="ja"</formula>
    </cfRule>
  </conditionalFormatting>
  <conditionalFormatting sqref="K172">
    <cfRule type="expression" dxfId="45" priority="39">
      <formula>I172="ja"</formula>
    </cfRule>
  </conditionalFormatting>
  <conditionalFormatting sqref="K175">
    <cfRule type="expression" dxfId="44" priority="38">
      <formula>I175="ja"</formula>
    </cfRule>
  </conditionalFormatting>
  <conditionalFormatting sqref="K179">
    <cfRule type="expression" dxfId="43" priority="37">
      <formula>I179="ja"</formula>
    </cfRule>
  </conditionalFormatting>
  <conditionalFormatting sqref="K201">
    <cfRule type="expression" dxfId="42" priority="36">
      <formula>I201="ja"</formula>
    </cfRule>
  </conditionalFormatting>
  <conditionalFormatting sqref="K204">
    <cfRule type="expression" dxfId="41" priority="35">
      <formula>I204="ja"</formula>
    </cfRule>
  </conditionalFormatting>
  <conditionalFormatting sqref="K207">
    <cfRule type="expression" dxfId="40" priority="34">
      <formula>I207="ja"</formula>
    </cfRule>
  </conditionalFormatting>
  <conditionalFormatting sqref="K197">
    <cfRule type="expression" dxfId="39" priority="33">
      <formula>I197="ja"</formula>
    </cfRule>
  </conditionalFormatting>
  <conditionalFormatting sqref="K154:K155">
    <cfRule type="expression" dxfId="38" priority="32">
      <formula>I154="ja"</formula>
    </cfRule>
  </conditionalFormatting>
  <conditionalFormatting sqref="K162:K163">
    <cfRule type="expression" dxfId="37" priority="31">
      <formula>I162="ja"</formula>
    </cfRule>
  </conditionalFormatting>
  <conditionalFormatting sqref="K170:K171">
    <cfRule type="expression" dxfId="36" priority="30">
      <formula>I170="ja"</formula>
    </cfRule>
  </conditionalFormatting>
  <conditionalFormatting sqref="K183:K184">
    <cfRule type="expression" dxfId="35" priority="29">
      <formula>I183="ja"</formula>
    </cfRule>
  </conditionalFormatting>
  <conditionalFormatting sqref="K185:K186">
    <cfRule type="expression" dxfId="34" priority="28">
      <formula>I185="ja"</formula>
    </cfRule>
  </conditionalFormatting>
  <conditionalFormatting sqref="K187:K188">
    <cfRule type="expression" dxfId="33" priority="27">
      <formula>I187="ja"</formula>
    </cfRule>
  </conditionalFormatting>
  <conditionalFormatting sqref="K189:K190">
    <cfRule type="expression" dxfId="32" priority="26">
      <formula>I189="ja"</formula>
    </cfRule>
  </conditionalFormatting>
  <conditionalFormatting sqref="K132:K134">
    <cfRule type="expression" dxfId="31" priority="25">
      <formula>I132="ja"</formula>
    </cfRule>
  </conditionalFormatting>
  <conditionalFormatting sqref="K136:K138">
    <cfRule type="expression" dxfId="30" priority="24">
      <formula>I136="ja"</formula>
    </cfRule>
  </conditionalFormatting>
  <conditionalFormatting sqref="K164:K166">
    <cfRule type="expression" dxfId="29" priority="23">
      <formula>I164="ja"</formula>
    </cfRule>
  </conditionalFormatting>
  <conditionalFormatting sqref="K192:K194">
    <cfRule type="expression" dxfId="28" priority="22">
      <formula>I192="ja"</formula>
    </cfRule>
  </conditionalFormatting>
  <conditionalFormatting sqref="K127:K131">
    <cfRule type="expression" dxfId="27" priority="21">
      <formula>I127="ja"</formula>
    </cfRule>
  </conditionalFormatting>
  <conditionalFormatting sqref="M76">
    <cfRule type="expression" dxfId="26" priority="20">
      <formula>M76="JA"</formula>
    </cfRule>
  </conditionalFormatting>
  <conditionalFormatting sqref="M106">
    <cfRule type="expression" dxfId="25" priority="18">
      <formula>M106="JA"</formula>
    </cfRule>
  </conditionalFormatting>
  <conditionalFormatting sqref="M154">
    <cfRule type="expression" dxfId="24" priority="17">
      <formula>M154="JA"</formula>
    </cfRule>
  </conditionalFormatting>
  <conditionalFormatting sqref="M162">
    <cfRule type="expression" dxfId="23" priority="16">
      <formula>M162="JA"</formula>
    </cfRule>
  </conditionalFormatting>
  <conditionalFormatting sqref="M170">
    <cfRule type="expression" dxfId="22" priority="15">
      <formula>M170="JA"</formula>
    </cfRule>
  </conditionalFormatting>
  <conditionalFormatting sqref="M183 M185 M187 M189">
    <cfRule type="expression" dxfId="21" priority="14">
      <formula>M183="JA"</formula>
    </cfRule>
  </conditionalFormatting>
  <conditionalFormatting sqref="M60:M63">
    <cfRule type="expression" dxfId="20" priority="13">
      <formula>M60="JA"</formula>
    </cfRule>
  </conditionalFormatting>
  <conditionalFormatting sqref="M112:M114">
    <cfRule type="expression" dxfId="19" priority="12">
      <formula>M112="JA"</formula>
    </cfRule>
  </conditionalFormatting>
  <conditionalFormatting sqref="M136:M138">
    <cfRule type="expression" dxfId="18" priority="11">
      <formula>M136="JA"</formula>
    </cfRule>
  </conditionalFormatting>
  <conditionalFormatting sqref="M149">
    <cfRule type="expression" dxfId="17" priority="10">
      <formula>M149="JA"</formula>
    </cfRule>
  </conditionalFormatting>
  <conditionalFormatting sqref="M175:M177">
    <cfRule type="expression" dxfId="16" priority="9">
      <formula>M175="JA"</formula>
    </cfRule>
  </conditionalFormatting>
  <conditionalFormatting sqref="M179:M181">
    <cfRule type="expression" dxfId="15" priority="8">
      <formula>M179="JA"</formula>
    </cfRule>
  </conditionalFormatting>
  <conditionalFormatting sqref="M201:M202">
    <cfRule type="expression" dxfId="14" priority="7">
      <formula>M201="JA"</formula>
    </cfRule>
  </conditionalFormatting>
  <conditionalFormatting sqref="M90:M92">
    <cfRule type="expression" dxfId="13" priority="6">
      <formula>M90="JA"</formula>
    </cfRule>
  </conditionalFormatting>
  <conditionalFormatting sqref="M94:M96">
    <cfRule type="expression" dxfId="12" priority="5">
      <formula>M94="JA"</formula>
    </cfRule>
  </conditionalFormatting>
  <conditionalFormatting sqref="M81">
    <cfRule type="expression" dxfId="11" priority="4">
      <formula>M81="JA"</formula>
    </cfRule>
  </conditionalFormatting>
  <conditionalFormatting sqref="M156">
    <cfRule type="expression" dxfId="10" priority="3">
      <formula>M156="JA"</formula>
    </cfRule>
  </conditionalFormatting>
  <conditionalFormatting sqref="M157">
    <cfRule type="expression" dxfId="9" priority="1">
      <formula>M157="JA"</formula>
    </cfRule>
  </conditionalFormatting>
  <dataValidations count="3">
    <dataValidation type="list" allowBlank="1" showInputMessage="1" showErrorMessage="1" sqref="L5:L7" xr:uid="{B0E9D614-EE1E-4B20-8ADC-844138FE2978}">
      <formula1>$T$1:$T$2</formula1>
    </dataValidation>
    <dataValidation type="list" allowBlank="1" showInputMessage="1" showErrorMessage="1" sqref="I79" xr:uid="{C3E982BF-5A92-4068-9E9A-B255B80FDBF1}">
      <formula1>$N$1:$N$2</formula1>
    </dataValidation>
    <dataValidation type="list" allowBlank="1" showInputMessage="1" showErrorMessage="1" sqref="I9:I19 I21:I52 I54:I71 I73:I78 I81:I104 I106:I114 I116:I125 I127:I146 I148:I151 I153:I160 I162:I167 I169:I177 I179:I181 I183:I195 I197:I209" xr:uid="{C0BA8D19-465A-4A8C-A9D5-6289A5E6C2BA}">
      <formula1>$Q$1:$Q$2</formula1>
    </dataValidation>
  </dataValidations>
  <pageMargins left="0.25" right="0.25" top="0.75" bottom="0.75" header="0.3" footer="0.3"/>
  <pageSetup paperSize="9" scale="50" fitToHeight="0" orientation="portrait" r:id="rId1"/>
  <headerFooter>
    <oddFooter>&amp;LVersions-Nr.: 29.08.2016&amp;CDruckdatum: &amp;D&amp;RSeite &amp;P von &amp;N</oddFooter>
  </headerFooter>
  <rowBreaks count="1" manualBreakCount="1">
    <brk id="206"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3F877DEA-BF82-4A7B-B5A5-4A8FBF085CBE}">
          <x14:formula1>
            <xm:f>'Berechnung - Hochbau'!$B$131:$B$139</xm:f>
          </x14:formula1>
          <xm:sqref>N207:N209</xm:sqref>
        </x14:dataValidation>
        <x14:dataValidation type="list" allowBlank="1" showInputMessage="1" showErrorMessage="1" xr:uid="{454777B8-022E-4C59-94D1-50377F6A6972}">
          <x14:formula1>
            <xm:f>'Berechnung - Hochbau'!$B$131:$B$140</xm:f>
          </x14:formula1>
          <xm:sqref>N197:N206 N183:N195 N179:N181 N169:N177 N162:N167 N153:N160 N148:N151 N127:N146 N116:N125 N106:N114 N81:N104 N73:N78 N54:N71 N9:N19 N21:N52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C98A-FA72-4192-B559-ACBC65EBBBF3}">
  <sheetPr>
    <tabColor rgb="FF7030A0"/>
  </sheetPr>
  <dimension ref="A1:Z299"/>
  <sheetViews>
    <sheetView workbookViewId="0"/>
  </sheetViews>
  <sheetFormatPr baseColWidth="10" defaultColWidth="11.44140625" defaultRowHeight="13.9" x14ac:dyDescent="0.25"/>
  <cols>
    <col min="1" max="1" width="10.21875" style="1" customWidth="1"/>
    <col min="2" max="2" width="6.77734375" style="1" bestFit="1" customWidth="1"/>
    <col min="3" max="3" width="19.77734375" style="1" customWidth="1"/>
    <col min="4" max="5" width="15.77734375" style="1" customWidth="1"/>
    <col min="6" max="6" width="11.44140625" style="1" customWidth="1"/>
    <col min="7" max="7" width="17" style="1" customWidth="1"/>
    <col min="8" max="8" width="15.77734375" style="1" customWidth="1"/>
    <col min="9" max="9" width="11.44140625" style="1" customWidth="1"/>
    <col min="10" max="11" width="15.77734375" style="1" customWidth="1"/>
    <col min="12" max="12" width="10.5546875" style="1" bestFit="1" customWidth="1"/>
    <col min="13" max="14" width="15.77734375" style="1" customWidth="1"/>
    <col min="15" max="15" width="10.5546875" style="1" bestFit="1" customWidth="1"/>
    <col min="16" max="16" width="10.5546875" style="1" customWidth="1"/>
    <col min="17" max="17" width="12.21875" style="1" customWidth="1"/>
    <col min="18" max="19" width="10.5546875" style="1" customWidth="1"/>
    <col min="20" max="21" width="15.77734375" style="1" customWidth="1"/>
    <col min="22" max="23" width="11.44140625" style="1"/>
    <col min="24" max="24" width="49" style="1" bestFit="1" customWidth="1"/>
    <col min="25" max="25" width="27.44140625" style="1" bestFit="1" customWidth="1"/>
    <col min="26" max="26" width="98.77734375" style="1" customWidth="1"/>
    <col min="27" max="16384" width="11.44140625" style="1"/>
  </cols>
  <sheetData>
    <row r="1" spans="2:26" ht="15" customHeight="1" x14ac:dyDescent="0.25">
      <c r="B1" s="2210" t="s">
        <v>921</v>
      </c>
      <c r="C1" s="2211"/>
      <c r="E1" s="2214"/>
      <c r="F1" s="2214"/>
      <c r="H1" s="2214"/>
      <c r="I1" s="2214"/>
      <c r="K1" s="2214"/>
      <c r="L1" s="2214"/>
      <c r="N1" s="2214"/>
      <c r="O1" s="2214"/>
      <c r="P1" s="402"/>
      <c r="Q1" s="2214"/>
      <c r="R1" s="2214"/>
      <c r="S1" s="402"/>
    </row>
    <row r="2" spans="2:26" ht="15" customHeight="1" x14ac:dyDescent="0.25">
      <c r="B2" s="2212"/>
      <c r="C2" s="2213"/>
      <c r="E2" s="2214"/>
      <c r="F2" s="2214"/>
      <c r="H2" s="2214"/>
      <c r="I2" s="2214"/>
      <c r="K2" s="2214"/>
      <c r="L2" s="2214"/>
      <c r="N2" s="2214"/>
      <c r="O2" s="2214"/>
      <c r="P2" s="402"/>
      <c r="Q2" s="2214"/>
      <c r="R2" s="2214"/>
      <c r="S2" s="402"/>
    </row>
    <row r="3" spans="2:26" ht="15" customHeight="1" x14ac:dyDescent="0.25">
      <c r="B3" s="2212"/>
      <c r="C3" s="2213"/>
      <c r="E3" s="2214"/>
      <c r="F3" s="2214"/>
      <c r="H3" s="2214"/>
      <c r="I3" s="2214"/>
      <c r="K3" s="2214"/>
      <c r="L3" s="2214"/>
      <c r="M3" s="109"/>
      <c r="N3" s="2214"/>
      <c r="O3" s="2214"/>
      <c r="P3" s="402"/>
      <c r="Q3" s="2214"/>
      <c r="R3" s="2214"/>
      <c r="S3" s="402"/>
    </row>
    <row r="4" spans="2:26" ht="15" customHeight="1" x14ac:dyDescent="0.25">
      <c r="B4" s="2212"/>
      <c r="C4" s="2213"/>
      <c r="E4" s="2214"/>
      <c r="F4" s="2214"/>
      <c r="H4" s="2214"/>
      <c r="I4" s="2214"/>
      <c r="K4" s="2214"/>
      <c r="L4" s="2214"/>
      <c r="M4" s="109"/>
      <c r="N4" s="2214"/>
      <c r="O4" s="2214"/>
      <c r="P4" s="402"/>
      <c r="Q4" s="2214"/>
      <c r="R4" s="2214"/>
      <c r="S4" s="402"/>
    </row>
    <row r="5" spans="2:26" ht="15.95" customHeight="1" x14ac:dyDescent="0.25">
      <c r="B5" s="2212"/>
      <c r="C5" s="2213"/>
      <c r="E5" s="2214"/>
      <c r="F5" s="2214"/>
      <c r="H5" s="2214"/>
      <c r="I5" s="2214"/>
      <c r="K5" s="2214"/>
      <c r="L5" s="2214"/>
      <c r="M5" s="83"/>
      <c r="N5" s="2214"/>
      <c r="O5" s="2214"/>
      <c r="P5" s="402"/>
      <c r="Q5" s="2214"/>
      <c r="R5" s="2214"/>
      <c r="S5" s="402"/>
      <c r="X5" s="9"/>
      <c r="Y5" s="9"/>
      <c r="Z5" s="9"/>
    </row>
    <row r="6" spans="2:26" ht="14.55" x14ac:dyDescent="0.3">
      <c r="B6" s="2163" t="s">
        <v>346</v>
      </c>
      <c r="C6" s="2007"/>
      <c r="E6" s="2209"/>
      <c r="F6" s="2209"/>
      <c r="H6" s="2209"/>
      <c r="I6" s="2209"/>
      <c r="K6" s="2209"/>
      <c r="L6" s="2209"/>
      <c r="M6" s="83"/>
      <c r="N6" s="2209"/>
      <c r="O6" s="2209"/>
      <c r="P6" s="83"/>
      <c r="Q6" s="2209"/>
      <c r="R6" s="2209"/>
      <c r="S6" s="83"/>
      <c r="X6"/>
      <c r="Y6"/>
      <c r="Z6"/>
    </row>
    <row r="7" spans="2:26" ht="14.55" x14ac:dyDescent="0.3">
      <c r="B7" s="2133">
        <f>IF('Besondere Leistungen GÜ-Berater'!M9="ja",'Besondere Leistungen GÜ-Berater'!L9,0)</f>
        <v>0</v>
      </c>
      <c r="C7" s="2134"/>
      <c r="E7" s="2208"/>
      <c r="F7" s="2208"/>
      <c r="H7" s="2168"/>
      <c r="I7" s="2168"/>
      <c r="J7" s="249"/>
      <c r="K7" s="2168"/>
      <c r="L7" s="2168"/>
      <c r="M7" s="250"/>
      <c r="N7" s="2168"/>
      <c r="O7" s="2168"/>
      <c r="P7" s="250"/>
      <c r="Q7" s="2168"/>
      <c r="R7" s="2168"/>
      <c r="S7" s="250"/>
      <c r="X7" s="14"/>
      <c r="Y7" s="13"/>
      <c r="Z7" s="15"/>
    </row>
    <row r="8" spans="2:26" ht="14.55" x14ac:dyDescent="0.3">
      <c r="B8" s="2133">
        <f>IF('Besondere Leistungen GÜ-Berater'!M13="ja",'Besondere Leistungen GÜ-Berater'!L13,0)</f>
        <v>0</v>
      </c>
      <c r="C8" s="2134"/>
      <c r="E8" s="2208"/>
      <c r="F8" s="2208"/>
      <c r="H8" s="2168"/>
      <c r="I8" s="2168"/>
      <c r="J8" s="249"/>
      <c r="K8" s="2168"/>
      <c r="L8" s="2168"/>
      <c r="M8" s="250"/>
      <c r="N8" s="2168"/>
      <c r="O8" s="2168"/>
      <c r="P8" s="250"/>
      <c r="Q8" s="2168"/>
      <c r="R8" s="2168"/>
      <c r="S8" s="250"/>
      <c r="X8" s="14"/>
      <c r="Y8" s="13"/>
      <c r="Z8" s="15"/>
    </row>
    <row r="9" spans="2:26" ht="14.55" x14ac:dyDescent="0.3">
      <c r="B9" s="2133">
        <f>IF('Besondere Leistungen GÜ-Berater'!M18="ja",'Besondere Leistungen GÜ-Berater'!L18,0)</f>
        <v>0</v>
      </c>
      <c r="C9" s="2134"/>
      <c r="E9" s="2208"/>
      <c r="F9" s="2208"/>
      <c r="H9" s="2168"/>
      <c r="I9" s="2168"/>
      <c r="J9" s="249"/>
      <c r="K9" s="2168"/>
      <c r="L9" s="2168"/>
      <c r="M9" s="250"/>
      <c r="N9" s="2168"/>
      <c r="O9" s="2168"/>
      <c r="P9" s="250"/>
      <c r="Q9" s="2168"/>
      <c r="R9" s="2168"/>
      <c r="S9" s="250"/>
      <c r="X9" s="14"/>
      <c r="Y9" s="13"/>
      <c r="Z9" s="15"/>
    </row>
    <row r="10" spans="2:26" ht="14.55" x14ac:dyDescent="0.3">
      <c r="B10" s="2133">
        <f>IF('Besondere Leistungen GÜ-Berater'!M21="ja",'Besondere Leistungen GÜ-Berater'!L21,0)</f>
        <v>0</v>
      </c>
      <c r="C10" s="2134"/>
      <c r="E10" s="2208"/>
      <c r="F10" s="2208"/>
      <c r="H10" s="2168"/>
      <c r="I10" s="2168"/>
      <c r="J10" s="249"/>
      <c r="K10" s="2168"/>
      <c r="L10" s="2168"/>
      <c r="M10" s="250"/>
      <c r="N10" s="2168"/>
      <c r="O10" s="2168"/>
      <c r="P10" s="250"/>
      <c r="Q10" s="2168"/>
      <c r="R10" s="2168"/>
      <c r="S10" s="250"/>
      <c r="X10" s="14"/>
      <c r="Y10" s="13"/>
      <c r="Z10" s="15"/>
    </row>
    <row r="11" spans="2:26" ht="14.55" x14ac:dyDescent="0.3">
      <c r="B11" s="2133">
        <f>IF('Besondere Leistungen GÜ-Berater'!M26="ja",'Besondere Leistungen GÜ-Berater'!L26,0)</f>
        <v>0</v>
      </c>
      <c r="C11" s="2134"/>
      <c r="E11" s="2208"/>
      <c r="F11" s="2208"/>
      <c r="L11" s="83"/>
      <c r="M11" s="83"/>
      <c r="X11" s="14"/>
      <c r="Y11" s="13"/>
      <c r="Z11" s="15"/>
    </row>
    <row r="12" spans="2:26" ht="14.55" x14ac:dyDescent="0.3">
      <c r="B12" s="2133">
        <f>IF('Besondere Leistungen GÜ-Berater'!M28="ja",'Besondere Leistungen GÜ-Berater'!L28,0)</f>
        <v>0</v>
      </c>
      <c r="C12" s="2134"/>
      <c r="E12" s="2208"/>
      <c r="F12" s="2208"/>
      <c r="L12" s="83"/>
      <c r="M12" s="83"/>
      <c r="X12" s="14"/>
      <c r="Y12" s="13"/>
      <c r="Z12" s="15"/>
    </row>
    <row r="13" spans="2:26" ht="14.55" x14ac:dyDescent="0.3">
      <c r="B13" s="2133">
        <f>IF('Besondere Leistungen GÜ-Berater'!M30="ja",'Besondere Leistungen GÜ-Berater'!L30,0)</f>
        <v>0</v>
      </c>
      <c r="C13" s="2134"/>
      <c r="E13" s="2208"/>
      <c r="F13" s="2208"/>
      <c r="L13" s="83"/>
      <c r="M13" s="83"/>
      <c r="X13" s="14"/>
      <c r="Y13" s="13"/>
      <c r="Z13" s="15"/>
    </row>
    <row r="14" spans="2:26" ht="14.55" x14ac:dyDescent="0.3">
      <c r="B14" s="2133">
        <f>IF('Besondere Leistungen GÜ-Berater'!M33="ja",'Besondere Leistungen GÜ-Berater'!L33,0)</f>
        <v>0</v>
      </c>
      <c r="C14" s="2134"/>
      <c r="E14" s="2208"/>
      <c r="F14" s="2208"/>
      <c r="L14" s="83"/>
      <c r="M14" s="83"/>
      <c r="X14" s="14"/>
      <c r="Y14" s="13"/>
      <c r="Z14" s="15"/>
    </row>
    <row r="15" spans="2:26" ht="14.55" x14ac:dyDescent="0.3">
      <c r="B15" s="2133">
        <f>IF('Besondere Leistungen GÜ-Berater'!M35="ja",'Besondere Leistungen GÜ-Berater'!L35,0)</f>
        <v>0</v>
      </c>
      <c r="C15" s="2134"/>
      <c r="E15" s="2208"/>
      <c r="F15" s="2208"/>
      <c r="L15" s="83"/>
      <c r="M15" s="83"/>
      <c r="X15" s="14"/>
      <c r="Y15" s="13"/>
      <c r="Z15" s="15"/>
    </row>
    <row r="16" spans="2:26" ht="14.55" x14ac:dyDescent="0.3">
      <c r="B16" s="2133">
        <f>IF('Besondere Leistungen GÜ-Berater'!M39="ja",'Besondere Leistungen GÜ-Berater'!L39,0)</f>
        <v>0</v>
      </c>
      <c r="C16" s="2134"/>
      <c r="E16" s="2208"/>
      <c r="F16" s="2208"/>
      <c r="L16" s="83"/>
      <c r="M16" s="83"/>
      <c r="X16" s="14"/>
      <c r="Y16" s="13"/>
      <c r="Z16" s="15"/>
    </row>
    <row r="17" spans="2:26" ht="14.55" x14ac:dyDescent="0.3">
      <c r="B17" s="2133">
        <f>IF('Besondere Leistungen GÜ-Berater'!M45="ja",'Besondere Leistungen GÜ-Berater'!L45,0)</f>
        <v>0</v>
      </c>
      <c r="C17" s="2134"/>
      <c r="E17" s="2208"/>
      <c r="F17" s="2208"/>
      <c r="L17" s="83"/>
      <c r="M17" s="83"/>
      <c r="X17" s="14"/>
      <c r="Y17" s="13"/>
      <c r="Z17" s="15"/>
    </row>
    <row r="18" spans="2:26" ht="14.55" x14ac:dyDescent="0.3">
      <c r="B18" s="2133">
        <f>IF('Besondere Leistungen GÜ-Berater'!M50="ja",'Besondere Leistungen GÜ-Berater'!L50,0)</f>
        <v>0</v>
      </c>
      <c r="C18" s="2134"/>
      <c r="E18" s="2208"/>
      <c r="F18" s="2208"/>
      <c r="L18" s="83"/>
      <c r="M18" s="83"/>
      <c r="X18" s="14"/>
      <c r="Y18" s="13"/>
      <c r="Z18" s="15"/>
    </row>
    <row r="19" spans="2:26" ht="14.55" x14ac:dyDescent="0.3">
      <c r="B19" s="2133">
        <f>IF('Besondere Leistungen GÜ-Berater'!M52="ja",'Besondere Leistungen GÜ-Berater'!L52,0)</f>
        <v>0</v>
      </c>
      <c r="C19" s="2134"/>
      <c r="D19" s="224"/>
      <c r="E19" s="2208"/>
      <c r="F19" s="2208"/>
      <c r="G19" s="223"/>
      <c r="H19" s="84"/>
      <c r="I19" s="84"/>
      <c r="J19" s="84"/>
      <c r="K19" s="84"/>
      <c r="L19" s="84"/>
      <c r="M19" s="84"/>
      <c r="X19" s="14"/>
      <c r="Y19" s="13"/>
      <c r="Z19" s="15"/>
    </row>
    <row r="20" spans="2:26" ht="14.55" x14ac:dyDescent="0.3">
      <c r="B20" s="2133">
        <f>IF('Besondere Leistungen GÜ-Berater'!M54="ja",'Besondere Leistungen GÜ-Berater'!L54,0)</f>
        <v>0</v>
      </c>
      <c r="C20" s="2134"/>
      <c r="D20" s="224"/>
      <c r="E20" s="2208"/>
      <c r="F20" s="2208"/>
      <c r="G20" s="223"/>
      <c r="H20" s="84"/>
      <c r="I20" s="84"/>
      <c r="J20" s="84"/>
      <c r="K20" s="84"/>
      <c r="L20" s="84"/>
      <c r="M20" s="84"/>
      <c r="X20" s="14"/>
      <c r="Y20" s="13"/>
      <c r="Z20" s="15"/>
    </row>
    <row r="21" spans="2:26" ht="14.55" x14ac:dyDescent="0.3">
      <c r="B21" s="2133">
        <f>IF('Besondere Leistungen GÜ-Berater'!M57="ja",'Besondere Leistungen GÜ-Berater'!L57,0)</f>
        <v>0</v>
      </c>
      <c r="C21" s="2134"/>
      <c r="D21" s="224"/>
      <c r="E21" s="2208"/>
      <c r="F21" s="2208"/>
      <c r="G21" s="223"/>
      <c r="H21" s="84"/>
      <c r="I21" s="84"/>
      <c r="J21" s="84"/>
      <c r="K21" s="84"/>
      <c r="L21" s="84"/>
      <c r="M21" s="84"/>
      <c r="X21" s="14"/>
      <c r="Y21" s="13"/>
      <c r="Z21" s="15"/>
    </row>
    <row r="22" spans="2:26" ht="14.55" x14ac:dyDescent="0.3">
      <c r="B22" s="2133">
        <f>IF('Besondere Leistungen GÜ-Berater'!M60="ja",'Besondere Leistungen GÜ-Berater'!L60,0)</f>
        <v>0</v>
      </c>
      <c r="C22" s="2134"/>
      <c r="E22" s="2208"/>
      <c r="F22" s="2208"/>
      <c r="K22" s="83"/>
      <c r="X22" s="14"/>
      <c r="Y22" s="13"/>
      <c r="Z22" s="15"/>
    </row>
    <row r="23" spans="2:26" ht="14.55" x14ac:dyDescent="0.3">
      <c r="B23" s="2133">
        <f>IF('Besondere Leistungen GÜ-Berater'!M65="ja",'Besondere Leistungen GÜ-Berater'!L65,0)</f>
        <v>0</v>
      </c>
      <c r="C23" s="2134"/>
      <c r="E23" s="83"/>
      <c r="F23" s="83"/>
      <c r="K23" s="83"/>
      <c r="X23" s="14"/>
      <c r="Y23" s="13"/>
      <c r="Z23" s="15"/>
    </row>
    <row r="24" spans="2:26" ht="14.55" x14ac:dyDescent="0.3">
      <c r="B24" s="2166">
        <f>IF('Besondere Leistungen GÜ-Berater'!M68="ja",'Besondere Leistungen GÜ-Berater'!L68,0)</f>
        <v>0</v>
      </c>
      <c r="C24" s="2167"/>
      <c r="E24" s="83"/>
      <c r="F24" s="245"/>
      <c r="K24" s="83"/>
      <c r="X24" s="14"/>
      <c r="Y24" s="13"/>
      <c r="Z24" s="15"/>
    </row>
    <row r="25" spans="2:26" ht="14.55" x14ac:dyDescent="0.3">
      <c r="B25" s="2166">
        <f>IF('Besondere Leistungen GÜ-Berater'!M73="ja",'Besondere Leistungen GÜ-Berater'!L73,0)</f>
        <v>0</v>
      </c>
      <c r="C25" s="2167"/>
      <c r="E25" s="83"/>
      <c r="F25" s="245"/>
      <c r="K25" s="83"/>
      <c r="X25" s="14"/>
      <c r="Y25" s="13"/>
      <c r="Z25" s="15"/>
    </row>
    <row r="26" spans="2:26" ht="14.55" x14ac:dyDescent="0.3">
      <c r="B26" s="2166">
        <f>IF('Besondere Leistungen GÜ-Berater'!M76="ja",'Besondere Leistungen GÜ-Berater'!L76,0)</f>
        <v>0</v>
      </c>
      <c r="C26" s="2167"/>
      <c r="E26" s="83"/>
      <c r="F26" s="245"/>
      <c r="K26" s="83"/>
      <c r="X26" s="14"/>
      <c r="Y26" s="13"/>
      <c r="Z26" s="15"/>
    </row>
    <row r="27" spans="2:26" ht="14.55" x14ac:dyDescent="0.3">
      <c r="B27" s="2166">
        <f>IF('Besondere Leistungen GÜ-Berater'!M78="ja",'Besondere Leistungen GÜ-Berater'!L78,0)</f>
        <v>0</v>
      </c>
      <c r="C27" s="2167"/>
      <c r="E27" s="83"/>
      <c r="F27" s="245"/>
      <c r="K27" s="83"/>
      <c r="X27" s="14"/>
      <c r="Y27" s="13"/>
      <c r="Z27" s="15"/>
    </row>
    <row r="28" spans="2:26" ht="14.55" x14ac:dyDescent="0.3">
      <c r="B28" s="2166">
        <f>IF('Besondere Leistungen GÜ-Berater'!M81="ja",'Besondere Leistungen GÜ-Berater'!L81,0)</f>
        <v>0</v>
      </c>
      <c r="C28" s="2167"/>
      <c r="E28" s="83"/>
      <c r="F28" s="245"/>
      <c r="K28" s="83"/>
      <c r="X28" s="14"/>
      <c r="Y28" s="13"/>
      <c r="Z28" s="15"/>
    </row>
    <row r="29" spans="2:26" ht="14.55" x14ac:dyDescent="0.3">
      <c r="B29" s="2166">
        <f>IF('Besondere Leistungen GÜ-Berater'!M83="ja",'Besondere Leistungen GÜ-Berater'!L83,0)</f>
        <v>0</v>
      </c>
      <c r="C29" s="2167"/>
      <c r="E29" s="83"/>
      <c r="F29" s="245"/>
      <c r="K29" s="83"/>
      <c r="X29" s="14"/>
      <c r="Y29" s="13"/>
      <c r="Z29" s="15"/>
    </row>
    <row r="30" spans="2:26" ht="14.55" x14ac:dyDescent="0.3">
      <c r="B30" s="2166">
        <f>IF('Besondere Leistungen GÜ-Berater'!M87="ja",'Besondere Leistungen GÜ-Berater'!L87,0)</f>
        <v>0</v>
      </c>
      <c r="C30" s="2167"/>
      <c r="E30" s="83"/>
      <c r="F30" s="245"/>
      <c r="K30" s="83"/>
      <c r="X30" s="14"/>
      <c r="Y30" s="13"/>
      <c r="Z30" s="15"/>
    </row>
    <row r="31" spans="2:26" ht="14.55" x14ac:dyDescent="0.3">
      <c r="B31" s="2166">
        <f>IF('Besondere Leistungen GÜ-Berater'!M90="ja",'Besondere Leistungen GÜ-Berater'!L90,0)</f>
        <v>0</v>
      </c>
      <c r="C31" s="2167"/>
      <c r="E31" s="83"/>
      <c r="F31" s="245"/>
      <c r="K31" s="83"/>
      <c r="X31" s="14"/>
      <c r="Y31" s="13"/>
      <c r="Z31" s="15"/>
    </row>
    <row r="32" spans="2:26" ht="14.55" x14ac:dyDescent="0.3">
      <c r="B32" s="2166">
        <f>IF('Besondere Leistungen GÜ-Berater'!M93="ja",'Besondere Leistungen GÜ-Berater'!L93,0)</f>
        <v>0</v>
      </c>
      <c r="C32" s="2167"/>
      <c r="E32" s="83"/>
      <c r="F32" s="245"/>
      <c r="K32" s="83"/>
      <c r="X32" s="14"/>
      <c r="Y32" s="13"/>
      <c r="Z32" s="15"/>
    </row>
    <row r="33" spans="2:26" ht="14.55" x14ac:dyDescent="0.3">
      <c r="B33" s="2166">
        <f>IF('Besondere Leistungen GÜ-Berater'!M94="ja",'Besondere Leistungen GÜ-Berater'!L94,0)</f>
        <v>0</v>
      </c>
      <c r="C33" s="2167"/>
      <c r="E33" s="83"/>
      <c r="F33" s="245"/>
      <c r="K33" s="83"/>
      <c r="X33" s="14"/>
      <c r="Y33" s="13"/>
      <c r="Z33" s="15"/>
    </row>
    <row r="34" spans="2:26" ht="14.55" x14ac:dyDescent="0.3">
      <c r="B34" s="2166">
        <f>IF('Besondere Leistungen GÜ-Berater'!M97="ja",'Besondere Leistungen GÜ-Berater'!L97,0)</f>
        <v>0</v>
      </c>
      <c r="C34" s="2167"/>
      <c r="E34" s="83"/>
      <c r="F34" s="245"/>
      <c r="K34" s="83"/>
      <c r="X34" s="14"/>
      <c r="Y34" s="13"/>
      <c r="Z34" s="15"/>
    </row>
    <row r="35" spans="2:26" ht="14.55" x14ac:dyDescent="0.3">
      <c r="B35" s="2166">
        <f>IF('Besondere Leistungen GÜ-Berater'!M103="ja",'Besondere Leistungen GÜ-Berater'!L103,0)</f>
        <v>0</v>
      </c>
      <c r="C35" s="2167"/>
      <c r="E35" s="83"/>
      <c r="F35" s="245"/>
      <c r="K35" s="83"/>
      <c r="X35" s="14"/>
      <c r="Y35" s="13"/>
      <c r="Z35" s="15"/>
    </row>
    <row r="36" spans="2:26" ht="14.55" x14ac:dyDescent="0.3">
      <c r="B36" s="2166">
        <f>IF('Besondere Leistungen GÜ-Berater'!M106="ja",'Besondere Leistungen GÜ-Berater'!L106,0)</f>
        <v>0</v>
      </c>
      <c r="C36" s="2167"/>
      <c r="E36" s="83"/>
      <c r="F36" s="245"/>
      <c r="K36" s="83"/>
      <c r="X36" s="14"/>
      <c r="Y36" s="13"/>
      <c r="Z36" s="15"/>
    </row>
    <row r="37" spans="2:26" ht="14.55" x14ac:dyDescent="0.3">
      <c r="B37" s="2166">
        <f>IF('Besondere Leistungen GÜ-Berater'!M108="ja",'Besondere Leistungen GÜ-Berater'!L108,0)</f>
        <v>0</v>
      </c>
      <c r="C37" s="2167"/>
      <c r="E37" s="83"/>
      <c r="F37" s="245"/>
      <c r="K37" s="83"/>
      <c r="X37" s="14"/>
      <c r="Y37" s="13"/>
      <c r="Z37" s="15"/>
    </row>
    <row r="38" spans="2:26" ht="14.55" x14ac:dyDescent="0.3">
      <c r="B38" s="2166">
        <f>IF('Besondere Leistungen GÜ-Berater'!M109="ja",'Besondere Leistungen GÜ-Berater'!L109,0)</f>
        <v>0</v>
      </c>
      <c r="C38" s="2167"/>
      <c r="E38" s="83"/>
      <c r="F38" s="245"/>
      <c r="K38" s="83"/>
      <c r="X38" s="14"/>
      <c r="Y38" s="13"/>
      <c r="Z38" s="15"/>
    </row>
    <row r="39" spans="2:26" ht="14.55" x14ac:dyDescent="0.3">
      <c r="B39" s="2166">
        <f>IF('Besondere Leistungen GÜ-Berater'!M112="ja",'Besondere Leistungen GÜ-Berater'!L112,0)</f>
        <v>0</v>
      </c>
      <c r="C39" s="2167"/>
      <c r="E39" s="83"/>
      <c r="F39" s="245"/>
      <c r="K39" s="83"/>
      <c r="X39" s="14"/>
      <c r="Y39" s="13"/>
      <c r="Z39" s="15"/>
    </row>
    <row r="40" spans="2:26" ht="14.55" x14ac:dyDescent="0.3">
      <c r="B40" s="2166">
        <f>IF('Besondere Leistungen GÜ-Berater'!M116="ja",'Besondere Leistungen GÜ-Berater'!L116,0)</f>
        <v>0</v>
      </c>
      <c r="C40" s="2167"/>
      <c r="E40" s="83"/>
      <c r="F40" s="245"/>
      <c r="K40" s="83"/>
      <c r="X40" s="14"/>
      <c r="Y40" s="13"/>
      <c r="Z40" s="15"/>
    </row>
    <row r="41" spans="2:26" ht="14.55" x14ac:dyDescent="0.3">
      <c r="B41" s="2166">
        <f>IF('Besondere Leistungen GÜ-Berater'!M123="ja",'Besondere Leistungen GÜ-Berater'!L123,0)</f>
        <v>0</v>
      </c>
      <c r="C41" s="2167"/>
      <c r="E41" s="83"/>
      <c r="F41" s="245"/>
      <c r="K41" s="83"/>
      <c r="X41" s="14"/>
      <c r="Y41" s="13"/>
      <c r="Z41" s="15"/>
    </row>
    <row r="42" spans="2:26" ht="14.55" x14ac:dyDescent="0.3">
      <c r="B42" s="2166">
        <f>IF('Besondere Leistungen GÜ-Berater'!M127="ja",'Besondere Leistungen GÜ-Berater'!L127,0)</f>
        <v>0</v>
      </c>
      <c r="C42" s="2167"/>
      <c r="E42" s="83"/>
      <c r="F42" s="245"/>
      <c r="K42" s="83"/>
      <c r="X42" s="14"/>
      <c r="Y42" s="13"/>
      <c r="Z42" s="15"/>
    </row>
    <row r="43" spans="2:26" ht="14.55" x14ac:dyDescent="0.3">
      <c r="B43" s="2166">
        <f>IF('Besondere Leistungen GÜ-Berater'!M132="ja",'Besondere Leistungen GÜ-Berater'!L132,0)</f>
        <v>0</v>
      </c>
      <c r="C43" s="2167"/>
      <c r="E43" s="83"/>
      <c r="F43" s="245"/>
      <c r="K43" s="83"/>
      <c r="X43" s="14"/>
      <c r="Y43" s="13"/>
      <c r="Z43" s="15"/>
    </row>
    <row r="44" spans="2:26" ht="14.55" x14ac:dyDescent="0.3">
      <c r="B44" s="2166">
        <f>IF('Besondere Leistungen GÜ-Berater'!M136="ja",'Besondere Leistungen GÜ-Berater'!L136,0)</f>
        <v>0</v>
      </c>
      <c r="C44" s="2167"/>
      <c r="E44" s="83"/>
      <c r="F44" s="245"/>
      <c r="K44" s="83"/>
      <c r="X44" s="14"/>
      <c r="Y44" s="13"/>
      <c r="Z44" s="15"/>
    </row>
    <row r="45" spans="2:26" ht="14.55" x14ac:dyDescent="0.3">
      <c r="B45" s="2166">
        <f>IF('Besondere Leistungen GÜ-Berater'!M140="ja",'Besondere Leistungen GÜ-Berater'!L140,0)</f>
        <v>0</v>
      </c>
      <c r="C45" s="2167"/>
      <c r="E45" s="83"/>
      <c r="F45" s="245"/>
      <c r="K45" s="83"/>
      <c r="X45" s="14"/>
      <c r="Y45" s="13"/>
      <c r="Z45" s="15"/>
    </row>
    <row r="46" spans="2:26" ht="14.55" x14ac:dyDescent="0.3">
      <c r="B46" s="2166">
        <f>IF('Besondere Leistungen GÜ-Berater'!M148="ja",'Besondere Leistungen GÜ-Berater'!L148,0)</f>
        <v>0</v>
      </c>
      <c r="C46" s="2167"/>
      <c r="E46" s="83"/>
      <c r="F46" s="245"/>
      <c r="K46" s="83"/>
      <c r="X46" s="14"/>
      <c r="Y46" s="13"/>
      <c r="Z46" s="15"/>
    </row>
    <row r="47" spans="2:26" ht="14.55" x14ac:dyDescent="0.3">
      <c r="B47" s="2166">
        <f>IF('Besondere Leistungen GÜ-Berater'!M149="ja",'Besondere Leistungen GÜ-Berater'!L149,0)</f>
        <v>0</v>
      </c>
      <c r="C47" s="2167"/>
      <c r="E47" s="83"/>
      <c r="F47" s="245"/>
      <c r="K47" s="83"/>
      <c r="X47" s="14"/>
      <c r="Y47" s="13"/>
      <c r="Z47" s="15"/>
    </row>
    <row r="48" spans="2:26" ht="14.55" x14ac:dyDescent="0.3">
      <c r="B48" s="2166">
        <f>IF('Besondere Leistungen GÜ-Berater'!M151="ja",'Besondere Leistungen GÜ-Berater'!L151,0)</f>
        <v>0</v>
      </c>
      <c r="C48" s="2167"/>
      <c r="E48" s="83"/>
      <c r="F48" s="245"/>
      <c r="K48" s="83"/>
      <c r="X48" s="14"/>
      <c r="Y48" s="13"/>
      <c r="Z48" s="15"/>
    </row>
    <row r="49" spans="2:26" ht="14.55" x14ac:dyDescent="0.3">
      <c r="B49" s="2166">
        <f>IF('Besondere Leistungen GÜ-Berater'!M153="ja",'Besondere Leistungen GÜ-Berater'!L153,0)</f>
        <v>0</v>
      </c>
      <c r="C49" s="2167"/>
      <c r="E49" s="83"/>
      <c r="F49" s="245"/>
      <c r="K49" s="83"/>
      <c r="X49" s="14"/>
      <c r="Y49" s="13"/>
      <c r="Z49" s="15"/>
    </row>
    <row r="50" spans="2:26" ht="14.55" x14ac:dyDescent="0.3">
      <c r="B50" s="2166">
        <f>IF('Besondere Leistungen GÜ-Berater'!M154="ja",'Besondere Leistungen GÜ-Berater'!L154,0)</f>
        <v>0</v>
      </c>
      <c r="C50" s="2167"/>
      <c r="E50" s="83"/>
      <c r="F50" s="245"/>
      <c r="K50" s="83"/>
      <c r="X50" s="14"/>
      <c r="Y50" s="13"/>
      <c r="Z50" s="15"/>
    </row>
    <row r="51" spans="2:26" ht="14.55" x14ac:dyDescent="0.3">
      <c r="B51" s="2166">
        <f>IF('Besondere Leistungen GÜ-Berater'!M156="ja",'Besondere Leistungen GÜ-Berater'!L156,0)</f>
        <v>0</v>
      </c>
      <c r="C51" s="2167"/>
      <c r="E51" s="83"/>
      <c r="F51" s="245"/>
      <c r="K51" s="83"/>
      <c r="X51" s="14"/>
      <c r="Y51" s="13"/>
      <c r="Z51" s="15"/>
    </row>
    <row r="52" spans="2:26" ht="14.55" x14ac:dyDescent="0.3">
      <c r="B52" s="2133">
        <f>IF('Besondere Leistungen GÜ-Berater'!M157="ja",'Besondere Leistungen GÜ-Berater'!L157,0)</f>
        <v>0</v>
      </c>
      <c r="C52" s="2134"/>
      <c r="E52" s="83"/>
      <c r="F52" s="245"/>
      <c r="K52" s="83"/>
      <c r="X52" s="14"/>
      <c r="Y52" s="13"/>
      <c r="Z52" s="15"/>
    </row>
    <row r="53" spans="2:26" ht="14.55" x14ac:dyDescent="0.3">
      <c r="B53" s="2166">
        <f>IF('Besondere Leistungen GÜ-Berater'!M158="ja",'Besondere Leistungen GÜ-Berater'!L158,0)</f>
        <v>0</v>
      </c>
      <c r="C53" s="2167"/>
      <c r="E53" s="83"/>
      <c r="F53" s="245"/>
      <c r="K53" s="83"/>
      <c r="X53" s="14"/>
      <c r="Y53" s="13"/>
      <c r="Z53" s="15"/>
    </row>
    <row r="54" spans="2:26" ht="14.55" x14ac:dyDescent="0.3">
      <c r="B54" s="2166">
        <f>IF('Besondere Leistungen GÜ-Berater'!M159="ja",'Besondere Leistungen GÜ-Berater'!L159,0)</f>
        <v>0</v>
      </c>
      <c r="C54" s="2167"/>
      <c r="E54" s="83"/>
      <c r="F54" s="245"/>
      <c r="K54" s="83"/>
      <c r="X54" s="14"/>
      <c r="Y54" s="13"/>
      <c r="Z54" s="15"/>
    </row>
    <row r="55" spans="2:26" ht="14.55" x14ac:dyDescent="0.3">
      <c r="B55" s="2166">
        <f>IF('Besondere Leistungen GÜ-Berater'!M162="ja",'Besondere Leistungen GÜ-Berater'!L162,0)</f>
        <v>0</v>
      </c>
      <c r="C55" s="2167"/>
      <c r="E55" s="83"/>
      <c r="F55" s="245"/>
      <c r="K55" s="83"/>
      <c r="X55" s="14"/>
      <c r="Y55" s="13"/>
      <c r="Z55" s="15"/>
    </row>
    <row r="56" spans="2:26" ht="14.55" x14ac:dyDescent="0.3">
      <c r="B56" s="2166">
        <f>IF('Besondere Leistungen GÜ-Berater'!M164="ja",'Besondere Leistungen GÜ-Berater'!L164,0)</f>
        <v>0</v>
      </c>
      <c r="C56" s="2167"/>
      <c r="E56" s="83"/>
      <c r="F56" s="245"/>
      <c r="K56" s="83"/>
      <c r="X56" s="14"/>
      <c r="Y56" s="13"/>
      <c r="Z56" s="15"/>
    </row>
    <row r="57" spans="2:26" ht="14.55" x14ac:dyDescent="0.3">
      <c r="B57" s="2166">
        <f>IF('Besondere Leistungen GÜ-Berater'!M169="ja",'Besondere Leistungen GÜ-Berater'!L169,0)</f>
        <v>0</v>
      </c>
      <c r="C57" s="2167"/>
      <c r="E57" s="83"/>
      <c r="F57" s="245"/>
      <c r="K57" s="83"/>
      <c r="X57" s="14"/>
      <c r="Y57" s="13"/>
      <c r="Z57" s="15"/>
    </row>
    <row r="58" spans="2:26" ht="14.55" x14ac:dyDescent="0.3">
      <c r="B58" s="2166">
        <f>IF('Besondere Leistungen GÜ-Berater'!M170="ja",'Besondere Leistungen GÜ-Berater'!L170,0)</f>
        <v>0</v>
      </c>
      <c r="C58" s="2167"/>
      <c r="E58" s="83"/>
      <c r="F58" s="245"/>
      <c r="K58" s="83"/>
      <c r="X58" s="14"/>
      <c r="Y58" s="13"/>
      <c r="Z58" s="15"/>
    </row>
    <row r="59" spans="2:26" ht="14.55" x14ac:dyDescent="0.3">
      <c r="B59" s="2166">
        <f>IF('Besondere Leistungen GÜ-Berater'!M172="ja",'Besondere Leistungen GÜ-Berater'!L172,0)</f>
        <v>0</v>
      </c>
      <c r="C59" s="2167"/>
      <c r="E59" s="83"/>
      <c r="F59" s="245"/>
      <c r="K59" s="83"/>
      <c r="X59" s="14"/>
      <c r="Y59" s="13"/>
      <c r="Z59" s="15"/>
    </row>
    <row r="60" spans="2:26" ht="14.55" x14ac:dyDescent="0.3">
      <c r="B60" s="2166">
        <f>IF('Besondere Leistungen GÜ-Berater'!M175="ja",'Besondere Leistungen GÜ-Berater'!L175,0)</f>
        <v>0</v>
      </c>
      <c r="C60" s="2167"/>
      <c r="E60" s="83"/>
      <c r="F60" s="245"/>
      <c r="K60" s="83"/>
      <c r="X60" s="14"/>
      <c r="Y60" s="13"/>
      <c r="Z60" s="15"/>
    </row>
    <row r="61" spans="2:26" ht="14.55" x14ac:dyDescent="0.3">
      <c r="B61" s="2166">
        <f>IF('Besondere Leistungen GÜ-Berater'!M179="ja",'Besondere Leistungen GÜ-Berater'!L179,0)</f>
        <v>0</v>
      </c>
      <c r="C61" s="2167"/>
      <c r="E61" s="83"/>
      <c r="F61" s="245"/>
      <c r="K61" s="83"/>
      <c r="X61" s="14"/>
      <c r="Y61" s="13"/>
      <c r="Z61" s="15"/>
    </row>
    <row r="62" spans="2:26" ht="14.55" x14ac:dyDescent="0.3">
      <c r="B62" s="2166">
        <f>IF('Besondere Leistungen GÜ-Berater'!M183="ja",'Besondere Leistungen GÜ-Berater'!L183,0)</f>
        <v>0</v>
      </c>
      <c r="C62" s="2167"/>
      <c r="E62" s="83"/>
      <c r="F62" s="245"/>
      <c r="K62" s="83"/>
      <c r="X62" s="14"/>
      <c r="Y62" s="13"/>
      <c r="Z62" s="15"/>
    </row>
    <row r="63" spans="2:26" ht="14.55" x14ac:dyDescent="0.3">
      <c r="B63" s="2166">
        <f>IF('Besondere Leistungen GÜ-Berater'!M185="ja",'Besondere Leistungen GÜ-Berater'!L185,0)</f>
        <v>0</v>
      </c>
      <c r="C63" s="2167"/>
      <c r="E63" s="83"/>
      <c r="F63" s="245"/>
      <c r="K63" s="83"/>
      <c r="X63" s="14"/>
      <c r="Y63" s="13"/>
      <c r="Z63" s="15"/>
    </row>
    <row r="64" spans="2:26" ht="14.55" x14ac:dyDescent="0.3">
      <c r="B64" s="2166">
        <f>IF('Besondere Leistungen GÜ-Berater'!M187="ja",'Besondere Leistungen GÜ-Berater'!L187,0)</f>
        <v>0</v>
      </c>
      <c r="C64" s="2167"/>
      <c r="E64" s="83"/>
      <c r="F64" s="245"/>
      <c r="K64" s="83"/>
      <c r="X64" s="14"/>
      <c r="Y64" s="13"/>
      <c r="Z64" s="15"/>
    </row>
    <row r="65" spans="1:26" ht="14.55" x14ac:dyDescent="0.3">
      <c r="B65" s="2166">
        <f>IF('Besondere Leistungen GÜ-Berater'!M189="ja",'Besondere Leistungen GÜ-Berater'!L189,0)</f>
        <v>0</v>
      </c>
      <c r="C65" s="2167"/>
      <c r="E65" s="83"/>
      <c r="F65" s="245"/>
      <c r="K65" s="83"/>
      <c r="X65" s="14"/>
      <c r="Y65" s="13"/>
      <c r="Z65" s="15"/>
    </row>
    <row r="66" spans="1:26" ht="14.55" x14ac:dyDescent="0.3">
      <c r="B66" s="2166">
        <f>IF('Besondere Leistungen GÜ-Berater'!M191="ja",'Besondere Leistungen GÜ-Berater'!L191,0)</f>
        <v>0</v>
      </c>
      <c r="C66" s="2167"/>
      <c r="E66" s="83"/>
      <c r="F66" s="245"/>
      <c r="K66" s="83"/>
      <c r="X66" s="14"/>
      <c r="Y66" s="13"/>
      <c r="Z66" s="15"/>
    </row>
    <row r="67" spans="1:26" ht="14.55" x14ac:dyDescent="0.3">
      <c r="B67" s="2166">
        <f>IF('Besondere Leistungen GÜ-Berater'!M192="ja",'Besondere Leistungen GÜ-Berater'!L192,0)</f>
        <v>0</v>
      </c>
      <c r="C67" s="2167"/>
      <c r="E67" s="83"/>
      <c r="F67" s="245"/>
      <c r="K67" s="83"/>
      <c r="X67" s="14"/>
      <c r="Y67" s="13"/>
      <c r="Z67" s="15"/>
    </row>
    <row r="68" spans="1:26" ht="14.55" x14ac:dyDescent="0.3">
      <c r="B68" s="2166">
        <f>IF('Besondere Leistungen GÜ-Berater'!M197="ja",'Besondere Leistungen GÜ-Berater'!L197,0)</f>
        <v>0</v>
      </c>
      <c r="C68" s="2167"/>
      <c r="E68" s="83"/>
      <c r="F68" s="245"/>
      <c r="K68" s="83"/>
      <c r="X68" s="14"/>
      <c r="Y68" s="13"/>
      <c r="Z68" s="15"/>
    </row>
    <row r="69" spans="1:26" ht="14.55" x14ac:dyDescent="0.3">
      <c r="B69" s="2166">
        <f>IF('Besondere Leistungen GÜ-Berater'!M200="ja",'Besondere Leistungen GÜ-Berater'!L200,0)</f>
        <v>0</v>
      </c>
      <c r="C69" s="2167"/>
      <c r="E69" s="83"/>
      <c r="F69" s="245"/>
      <c r="K69" s="83"/>
      <c r="X69" s="14"/>
      <c r="Y69" s="13"/>
      <c r="Z69" s="15"/>
    </row>
    <row r="70" spans="1:26" ht="14.55" x14ac:dyDescent="0.3">
      <c r="B70" s="2166">
        <f>IF('Besondere Leistungen GÜ-Berater'!M201="ja",'Besondere Leistungen GÜ-Berater'!L201,0)</f>
        <v>0</v>
      </c>
      <c r="C70" s="2167"/>
      <c r="E70" s="83"/>
      <c r="F70" s="245"/>
      <c r="K70" s="83"/>
      <c r="X70" s="14"/>
      <c r="Y70" s="13"/>
      <c r="Z70" s="15"/>
    </row>
    <row r="71" spans="1:26" ht="14.55" x14ac:dyDescent="0.3">
      <c r="B71" s="2166">
        <f>IF('Besondere Leistungen GÜ-Berater'!M204="ja",'Besondere Leistungen GÜ-Berater'!L204,0)</f>
        <v>0</v>
      </c>
      <c r="C71" s="2167"/>
      <c r="E71" s="83"/>
      <c r="F71" s="245"/>
      <c r="K71" s="83"/>
      <c r="X71" s="14"/>
      <c r="Y71" s="13"/>
      <c r="Z71" s="15"/>
    </row>
    <row r="72" spans="1:26" ht="15.2" thickBot="1" x14ac:dyDescent="0.35">
      <c r="B72" s="2166">
        <f>IF('Besondere Leistungen GÜ-Berater'!M207="ja",'Besondere Leistungen GÜ-Berater'!L207,0)</f>
        <v>0</v>
      </c>
      <c r="C72" s="2167"/>
      <c r="E72" s="83"/>
      <c r="F72" s="245"/>
      <c r="K72" s="83"/>
      <c r="X72" s="14"/>
      <c r="Y72" s="13"/>
      <c r="Z72" s="15"/>
    </row>
    <row r="73" spans="1:26" ht="15.2" thickBot="1" x14ac:dyDescent="0.35">
      <c r="B73" s="287"/>
      <c r="C73" s="287"/>
      <c r="E73" s="83"/>
      <c r="F73" s="245"/>
      <c r="K73" s="83"/>
      <c r="X73" s="14"/>
      <c r="Y73" s="13"/>
      <c r="Z73" s="15"/>
    </row>
    <row r="74" spans="1:26" ht="15.2" thickBot="1" x14ac:dyDescent="0.35">
      <c r="A74" s="1" t="s">
        <v>827</v>
      </c>
      <c r="B74" s="2153">
        <f>SUM(B7:C72)</f>
        <v>0</v>
      </c>
      <c r="C74" s="2154"/>
      <c r="E74" s="2207"/>
      <c r="F74" s="2207"/>
      <c r="H74" s="2207"/>
      <c r="I74" s="2207"/>
      <c r="K74" s="2207"/>
      <c r="L74" s="2207"/>
      <c r="N74" s="2207"/>
      <c r="O74" s="2207"/>
      <c r="P74" s="403"/>
      <c r="Q74" s="2207"/>
      <c r="R74" s="2207"/>
      <c r="S74" s="403"/>
      <c r="T74" s="396"/>
      <c r="U74" s="397"/>
      <c r="X74" s="14"/>
      <c r="Y74" s="13"/>
      <c r="Z74" s="15"/>
    </row>
    <row r="75" spans="1:26" ht="14.55" x14ac:dyDescent="0.3">
      <c r="A75" s="83"/>
      <c r="X75" s="14"/>
      <c r="Y75" s="13"/>
      <c r="Z75" s="15"/>
    </row>
    <row r="76" spans="1:26" ht="15.8" x14ac:dyDescent="0.3">
      <c r="A76" s="2147" t="s">
        <v>829</v>
      </c>
      <c r="B76" s="2147"/>
      <c r="C76" s="2147"/>
      <c r="D76" s="2147"/>
      <c r="E76" s="2147"/>
      <c r="F76" s="2147"/>
      <c r="G76" s="2147"/>
      <c r="H76" s="2147"/>
      <c r="I76" s="2147"/>
      <c r="J76" s="2147"/>
      <c r="X76" s="14"/>
      <c r="Y76" s="13"/>
      <c r="Z76" s="15"/>
    </row>
    <row r="77" spans="1:26" ht="15.2" thickBot="1" x14ac:dyDescent="0.35">
      <c r="X77" s="14"/>
      <c r="Y77" s="13"/>
      <c r="Z77" s="15"/>
    </row>
    <row r="78" spans="1:26" ht="15.2" thickBot="1" x14ac:dyDescent="0.35">
      <c r="B78" s="2150">
        <f>'Besondere Leistungen GÜ-Berater'!B6</f>
        <v>0</v>
      </c>
      <c r="C78" s="2151"/>
      <c r="D78" s="2151"/>
      <c r="E78" s="2151"/>
      <c r="F78" s="2151"/>
      <c r="G78" s="2151"/>
      <c r="H78" s="2151"/>
      <c r="I78" s="2151"/>
      <c r="J78" s="2151"/>
      <c r="K78" s="2152"/>
      <c r="X78" s="14"/>
      <c r="Y78" s="13"/>
      <c r="Z78" s="15"/>
    </row>
    <row r="79" spans="1:26" ht="15.2" thickBot="1" x14ac:dyDescent="0.35">
      <c r="B79" s="155" t="s">
        <v>105</v>
      </c>
      <c r="C79" s="227">
        <v>1</v>
      </c>
      <c r="D79" s="228">
        <v>2</v>
      </c>
      <c r="E79" s="228">
        <v>3</v>
      </c>
      <c r="F79" s="228">
        <v>4</v>
      </c>
      <c r="G79" s="228">
        <v>5</v>
      </c>
      <c r="H79" s="228">
        <v>6</v>
      </c>
      <c r="I79" s="228">
        <v>7</v>
      </c>
      <c r="J79" s="229">
        <v>8</v>
      </c>
      <c r="K79" s="229">
        <v>9</v>
      </c>
      <c r="L79" s="225"/>
      <c r="M79" s="225"/>
      <c r="N79" s="225"/>
      <c r="O79" s="225"/>
      <c r="P79" s="225"/>
      <c r="Q79" s="225"/>
      <c r="R79" s="225"/>
      <c r="S79" s="225"/>
      <c r="T79" s="225"/>
      <c r="U79" s="225"/>
      <c r="X79" s="14"/>
      <c r="Y79" s="13"/>
      <c r="Z79" s="15"/>
    </row>
    <row r="80" spans="1:26" ht="14.55" x14ac:dyDescent="0.3">
      <c r="B80" s="240">
        <v>1</v>
      </c>
      <c r="C80" s="230">
        <f>IF(C$79='Besondere Leistungen GÜ-Berater'!$N$9,'Besondere Leistungen GÜ-Berater'!$L$9,0)</f>
        <v>0</v>
      </c>
      <c r="D80" s="231">
        <f>IF(D$79='Besondere Leistungen GÜ-Berater'!$N$9,'Besondere Leistungen GÜ-Berater'!$L$9,0)</f>
        <v>0</v>
      </c>
      <c r="E80" s="231">
        <f>IF(E$79='Besondere Leistungen GÜ-Berater'!$N$9,'Besondere Leistungen GÜ-Berater'!$L$9,0)</f>
        <v>0</v>
      </c>
      <c r="F80" s="231">
        <f>IF(F$79='Besondere Leistungen GÜ-Berater'!$N$9,'Besondere Leistungen GÜ-Berater'!$L$9,0)</f>
        <v>0</v>
      </c>
      <c r="G80" s="231">
        <f>IF(G$79='Besondere Leistungen GÜ-Berater'!$N$9,'Besondere Leistungen GÜ-Berater'!$L$9,0)</f>
        <v>0</v>
      </c>
      <c r="H80" s="231">
        <f>IF(H$79='Besondere Leistungen GÜ-Berater'!$N$9,'Besondere Leistungen GÜ-Berater'!$L$9,0)</f>
        <v>0</v>
      </c>
      <c r="I80" s="231">
        <f>IF(I$79='Besondere Leistungen GÜ-Berater'!$N$9,'Besondere Leistungen GÜ-Berater'!$L$9,0)</f>
        <v>0</v>
      </c>
      <c r="J80" s="231">
        <f>IF(J$79='Besondere Leistungen GÜ-Berater'!$N$9,'Besondere Leistungen GÜ-Berater'!$L$9,0)</f>
        <v>0</v>
      </c>
      <c r="K80" s="232">
        <f>IF(K$79='Besondere Leistungen GÜ-Berater'!$N$9,'Besondere Leistungen GÜ-Berater'!$L$9,0)</f>
        <v>0</v>
      </c>
      <c r="L80" s="83"/>
      <c r="M80" s="83"/>
      <c r="N80" s="83"/>
      <c r="O80" s="83"/>
      <c r="P80" s="83"/>
      <c r="Q80" s="83"/>
      <c r="R80" s="83"/>
      <c r="S80" s="83"/>
      <c r="T80" s="83"/>
      <c r="U80" s="84"/>
      <c r="X80" s="14"/>
      <c r="Y80" s="13"/>
      <c r="Z80" s="15"/>
    </row>
    <row r="81" spans="2:26" ht="14.55" x14ac:dyDescent="0.3">
      <c r="B81" s="241">
        <v>2</v>
      </c>
      <c r="C81" s="233">
        <f>IF(C$79='Besondere Leistungen GÜ-Berater'!$N$13,'Besondere Leistungen GÜ-Berater'!$L$13,0)</f>
        <v>0</v>
      </c>
      <c r="D81" s="234">
        <f>IF(D$79='Besondere Leistungen GÜ-Berater'!$N$13,'Besondere Leistungen GÜ-Berater'!$L$13,0)</f>
        <v>0</v>
      </c>
      <c r="E81" s="234">
        <f>IF(E$79='Besondere Leistungen GÜ-Berater'!$N$13,'Besondere Leistungen GÜ-Berater'!$L$13,0)</f>
        <v>0</v>
      </c>
      <c r="F81" s="234">
        <f>IF(F$79='Besondere Leistungen GÜ-Berater'!$N$13,'Besondere Leistungen GÜ-Berater'!$L$13,0)</f>
        <v>0</v>
      </c>
      <c r="G81" s="234">
        <f>IF(G$79='Besondere Leistungen GÜ-Berater'!$N$13,'Besondere Leistungen GÜ-Berater'!$L$13,0)</f>
        <v>0</v>
      </c>
      <c r="H81" s="234">
        <f>IF(H$79='Besondere Leistungen GÜ-Berater'!$N$13,'Besondere Leistungen GÜ-Berater'!$L$13,0)</f>
        <v>0</v>
      </c>
      <c r="I81" s="234">
        <f>IF(I$79='Besondere Leistungen GÜ-Berater'!$N$13,'Besondere Leistungen GÜ-Berater'!$L$13,0)</f>
        <v>0</v>
      </c>
      <c r="J81" s="234">
        <f>IF(J$79='Besondere Leistungen GÜ-Berater'!$N$13,'Besondere Leistungen GÜ-Berater'!$L$13,0)</f>
        <v>0</v>
      </c>
      <c r="K81" s="235">
        <f>IF(K$79='Besondere Leistungen GÜ-Berater'!$N$13,'Besondere Leistungen GÜ-Berater'!$L$13,0)</f>
        <v>0</v>
      </c>
      <c r="L81" s="83"/>
      <c r="M81" s="83"/>
      <c r="N81" s="83"/>
      <c r="O81" s="83"/>
      <c r="P81" s="83"/>
      <c r="Q81" s="83"/>
      <c r="R81" s="83"/>
      <c r="S81" s="83"/>
      <c r="T81" s="83"/>
      <c r="U81" s="84"/>
      <c r="X81" s="14"/>
      <c r="Y81" s="13"/>
      <c r="Z81" s="15"/>
    </row>
    <row r="82" spans="2:26" ht="14.55" x14ac:dyDescent="0.3">
      <c r="B82" s="241">
        <v>3</v>
      </c>
      <c r="C82" s="233">
        <f>IF(C$79='Besondere Leistungen GÜ-Berater'!$N$18,'Besondere Leistungen GÜ-Berater'!$L$18,0)</f>
        <v>0</v>
      </c>
      <c r="D82" s="234">
        <f>IF(D$79='Besondere Leistungen GÜ-Berater'!$N$18,'Besondere Leistungen GÜ-Berater'!$L$18,0)</f>
        <v>0</v>
      </c>
      <c r="E82" s="234">
        <f>IF(E$79='Besondere Leistungen GÜ-Berater'!$N$18,'Besondere Leistungen GÜ-Berater'!$L$18,0)</f>
        <v>0</v>
      </c>
      <c r="F82" s="234">
        <f>IF(F$79='Besondere Leistungen GÜ-Berater'!$N$18,'Besondere Leistungen GÜ-Berater'!$L$18,0)</f>
        <v>0</v>
      </c>
      <c r="G82" s="234">
        <f>IF(G$79='Besondere Leistungen GÜ-Berater'!$N$18,'Besondere Leistungen GÜ-Berater'!$L$18,0)</f>
        <v>0</v>
      </c>
      <c r="H82" s="234">
        <f>IF(H$79='Besondere Leistungen GÜ-Berater'!$N$18,'Besondere Leistungen GÜ-Berater'!$L$18,0)</f>
        <v>0</v>
      </c>
      <c r="I82" s="234">
        <f>IF(I$79='Besondere Leistungen GÜ-Berater'!$N$18,'Besondere Leistungen GÜ-Berater'!$L$18,0)</f>
        <v>0</v>
      </c>
      <c r="J82" s="234">
        <f>IF(J$79='Besondere Leistungen GÜ-Berater'!$N$18,'Besondere Leistungen GÜ-Berater'!$L$18,0)</f>
        <v>0</v>
      </c>
      <c r="K82" s="235">
        <f>IF(K$79='Besondere Leistungen GÜ-Berater'!$N$18,'Besondere Leistungen GÜ-Berater'!$L$18,0)</f>
        <v>0</v>
      </c>
      <c r="L82" s="83"/>
      <c r="M82" s="83"/>
      <c r="N82" s="83"/>
      <c r="O82" s="83"/>
      <c r="P82" s="83"/>
      <c r="Q82" s="83"/>
      <c r="R82" s="83"/>
      <c r="S82" s="83"/>
      <c r="T82" s="83"/>
      <c r="U82" s="84"/>
      <c r="X82" s="14"/>
      <c r="Y82" s="13"/>
      <c r="Z82" s="15"/>
    </row>
    <row r="83" spans="2:26" ht="14.55" x14ac:dyDescent="0.3">
      <c r="B83" s="241">
        <v>4</v>
      </c>
      <c r="C83" s="233">
        <f>IF(C$79='Besondere Leistungen GÜ-Berater'!$N$21,'Besondere Leistungen GÜ-Berater'!$L$21,0)</f>
        <v>0</v>
      </c>
      <c r="D83" s="234">
        <f>IF(D$79='Besondere Leistungen GÜ-Berater'!$N$21,'Besondere Leistungen GÜ-Berater'!$L$21,0)</f>
        <v>0</v>
      </c>
      <c r="E83" s="234">
        <f>IF(E$79='Besondere Leistungen GÜ-Berater'!$N$21,'Besondere Leistungen GÜ-Berater'!$L$21,0)</f>
        <v>0</v>
      </c>
      <c r="F83" s="234">
        <f>IF(F$79='Besondere Leistungen GÜ-Berater'!$N$21,'Besondere Leistungen GÜ-Berater'!$L$21,0)</f>
        <v>0</v>
      </c>
      <c r="G83" s="234">
        <f>IF(G$79='Besondere Leistungen GÜ-Berater'!$N$21,'Besondere Leistungen GÜ-Berater'!$L$21,0)</f>
        <v>0</v>
      </c>
      <c r="H83" s="234">
        <f>IF(H$79='Besondere Leistungen GÜ-Berater'!$N$21,'Besondere Leistungen GÜ-Berater'!$L$21,0)</f>
        <v>0</v>
      </c>
      <c r="I83" s="234">
        <f>IF(I$79='Besondere Leistungen GÜ-Berater'!$N$21,'Besondere Leistungen GÜ-Berater'!$L$21,0)</f>
        <v>0</v>
      </c>
      <c r="J83" s="234">
        <f>IF(J$79='Besondere Leistungen GÜ-Berater'!$N$21,'Besondere Leistungen GÜ-Berater'!$L$21,0)</f>
        <v>0</v>
      </c>
      <c r="K83" s="235">
        <f>IF(K$79='Besondere Leistungen GÜ-Berater'!$N$21,'Besondere Leistungen GÜ-Berater'!$L$21,0)</f>
        <v>0</v>
      </c>
      <c r="L83" s="83"/>
      <c r="M83" s="83"/>
      <c r="N83" s="83"/>
      <c r="O83" s="83"/>
      <c r="P83" s="83"/>
      <c r="Q83" s="83"/>
      <c r="R83" s="83"/>
      <c r="S83" s="83"/>
      <c r="T83" s="83"/>
      <c r="U83" s="84"/>
      <c r="X83" s="14"/>
      <c r="Y83" s="13"/>
      <c r="Z83" s="15"/>
    </row>
    <row r="84" spans="2:26" ht="14.55" x14ac:dyDescent="0.3">
      <c r="B84" s="241">
        <v>5</v>
      </c>
      <c r="C84" s="233">
        <f>IF(C$79='Besondere Leistungen GÜ-Berater'!$N$26,'Besondere Leistungen GÜ-Berater'!$L$26,0)</f>
        <v>0</v>
      </c>
      <c r="D84" s="234">
        <f>IF(D$79='Besondere Leistungen GÜ-Berater'!$N$26,'Besondere Leistungen GÜ-Berater'!$L$26,0)</f>
        <v>0</v>
      </c>
      <c r="E84" s="234">
        <f>IF(E$79='Besondere Leistungen GÜ-Berater'!$N$26,'Besondere Leistungen GÜ-Berater'!$L$26,0)</f>
        <v>0</v>
      </c>
      <c r="F84" s="234">
        <f>IF(F$79='Besondere Leistungen GÜ-Berater'!$N$26,'Besondere Leistungen GÜ-Berater'!$L$26,0)</f>
        <v>0</v>
      </c>
      <c r="G84" s="234">
        <f>IF(G$79='Besondere Leistungen GÜ-Berater'!$N$26,'Besondere Leistungen GÜ-Berater'!$L$26,0)</f>
        <v>0</v>
      </c>
      <c r="H84" s="234">
        <f>IF(H$79='Besondere Leistungen GÜ-Berater'!$N$26,'Besondere Leistungen GÜ-Berater'!$L$26,0)</f>
        <v>0</v>
      </c>
      <c r="I84" s="234">
        <f>IF(I$79='Besondere Leistungen GÜ-Berater'!$N$26,'Besondere Leistungen GÜ-Berater'!$L$26,0)</f>
        <v>0</v>
      </c>
      <c r="J84" s="234">
        <f>IF(J$79='Besondere Leistungen GÜ-Berater'!$N$26,'Besondere Leistungen GÜ-Berater'!$L$26,0)</f>
        <v>0</v>
      </c>
      <c r="K84" s="235">
        <f>IF(K$79='Besondere Leistungen GÜ-Berater'!$N$26,'Besondere Leistungen GÜ-Berater'!$L$26,0)</f>
        <v>0</v>
      </c>
      <c r="U84" s="226"/>
      <c r="X84" s="14"/>
      <c r="Y84" s="13"/>
      <c r="Z84" s="15"/>
    </row>
    <row r="85" spans="2:26" ht="14.55" x14ac:dyDescent="0.3">
      <c r="B85" s="241">
        <v>6</v>
      </c>
      <c r="C85" s="233">
        <f>IF(C$79='Besondere Leistungen GÜ-Berater'!$N$28,'Besondere Leistungen GÜ-Berater'!$L$28,0)</f>
        <v>0</v>
      </c>
      <c r="D85" s="234">
        <f>IF(D$79='Besondere Leistungen GÜ-Berater'!$N$28,'Besondere Leistungen GÜ-Berater'!$L$28,0)</f>
        <v>0</v>
      </c>
      <c r="E85" s="234">
        <f>IF(E$79='Besondere Leistungen GÜ-Berater'!$N$28,'Besondere Leistungen GÜ-Berater'!$L$28,0)</f>
        <v>0</v>
      </c>
      <c r="F85" s="234">
        <f>IF(F$79='Besondere Leistungen GÜ-Berater'!$N$28,'Besondere Leistungen GÜ-Berater'!$L$28,0)</f>
        <v>0</v>
      </c>
      <c r="G85" s="234">
        <f>IF(G$79='Besondere Leistungen GÜ-Berater'!$N$28,'Besondere Leistungen GÜ-Berater'!$L$28,0)</f>
        <v>0</v>
      </c>
      <c r="H85" s="234">
        <f>IF(H$79='Besondere Leistungen GÜ-Berater'!$N$28,'Besondere Leistungen GÜ-Berater'!$L$28,0)</f>
        <v>0</v>
      </c>
      <c r="I85" s="234">
        <f>IF(I$79='Besondere Leistungen GÜ-Berater'!$N$28,'Besondere Leistungen GÜ-Berater'!$L$28,0)</f>
        <v>0</v>
      </c>
      <c r="J85" s="234">
        <f>IF(J$79='Besondere Leistungen GÜ-Berater'!$N$28,'Besondere Leistungen GÜ-Berater'!$L$28,0)</f>
        <v>0</v>
      </c>
      <c r="K85" s="235">
        <f>IF(K$79='Besondere Leistungen GÜ-Berater'!$N$28,'Besondere Leistungen GÜ-Berater'!$L$28,0)</f>
        <v>0</v>
      </c>
      <c r="X85" s="14"/>
      <c r="Y85" s="13"/>
      <c r="Z85" s="15"/>
    </row>
    <row r="86" spans="2:26" ht="14.55" x14ac:dyDescent="0.3">
      <c r="B86" s="241">
        <v>7</v>
      </c>
      <c r="C86" s="233">
        <f>IF(C$79='Besondere Leistungen GÜ-Berater'!$N$30,'Besondere Leistungen GÜ-Berater'!$L$30,0)</f>
        <v>0</v>
      </c>
      <c r="D86" s="234">
        <f>IF(D$79='Besondere Leistungen GÜ-Berater'!$N$30,'Besondere Leistungen GÜ-Berater'!$L$30,0)</f>
        <v>0</v>
      </c>
      <c r="E86" s="234">
        <f>IF(E$79='Besondere Leistungen GÜ-Berater'!$N$30,'Besondere Leistungen GÜ-Berater'!$L$30,0)</f>
        <v>0</v>
      </c>
      <c r="F86" s="234">
        <f>IF(F$79='Besondere Leistungen GÜ-Berater'!$N$30,'Besondere Leistungen GÜ-Berater'!$L$30,0)</f>
        <v>0</v>
      </c>
      <c r="G86" s="234">
        <f>IF(G$79='Besondere Leistungen GÜ-Berater'!$N$30,'Besondere Leistungen GÜ-Berater'!$L$30,0)</f>
        <v>0</v>
      </c>
      <c r="H86" s="234">
        <f>IF(H$79='Besondere Leistungen GÜ-Berater'!$N$30,'Besondere Leistungen GÜ-Berater'!$L$30,0)</f>
        <v>0</v>
      </c>
      <c r="I86" s="234">
        <f>IF(I$79='Besondere Leistungen GÜ-Berater'!$N$30,'Besondere Leistungen GÜ-Berater'!$L$30,0)</f>
        <v>0</v>
      </c>
      <c r="J86" s="234">
        <f>IF(J$79='Besondere Leistungen GÜ-Berater'!$N$30,'Besondere Leistungen GÜ-Berater'!$L$30,0)</f>
        <v>0</v>
      </c>
      <c r="K86" s="235">
        <f>IF(K$79='Besondere Leistungen GÜ-Berater'!$N$30,'Besondere Leistungen GÜ-Berater'!$L$30,0)</f>
        <v>0</v>
      </c>
      <c r="X86" s="14"/>
      <c r="Y86" s="13"/>
      <c r="Z86" s="15"/>
    </row>
    <row r="87" spans="2:26" ht="14.55" x14ac:dyDescent="0.3">
      <c r="B87" s="241">
        <v>8</v>
      </c>
      <c r="C87" s="233">
        <f>IF(C$79='Besondere Leistungen GÜ-Berater'!$N$33,'Besondere Leistungen GÜ-Berater'!$L$33,0)</f>
        <v>0</v>
      </c>
      <c r="D87" s="234">
        <f>IF(D$79='Besondere Leistungen GÜ-Berater'!$N$33,'Besondere Leistungen GÜ-Berater'!$L$33,0)</f>
        <v>0</v>
      </c>
      <c r="E87" s="234">
        <f>IF(E$79='Besondere Leistungen GÜ-Berater'!$N$33,'Besondere Leistungen GÜ-Berater'!$L$33,0)</f>
        <v>0</v>
      </c>
      <c r="F87" s="234">
        <f>IF(F$79='Besondere Leistungen GÜ-Berater'!$N$33,'Besondere Leistungen GÜ-Berater'!$L$33,0)</f>
        <v>0</v>
      </c>
      <c r="G87" s="234">
        <f>IF(G$79='Besondere Leistungen GÜ-Berater'!$N$33,'Besondere Leistungen GÜ-Berater'!$L$33,0)</f>
        <v>0</v>
      </c>
      <c r="H87" s="234">
        <f>IF(H$79='Besondere Leistungen GÜ-Berater'!$N$33,'Besondere Leistungen GÜ-Berater'!$L$33,0)</f>
        <v>0</v>
      </c>
      <c r="I87" s="234">
        <f>IF(I$79='Besondere Leistungen GÜ-Berater'!$N$33,'Besondere Leistungen GÜ-Berater'!$L$33,0)</f>
        <v>0</v>
      </c>
      <c r="J87" s="234">
        <f>IF(J$79='Besondere Leistungen GÜ-Berater'!$N$33,'Besondere Leistungen GÜ-Berater'!$L$33,0)</f>
        <v>0</v>
      </c>
      <c r="K87" s="235">
        <f>IF(K$79='Besondere Leistungen GÜ-Berater'!$N$33,'Besondere Leistungen GÜ-Berater'!$L$33,0)</f>
        <v>0</v>
      </c>
      <c r="X87" s="14"/>
      <c r="Y87" s="13"/>
      <c r="Z87" s="15"/>
    </row>
    <row r="88" spans="2:26" ht="14.55" x14ac:dyDescent="0.3">
      <c r="B88" s="241">
        <v>9</v>
      </c>
      <c r="C88" s="233">
        <f>IF(C$79='Besondere Leistungen GÜ-Berater'!$N$35,'Besondere Leistungen GÜ-Berater'!$L$35,0)</f>
        <v>0</v>
      </c>
      <c r="D88" s="234">
        <f>IF(D$79='Besondere Leistungen GÜ-Berater'!$N$35,'Besondere Leistungen GÜ-Berater'!$L$35,0)</f>
        <v>0</v>
      </c>
      <c r="E88" s="234">
        <f>IF(E$79='Besondere Leistungen GÜ-Berater'!$N$35,'Besondere Leistungen GÜ-Berater'!$L$35,0)</f>
        <v>0</v>
      </c>
      <c r="F88" s="234">
        <f>IF(F$79='Besondere Leistungen GÜ-Berater'!$N$35,'Besondere Leistungen GÜ-Berater'!$L$35,0)</f>
        <v>0</v>
      </c>
      <c r="G88" s="234">
        <f>IF(G$79='Besondere Leistungen GÜ-Berater'!$N$35,'Besondere Leistungen GÜ-Berater'!$L$35,0)</f>
        <v>0</v>
      </c>
      <c r="H88" s="234">
        <f>IF(H$79='Besondere Leistungen GÜ-Berater'!$N$35,'Besondere Leistungen GÜ-Berater'!$L$35,0)</f>
        <v>0</v>
      </c>
      <c r="I88" s="234">
        <f>IF(I$79='Besondere Leistungen GÜ-Berater'!$N$35,'Besondere Leistungen GÜ-Berater'!$L$35,0)</f>
        <v>0</v>
      </c>
      <c r="J88" s="234">
        <f>IF(J$79='Besondere Leistungen GÜ-Berater'!$N$35,'Besondere Leistungen GÜ-Berater'!$L$35,0)</f>
        <v>0</v>
      </c>
      <c r="K88" s="235">
        <f>IF(K$79='Besondere Leistungen GÜ-Berater'!$N$35,'Besondere Leistungen GÜ-Berater'!$L$35,0)</f>
        <v>0</v>
      </c>
      <c r="X88" s="14"/>
      <c r="Y88" s="13"/>
      <c r="Z88" s="15"/>
    </row>
    <row r="89" spans="2:26" ht="14.55" x14ac:dyDescent="0.3">
      <c r="B89" s="241">
        <v>10</v>
      </c>
      <c r="C89" s="233">
        <f>IF(C$79='Besondere Leistungen GÜ-Berater'!$N$39,'Besondere Leistungen GÜ-Berater'!$L$39,0)</f>
        <v>0</v>
      </c>
      <c r="D89" s="234">
        <f>IF(D$79='Besondere Leistungen GÜ-Berater'!$N$39,'Besondere Leistungen GÜ-Berater'!$L$39,0)</f>
        <v>0</v>
      </c>
      <c r="E89" s="234">
        <f>IF(E$79='Besondere Leistungen GÜ-Berater'!$N$39,'Besondere Leistungen GÜ-Berater'!$L$39,0)</f>
        <v>0</v>
      </c>
      <c r="F89" s="234">
        <f>IF(F$79='Besondere Leistungen GÜ-Berater'!$N$39,'Besondere Leistungen GÜ-Berater'!$L$39,0)</f>
        <v>0</v>
      </c>
      <c r="G89" s="234">
        <f>IF(G$79='Besondere Leistungen GÜ-Berater'!$N$39,'Besondere Leistungen GÜ-Berater'!$L$39,0)</f>
        <v>0</v>
      </c>
      <c r="H89" s="234">
        <f>IF(H$79='Besondere Leistungen GÜ-Berater'!$N$39,'Besondere Leistungen GÜ-Berater'!$L$39,0)</f>
        <v>0</v>
      </c>
      <c r="I89" s="234">
        <f>IF(I$79='Besondere Leistungen GÜ-Berater'!$N$39,'Besondere Leistungen GÜ-Berater'!$L$39,0)</f>
        <v>0</v>
      </c>
      <c r="J89" s="234">
        <f>IF(J$79='Besondere Leistungen GÜ-Berater'!$N$39,'Besondere Leistungen GÜ-Berater'!$L$39,0)</f>
        <v>0</v>
      </c>
      <c r="K89" s="235">
        <f>IF(K$79='Besondere Leistungen GÜ-Berater'!$N$39,'Besondere Leistungen GÜ-Berater'!$L$39,0)</f>
        <v>0</v>
      </c>
      <c r="X89" s="14"/>
      <c r="Y89" s="13"/>
      <c r="Z89" s="15"/>
    </row>
    <row r="90" spans="2:26" ht="14.55" x14ac:dyDescent="0.3">
      <c r="B90" s="241">
        <v>11</v>
      </c>
      <c r="C90" s="233">
        <f>IF(C$79='Besondere Leistungen GÜ-Berater'!$N$45,'Besondere Leistungen GÜ-Berater'!$L$45,0)</f>
        <v>0</v>
      </c>
      <c r="D90" s="234">
        <f>IF(D$79='Besondere Leistungen GÜ-Berater'!$N$45,'Besondere Leistungen GÜ-Berater'!$L$45,0)</f>
        <v>0</v>
      </c>
      <c r="E90" s="234">
        <f>IF(E$79='Besondere Leistungen GÜ-Berater'!$N$45,'Besondere Leistungen GÜ-Berater'!$L$45,0)</f>
        <v>0</v>
      </c>
      <c r="F90" s="234">
        <f>IF(F$79='Besondere Leistungen GÜ-Berater'!$N$45,'Besondere Leistungen GÜ-Berater'!$L$45,0)</f>
        <v>0</v>
      </c>
      <c r="G90" s="234">
        <f>IF(G$79='Besondere Leistungen GÜ-Berater'!$N$45,'Besondere Leistungen GÜ-Berater'!$L$45,0)</f>
        <v>0</v>
      </c>
      <c r="H90" s="234">
        <f>IF(H$79='Besondere Leistungen GÜ-Berater'!$N$45,'Besondere Leistungen GÜ-Berater'!$L$45,0)</f>
        <v>0</v>
      </c>
      <c r="I90" s="234">
        <f>IF(I$79='Besondere Leistungen GÜ-Berater'!$N$45,'Besondere Leistungen GÜ-Berater'!$L$45,0)</f>
        <v>0</v>
      </c>
      <c r="J90" s="234">
        <f>IF(J$79='Besondere Leistungen GÜ-Berater'!$N$45,'Besondere Leistungen GÜ-Berater'!$L$45,0)</f>
        <v>0</v>
      </c>
      <c r="K90" s="235">
        <f>IF(K$79='Besondere Leistungen GÜ-Berater'!$N$45,'Besondere Leistungen GÜ-Berater'!$L$45,0)</f>
        <v>0</v>
      </c>
      <c r="X90" s="14"/>
      <c r="Y90" s="13"/>
      <c r="Z90" s="15"/>
    </row>
    <row r="91" spans="2:26" ht="14.55" x14ac:dyDescent="0.3">
      <c r="B91" s="241">
        <v>12</v>
      </c>
      <c r="C91" s="233">
        <f>IF(C$79='Besondere Leistungen GÜ-Berater'!$N$50,'Besondere Leistungen GÜ-Berater'!$L$50,0)</f>
        <v>0</v>
      </c>
      <c r="D91" s="234">
        <f>IF(D$79='Besondere Leistungen GÜ-Berater'!$N$50,'Besondere Leistungen GÜ-Berater'!$L$50,0)</f>
        <v>0</v>
      </c>
      <c r="E91" s="234">
        <f>IF(E$79='Besondere Leistungen GÜ-Berater'!$N$50,'Besondere Leistungen GÜ-Berater'!$L$50,0)</f>
        <v>0</v>
      </c>
      <c r="F91" s="234">
        <f>IF(F$79='Besondere Leistungen GÜ-Berater'!$N$50,'Besondere Leistungen GÜ-Berater'!$L$50,0)</f>
        <v>0</v>
      </c>
      <c r="G91" s="234">
        <f>IF(G$79='Besondere Leistungen GÜ-Berater'!$N$50,'Besondere Leistungen GÜ-Berater'!$L$50,0)</f>
        <v>0</v>
      </c>
      <c r="H91" s="234">
        <f>IF(H$79='Besondere Leistungen GÜ-Berater'!$N$50,'Besondere Leistungen GÜ-Berater'!$L$50,0)</f>
        <v>0</v>
      </c>
      <c r="I91" s="234">
        <f>IF(I$79='Besondere Leistungen GÜ-Berater'!$N$50,'Besondere Leistungen GÜ-Berater'!$L$50,0)</f>
        <v>0</v>
      </c>
      <c r="J91" s="234">
        <f>IF(J$79='Besondere Leistungen GÜ-Berater'!$N$50,'Besondere Leistungen GÜ-Berater'!$L$50,0)</f>
        <v>0</v>
      </c>
      <c r="K91" s="235">
        <f>IF(K$79='Besondere Leistungen GÜ-Berater'!$N$50,'Besondere Leistungen GÜ-Berater'!$L$50,0)</f>
        <v>0</v>
      </c>
      <c r="X91" s="14"/>
      <c r="Y91" s="13"/>
      <c r="Z91" s="15"/>
    </row>
    <row r="92" spans="2:26" ht="14.55" x14ac:dyDescent="0.3">
      <c r="B92" s="241">
        <v>13</v>
      </c>
      <c r="C92" s="233">
        <f>IF(C$79='Besondere Leistungen GÜ-Berater'!$N$52,'Besondere Leistungen GÜ-Berater'!$L$52,0)</f>
        <v>0</v>
      </c>
      <c r="D92" s="234">
        <f>IF(D$79='Besondere Leistungen GÜ-Berater'!$N$52,'Besondere Leistungen GÜ-Berater'!$L$52,0)</f>
        <v>0</v>
      </c>
      <c r="E92" s="234">
        <f>IF(E$79='Besondere Leistungen GÜ-Berater'!$N$52,'Besondere Leistungen GÜ-Berater'!$L$52,0)</f>
        <v>0</v>
      </c>
      <c r="F92" s="234">
        <f>IF(F$79='Besondere Leistungen GÜ-Berater'!$N$52,'Besondere Leistungen GÜ-Berater'!$L$52,0)</f>
        <v>0</v>
      </c>
      <c r="G92" s="234">
        <f>IF(G$79='Besondere Leistungen GÜ-Berater'!$N$52,'Besondere Leistungen GÜ-Berater'!$L$52,0)</f>
        <v>0</v>
      </c>
      <c r="H92" s="234">
        <f>IF(H$79='Besondere Leistungen GÜ-Berater'!$N$52,'Besondere Leistungen GÜ-Berater'!$L$52,0)</f>
        <v>0</v>
      </c>
      <c r="I92" s="234">
        <f>IF(I$79='Besondere Leistungen GÜ-Berater'!$N$52,'Besondere Leistungen GÜ-Berater'!$L$52,0)</f>
        <v>0</v>
      </c>
      <c r="J92" s="234">
        <f>IF(J$79='Besondere Leistungen GÜ-Berater'!$N$52,'Besondere Leistungen GÜ-Berater'!$L$52,0)</f>
        <v>0</v>
      </c>
      <c r="K92" s="235">
        <f>IF(K$79='Besondere Leistungen GÜ-Berater'!$N$52,'Besondere Leistungen GÜ-Berater'!$L$52,0)</f>
        <v>0</v>
      </c>
      <c r="X92" s="14"/>
      <c r="Y92" s="13"/>
      <c r="Z92" s="15"/>
    </row>
    <row r="93" spans="2:26" ht="14.55" x14ac:dyDescent="0.3">
      <c r="B93" s="241">
        <v>14</v>
      </c>
      <c r="C93" s="233">
        <f>IF(C$79='Besondere Leistungen GÜ-Berater'!$N$54,'Besondere Leistungen GÜ-Berater'!$L$54,0)</f>
        <v>0</v>
      </c>
      <c r="D93" s="234">
        <f>IF(D$79='Besondere Leistungen GÜ-Berater'!$N$54,'Besondere Leistungen GÜ-Berater'!$L$54,0)</f>
        <v>0</v>
      </c>
      <c r="E93" s="234">
        <f>IF(E$79='Besondere Leistungen GÜ-Berater'!$N$54,'Besondere Leistungen GÜ-Berater'!$L$54,0)</f>
        <v>0</v>
      </c>
      <c r="F93" s="234">
        <f>IF(F$79='Besondere Leistungen GÜ-Berater'!$N$54,'Besondere Leistungen GÜ-Berater'!$L$54,0)</f>
        <v>0</v>
      </c>
      <c r="G93" s="234">
        <f>IF(G$79='Besondere Leistungen GÜ-Berater'!$N$54,'Besondere Leistungen GÜ-Berater'!$L$54,0)</f>
        <v>0</v>
      </c>
      <c r="H93" s="234">
        <f>IF(H$79='Besondere Leistungen GÜ-Berater'!$N$54,'Besondere Leistungen GÜ-Berater'!$L$54,0)</f>
        <v>0</v>
      </c>
      <c r="I93" s="234">
        <f>IF(I$79='Besondere Leistungen GÜ-Berater'!$N$54,'Besondere Leistungen GÜ-Berater'!$L$54,0)</f>
        <v>0</v>
      </c>
      <c r="J93" s="234">
        <f>IF(J$79='Besondere Leistungen GÜ-Berater'!$N$54,'Besondere Leistungen GÜ-Berater'!$L$54,0)</f>
        <v>0</v>
      </c>
      <c r="K93" s="235">
        <f>IF(K$79='Besondere Leistungen GÜ-Berater'!$N$54,'Besondere Leistungen GÜ-Berater'!$L$54,0)</f>
        <v>0</v>
      </c>
      <c r="X93" s="14"/>
      <c r="Y93" s="13"/>
      <c r="Z93" s="15"/>
    </row>
    <row r="94" spans="2:26" ht="14.55" x14ac:dyDescent="0.3">
      <c r="B94" s="241">
        <v>15</v>
      </c>
      <c r="C94" s="233">
        <f>IF(C$79='Besondere Leistungen GÜ-Berater'!$N$57,'Besondere Leistungen GÜ-Berater'!$L$57,0)</f>
        <v>0</v>
      </c>
      <c r="D94" s="234">
        <f>IF(D$79='Besondere Leistungen GÜ-Berater'!$N$57,'Besondere Leistungen GÜ-Berater'!$L$57,0)</f>
        <v>0</v>
      </c>
      <c r="E94" s="234">
        <f>IF(E$79='Besondere Leistungen GÜ-Berater'!$N$57,'Besondere Leistungen GÜ-Berater'!$L$57,0)</f>
        <v>0</v>
      </c>
      <c r="F94" s="234">
        <f>IF(F$79='Besondere Leistungen GÜ-Berater'!$N$57,'Besondere Leistungen GÜ-Berater'!$L$57,0)</f>
        <v>0</v>
      </c>
      <c r="G94" s="234">
        <f>IF(G$79='Besondere Leistungen GÜ-Berater'!$N$57,'Besondere Leistungen GÜ-Berater'!$L$57,0)</f>
        <v>0</v>
      </c>
      <c r="H94" s="234">
        <f>IF(H$79='Besondere Leistungen GÜ-Berater'!$N$57,'Besondere Leistungen GÜ-Berater'!$L$57,0)</f>
        <v>0</v>
      </c>
      <c r="I94" s="234">
        <f>IF(I$79='Besondere Leistungen GÜ-Berater'!$N$57,'Besondere Leistungen GÜ-Berater'!$L$57,0)</f>
        <v>0</v>
      </c>
      <c r="J94" s="234">
        <f>IF(J$79='Besondere Leistungen GÜ-Berater'!$N$57,'Besondere Leistungen GÜ-Berater'!$L$57,0)</f>
        <v>0</v>
      </c>
      <c r="K94" s="235">
        <f>IF(K$79='Besondere Leistungen GÜ-Berater'!$N$57,'Besondere Leistungen GÜ-Berater'!$L$57,0)</f>
        <v>0</v>
      </c>
      <c r="X94" s="14"/>
      <c r="Y94" s="13"/>
      <c r="Z94" s="15"/>
    </row>
    <row r="95" spans="2:26" ht="14.55" x14ac:dyDescent="0.3">
      <c r="B95" s="241">
        <v>16</v>
      </c>
      <c r="C95" s="233">
        <f>IF(C$79='Besondere Leistungen GÜ-Berater'!$N$60,'Besondere Leistungen GÜ-Berater'!$L$60,0)</f>
        <v>0</v>
      </c>
      <c r="D95" s="234">
        <f>IF(D$79='Besondere Leistungen GÜ-Berater'!$N$60,'Besondere Leistungen GÜ-Berater'!$L$60,0)</f>
        <v>0</v>
      </c>
      <c r="E95" s="234">
        <f>IF(E$79='Besondere Leistungen GÜ-Berater'!$N$60,'Besondere Leistungen GÜ-Berater'!$L$60,0)</f>
        <v>0</v>
      </c>
      <c r="F95" s="234">
        <f>IF(F$79='Besondere Leistungen GÜ-Berater'!$N$60,'Besondere Leistungen GÜ-Berater'!$L$60,0)</f>
        <v>0</v>
      </c>
      <c r="G95" s="234">
        <f>IF(G$79='Besondere Leistungen GÜ-Berater'!$N$60,'Besondere Leistungen GÜ-Berater'!$L$60,0)</f>
        <v>0</v>
      </c>
      <c r="H95" s="234">
        <f>IF(H$79='Besondere Leistungen GÜ-Berater'!$N$60,'Besondere Leistungen GÜ-Berater'!$L$60,0)</f>
        <v>0</v>
      </c>
      <c r="I95" s="234">
        <f>IF(I$79='Besondere Leistungen GÜ-Berater'!$N$60,'Besondere Leistungen GÜ-Berater'!$L$60,0)</f>
        <v>0</v>
      </c>
      <c r="J95" s="234">
        <f>IF(J$79='Besondere Leistungen GÜ-Berater'!$N$60,'Besondere Leistungen GÜ-Berater'!$L$60,0)</f>
        <v>0</v>
      </c>
      <c r="K95" s="235">
        <f>IF(K$79='Besondere Leistungen GÜ-Berater'!$N$60,'Besondere Leistungen GÜ-Berater'!$L$60,0)</f>
        <v>0</v>
      </c>
      <c r="X95" s="14"/>
      <c r="Y95" s="13"/>
      <c r="Z95" s="15"/>
    </row>
    <row r="96" spans="2:26" ht="14.55" x14ac:dyDescent="0.3">
      <c r="B96" s="241">
        <v>17</v>
      </c>
      <c r="C96" s="233">
        <f>IF(C$79='Besondere Leistungen GÜ-Berater'!$N$65,'Besondere Leistungen GÜ-Berater'!$L$65,0)</f>
        <v>0</v>
      </c>
      <c r="D96" s="234">
        <f>IF(D$79='Besondere Leistungen GÜ-Berater'!$N$65,'Besondere Leistungen GÜ-Berater'!$L$65,0)</f>
        <v>0</v>
      </c>
      <c r="E96" s="234">
        <f>IF(E$79='Besondere Leistungen GÜ-Berater'!$N$65,'Besondere Leistungen GÜ-Berater'!$L$65,0)</f>
        <v>0</v>
      </c>
      <c r="F96" s="234">
        <f>IF(F$79='Besondere Leistungen GÜ-Berater'!$N$65,'Besondere Leistungen GÜ-Berater'!$L$65,0)</f>
        <v>0</v>
      </c>
      <c r="G96" s="234">
        <f>IF(G$79='Besondere Leistungen GÜ-Berater'!$N$65,'Besondere Leistungen GÜ-Berater'!$L$65,0)</f>
        <v>0</v>
      </c>
      <c r="H96" s="234">
        <f>IF(H$79='Besondere Leistungen GÜ-Berater'!$N$65,'Besondere Leistungen GÜ-Berater'!$L$65,0)</f>
        <v>0</v>
      </c>
      <c r="I96" s="234">
        <f>IF(I$79='Besondere Leistungen GÜ-Berater'!$N$65,'Besondere Leistungen GÜ-Berater'!$L$65,0)</f>
        <v>0</v>
      </c>
      <c r="J96" s="234">
        <f>IF(J$79='Besondere Leistungen GÜ-Berater'!$N$65,'Besondere Leistungen GÜ-Berater'!$L$65,0)</f>
        <v>0</v>
      </c>
      <c r="K96" s="235">
        <f>IF(K$79='Besondere Leistungen GÜ-Berater'!$N$65,'Besondere Leistungen GÜ-Berater'!$L$65,0)</f>
        <v>0</v>
      </c>
      <c r="X96" s="14"/>
      <c r="Y96" s="13"/>
      <c r="Z96" s="15"/>
    </row>
    <row r="97" spans="2:26" ht="14.55" x14ac:dyDescent="0.3">
      <c r="B97" s="241">
        <v>18</v>
      </c>
      <c r="C97" s="233">
        <f>IF(C$79='Besondere Leistungen GÜ-Berater'!$N$68,'Besondere Leistungen GÜ-Berater'!$L$68,0)</f>
        <v>0</v>
      </c>
      <c r="D97" s="234">
        <f>IF(D$79='Besondere Leistungen GÜ-Berater'!$N$68,'Besondere Leistungen GÜ-Berater'!$L$68,0)</f>
        <v>0</v>
      </c>
      <c r="E97" s="234">
        <f>IF(E$79='Besondere Leistungen GÜ-Berater'!$N$68,'Besondere Leistungen GÜ-Berater'!$L$68,0)</f>
        <v>0</v>
      </c>
      <c r="F97" s="234">
        <f>IF(F$79='Besondere Leistungen GÜ-Berater'!$N$68,'Besondere Leistungen GÜ-Berater'!$L$68,0)</f>
        <v>0</v>
      </c>
      <c r="G97" s="234">
        <f>IF(G$79='Besondere Leistungen GÜ-Berater'!$N$68,'Besondere Leistungen GÜ-Berater'!$L$68,0)</f>
        <v>0</v>
      </c>
      <c r="H97" s="234">
        <f>IF(H$79='Besondere Leistungen GÜ-Berater'!$N$68,'Besondere Leistungen GÜ-Berater'!$L$68,0)</f>
        <v>0</v>
      </c>
      <c r="I97" s="234">
        <f>IF(I$79='Besondere Leistungen GÜ-Berater'!$N$68,'Besondere Leistungen GÜ-Berater'!$L$68,0)</f>
        <v>0</v>
      </c>
      <c r="J97" s="234">
        <f>IF(J$79='Besondere Leistungen GÜ-Berater'!$N$68,'Besondere Leistungen GÜ-Berater'!$L$68,0)</f>
        <v>0</v>
      </c>
      <c r="K97" s="235">
        <f>IF(K$79='Besondere Leistungen GÜ-Berater'!$N$68,'Besondere Leistungen GÜ-Berater'!$L$68,0)</f>
        <v>0</v>
      </c>
      <c r="X97" s="14"/>
      <c r="Y97" s="13"/>
      <c r="Z97" s="15"/>
    </row>
    <row r="98" spans="2:26" ht="14.55" x14ac:dyDescent="0.3">
      <c r="B98" s="241">
        <v>19</v>
      </c>
      <c r="C98" s="233">
        <f>IF(C$79='Besondere Leistungen GÜ-Berater'!$N$73,'Besondere Leistungen GÜ-Berater'!$L$73,0)</f>
        <v>0</v>
      </c>
      <c r="D98" s="234">
        <f>IF(D$79='Besondere Leistungen GÜ-Berater'!$N$73,'Besondere Leistungen GÜ-Berater'!$L$73,0)</f>
        <v>0</v>
      </c>
      <c r="E98" s="234">
        <f>IF(E$79='Besondere Leistungen GÜ-Berater'!$N$73,'Besondere Leistungen GÜ-Berater'!$L$73,0)</f>
        <v>0</v>
      </c>
      <c r="F98" s="234">
        <f>IF(F$79='Besondere Leistungen GÜ-Berater'!$N$73,'Besondere Leistungen GÜ-Berater'!$L$73,0)</f>
        <v>0</v>
      </c>
      <c r="G98" s="234">
        <f>IF(G$79='Besondere Leistungen GÜ-Berater'!$N$73,'Besondere Leistungen GÜ-Berater'!$L$73,0)</f>
        <v>0</v>
      </c>
      <c r="H98" s="234">
        <f>IF(H$79='Besondere Leistungen GÜ-Berater'!$N$73,'Besondere Leistungen GÜ-Berater'!$L$73,0)</f>
        <v>0</v>
      </c>
      <c r="I98" s="234">
        <f>IF(I$79='Besondere Leistungen GÜ-Berater'!$N$73,'Besondere Leistungen GÜ-Berater'!$L$73,0)</f>
        <v>0</v>
      </c>
      <c r="J98" s="234">
        <f>IF(J$79='Besondere Leistungen GÜ-Berater'!$N$73,'Besondere Leistungen GÜ-Berater'!$L$73,0)</f>
        <v>0</v>
      </c>
      <c r="K98" s="235">
        <f>IF(K$79='Besondere Leistungen GÜ-Berater'!$N$73,'Besondere Leistungen GÜ-Berater'!$L$73,0)</f>
        <v>0</v>
      </c>
      <c r="X98" s="14"/>
      <c r="Y98" s="13"/>
      <c r="Z98" s="15"/>
    </row>
    <row r="99" spans="2:26" ht="14.55" x14ac:dyDescent="0.3">
      <c r="B99" s="241">
        <v>20</v>
      </c>
      <c r="C99" s="233">
        <f>IF(C$79='Besondere Leistungen GÜ-Berater'!$N$76,'Besondere Leistungen GÜ-Berater'!$L$76,0)</f>
        <v>0</v>
      </c>
      <c r="D99" s="234">
        <f>IF(D$79='Besondere Leistungen GÜ-Berater'!$N$76,'Besondere Leistungen GÜ-Berater'!$L$76,0)</f>
        <v>0</v>
      </c>
      <c r="E99" s="234">
        <f>IF(E$79='Besondere Leistungen GÜ-Berater'!$N$76,'Besondere Leistungen GÜ-Berater'!$L$76,0)</f>
        <v>0</v>
      </c>
      <c r="F99" s="234">
        <f>IF(F$79='Besondere Leistungen GÜ-Berater'!$N$76,'Besondere Leistungen GÜ-Berater'!$L$76,0)</f>
        <v>0</v>
      </c>
      <c r="G99" s="234">
        <f>IF(G$79='Besondere Leistungen GÜ-Berater'!$N$76,'Besondere Leistungen GÜ-Berater'!$L$76,0)</f>
        <v>0</v>
      </c>
      <c r="H99" s="234">
        <f>IF(H$79='Besondere Leistungen GÜ-Berater'!$N$76,'Besondere Leistungen GÜ-Berater'!$L$76,0)</f>
        <v>0</v>
      </c>
      <c r="I99" s="234">
        <f>IF(I$79='Besondere Leistungen GÜ-Berater'!$N$76,'Besondere Leistungen GÜ-Berater'!$L$76,0)</f>
        <v>0</v>
      </c>
      <c r="J99" s="234">
        <f>IF(J$79='Besondere Leistungen GÜ-Berater'!$N$76,'Besondere Leistungen GÜ-Berater'!$L$76,0)</f>
        <v>0</v>
      </c>
      <c r="K99" s="235">
        <f>IF(K$79='Besondere Leistungen GÜ-Berater'!$N$76,'Besondere Leistungen GÜ-Berater'!$L$76,0)</f>
        <v>0</v>
      </c>
      <c r="X99" s="14"/>
      <c r="Y99" s="13"/>
      <c r="Z99" s="15"/>
    </row>
    <row r="100" spans="2:26" ht="14.55" x14ac:dyDescent="0.3">
      <c r="B100" s="241">
        <v>21</v>
      </c>
      <c r="C100" s="233">
        <f>IF(C$79='Besondere Leistungen GÜ-Berater'!$N$78,'Besondere Leistungen GÜ-Berater'!$L$78,0)</f>
        <v>0</v>
      </c>
      <c r="D100" s="234">
        <f>IF(D$79='Besondere Leistungen GÜ-Berater'!$N$78,'Besondere Leistungen GÜ-Berater'!$L$78,0)</f>
        <v>0</v>
      </c>
      <c r="E100" s="234">
        <f>IF(E$79='Besondere Leistungen GÜ-Berater'!$N$78,'Besondere Leistungen GÜ-Berater'!$L$78,0)</f>
        <v>0</v>
      </c>
      <c r="F100" s="234">
        <f>IF(F$79='Besondere Leistungen GÜ-Berater'!$N$78,'Besondere Leistungen GÜ-Berater'!$L$78,0)</f>
        <v>0</v>
      </c>
      <c r="G100" s="234">
        <f>IF(G$79='Besondere Leistungen GÜ-Berater'!$N$78,'Besondere Leistungen GÜ-Berater'!$L$78,0)</f>
        <v>0</v>
      </c>
      <c r="H100" s="234">
        <f>IF(H$79='Besondere Leistungen GÜ-Berater'!$N$78,'Besondere Leistungen GÜ-Berater'!$L$78,0)</f>
        <v>0</v>
      </c>
      <c r="I100" s="234">
        <f>IF(I$79='Besondere Leistungen GÜ-Berater'!$N$78,'Besondere Leistungen GÜ-Berater'!$L$78,0)</f>
        <v>0</v>
      </c>
      <c r="J100" s="234">
        <f>IF(J$79='Besondere Leistungen GÜ-Berater'!$N$78,'Besondere Leistungen GÜ-Berater'!$L$78,0)</f>
        <v>0</v>
      </c>
      <c r="K100" s="235">
        <f>IF(K$79='Besondere Leistungen GÜ-Berater'!$N$78,'Besondere Leistungen GÜ-Berater'!$L$78,0)</f>
        <v>0</v>
      </c>
      <c r="X100" s="14"/>
      <c r="Y100" s="13"/>
      <c r="Z100" s="15"/>
    </row>
    <row r="101" spans="2:26" ht="14.55" x14ac:dyDescent="0.3">
      <c r="B101" s="241">
        <v>22</v>
      </c>
      <c r="C101" s="233">
        <f>IF(C$79='Besondere Leistungen GÜ-Berater'!$N$81,'Besondere Leistungen GÜ-Berater'!$L$81,0)</f>
        <v>0</v>
      </c>
      <c r="D101" s="234">
        <f>IF(D$79='Besondere Leistungen GÜ-Berater'!$N$81,'Besondere Leistungen GÜ-Berater'!$L$81,0)</f>
        <v>0</v>
      </c>
      <c r="E101" s="234">
        <f>IF(E$79='Besondere Leistungen GÜ-Berater'!$N$81,'Besondere Leistungen GÜ-Berater'!$L$81,0)</f>
        <v>0</v>
      </c>
      <c r="F101" s="234">
        <f>IF(F$79='Besondere Leistungen GÜ-Berater'!$N$81,'Besondere Leistungen GÜ-Berater'!$L$81,0)</f>
        <v>0</v>
      </c>
      <c r="G101" s="234">
        <f>IF(G$79='Besondere Leistungen GÜ-Berater'!$N$81,'Besondere Leistungen GÜ-Berater'!$L$81,0)</f>
        <v>0</v>
      </c>
      <c r="H101" s="234">
        <f>IF(H$79='Besondere Leistungen GÜ-Berater'!$N$81,'Besondere Leistungen GÜ-Berater'!$L$81,0)</f>
        <v>0</v>
      </c>
      <c r="I101" s="234">
        <f>IF(I$79='Besondere Leistungen GÜ-Berater'!$N$81,'Besondere Leistungen GÜ-Berater'!$L$81,0)</f>
        <v>0</v>
      </c>
      <c r="J101" s="234">
        <f>IF(J$79='Besondere Leistungen GÜ-Berater'!$N$81,'Besondere Leistungen GÜ-Berater'!$L$81,0)</f>
        <v>0</v>
      </c>
      <c r="K101" s="235">
        <f>IF(K$79='Besondere Leistungen GÜ-Berater'!$N$81,'Besondere Leistungen GÜ-Berater'!$L$81,0)</f>
        <v>0</v>
      </c>
      <c r="X101" s="14"/>
      <c r="Y101" s="13"/>
      <c r="Z101" s="15"/>
    </row>
    <row r="102" spans="2:26" ht="14.55" x14ac:dyDescent="0.3">
      <c r="B102" s="241">
        <v>23</v>
      </c>
      <c r="C102" s="233">
        <f>IF(C$79='Besondere Leistungen GÜ-Berater'!$N$83,'Besondere Leistungen GÜ-Berater'!$L$83,0)</f>
        <v>0</v>
      </c>
      <c r="D102" s="234">
        <f>IF(D$79='Besondere Leistungen GÜ-Berater'!$N$83,'Besondere Leistungen GÜ-Berater'!$L$83,0)</f>
        <v>0</v>
      </c>
      <c r="E102" s="234">
        <f>IF(E$79='Besondere Leistungen GÜ-Berater'!$N$83,'Besondere Leistungen GÜ-Berater'!$L$83,0)</f>
        <v>0</v>
      </c>
      <c r="F102" s="234">
        <f>IF(F$79='Besondere Leistungen GÜ-Berater'!$N$83,'Besondere Leistungen GÜ-Berater'!$L$83,0)</f>
        <v>0</v>
      </c>
      <c r="G102" s="234">
        <f>IF(G$79='Besondere Leistungen GÜ-Berater'!$N$83,'Besondere Leistungen GÜ-Berater'!$L$83,0)</f>
        <v>0</v>
      </c>
      <c r="H102" s="234">
        <f>IF(H$79='Besondere Leistungen GÜ-Berater'!$N$83,'Besondere Leistungen GÜ-Berater'!$L$83,0)</f>
        <v>0</v>
      </c>
      <c r="I102" s="234">
        <f>IF(I$79='Besondere Leistungen GÜ-Berater'!$N$83,'Besondere Leistungen GÜ-Berater'!$L$83,0)</f>
        <v>0</v>
      </c>
      <c r="J102" s="234">
        <f>IF(J$79='Besondere Leistungen GÜ-Berater'!$N$83,'Besondere Leistungen GÜ-Berater'!$L$83,0)</f>
        <v>0</v>
      </c>
      <c r="K102" s="235">
        <f>IF(K$79='Besondere Leistungen GÜ-Berater'!$N$83,'Besondere Leistungen GÜ-Berater'!$L$83,0)</f>
        <v>0</v>
      </c>
      <c r="X102" s="14"/>
      <c r="Y102" s="13"/>
      <c r="Z102" s="15"/>
    </row>
    <row r="103" spans="2:26" ht="14.55" x14ac:dyDescent="0.3">
      <c r="B103" s="241">
        <v>24</v>
      </c>
      <c r="C103" s="233">
        <f>IF(C$79='Besondere Leistungen GÜ-Berater'!$N$87,'Besondere Leistungen GÜ-Berater'!$L$87,0)</f>
        <v>0</v>
      </c>
      <c r="D103" s="234">
        <f>IF(D$79='Besondere Leistungen GÜ-Berater'!$N$87,'Besondere Leistungen GÜ-Berater'!$L$87,0)</f>
        <v>0</v>
      </c>
      <c r="E103" s="234">
        <f>IF(E$79='Besondere Leistungen GÜ-Berater'!$N$87,'Besondere Leistungen GÜ-Berater'!$L$87,0)</f>
        <v>0</v>
      </c>
      <c r="F103" s="234">
        <f>IF(F$79='Besondere Leistungen GÜ-Berater'!$N$87,'Besondere Leistungen GÜ-Berater'!$L$87,0)</f>
        <v>0</v>
      </c>
      <c r="G103" s="234">
        <f>IF(G$79='Besondere Leistungen GÜ-Berater'!$N$87,'Besondere Leistungen GÜ-Berater'!$L$87,0)</f>
        <v>0</v>
      </c>
      <c r="H103" s="234">
        <f>IF(H$79='Besondere Leistungen GÜ-Berater'!$N$87,'Besondere Leistungen GÜ-Berater'!$L$87,0)</f>
        <v>0</v>
      </c>
      <c r="I103" s="234">
        <f>IF(I$79='Besondere Leistungen GÜ-Berater'!$N$87,'Besondere Leistungen GÜ-Berater'!$L$87,0)</f>
        <v>0</v>
      </c>
      <c r="J103" s="234">
        <f>IF(J$79='Besondere Leistungen GÜ-Berater'!$N$87,'Besondere Leistungen GÜ-Berater'!$L$87,0)</f>
        <v>0</v>
      </c>
      <c r="K103" s="235">
        <f>IF(K$79='Besondere Leistungen GÜ-Berater'!$N$87,'Besondere Leistungen GÜ-Berater'!$L$87,0)</f>
        <v>0</v>
      </c>
      <c r="X103" s="14"/>
      <c r="Y103" s="13"/>
      <c r="Z103" s="15"/>
    </row>
    <row r="104" spans="2:26" ht="14.55" x14ac:dyDescent="0.3">
      <c r="B104" s="241">
        <v>25</v>
      </c>
      <c r="C104" s="233">
        <f>IF(C$79='Besondere Leistungen GÜ-Berater'!$N$90,'Besondere Leistungen GÜ-Berater'!$L$90,0)</f>
        <v>0</v>
      </c>
      <c r="D104" s="234">
        <f>IF(D$79='Besondere Leistungen GÜ-Berater'!$N$90,'Besondere Leistungen GÜ-Berater'!$L$90,0)</f>
        <v>0</v>
      </c>
      <c r="E104" s="234">
        <f>IF(E$79='Besondere Leistungen GÜ-Berater'!$N$90,'Besondere Leistungen GÜ-Berater'!$L$90,0)</f>
        <v>0</v>
      </c>
      <c r="F104" s="234">
        <f>IF(F$79='Besondere Leistungen GÜ-Berater'!$N$90,'Besondere Leistungen GÜ-Berater'!$L$90,0)</f>
        <v>0</v>
      </c>
      <c r="G104" s="234">
        <f>IF(G$79='Besondere Leistungen GÜ-Berater'!$N$90,'Besondere Leistungen GÜ-Berater'!$L$90,0)</f>
        <v>0</v>
      </c>
      <c r="H104" s="234">
        <f>IF(H$79='Besondere Leistungen GÜ-Berater'!$N$90,'Besondere Leistungen GÜ-Berater'!$L$90,0)</f>
        <v>0</v>
      </c>
      <c r="I104" s="234">
        <f>IF(I$79='Besondere Leistungen GÜ-Berater'!$N$90,'Besondere Leistungen GÜ-Berater'!$L$90,0)</f>
        <v>0</v>
      </c>
      <c r="J104" s="234">
        <f>IF(J$79='Besondere Leistungen GÜ-Berater'!$N$90,'Besondere Leistungen GÜ-Berater'!$L$90,0)</f>
        <v>0</v>
      </c>
      <c r="K104" s="235">
        <f>IF(K$79='Besondere Leistungen GÜ-Berater'!$N$90,'Besondere Leistungen GÜ-Berater'!$L$90,0)</f>
        <v>0</v>
      </c>
      <c r="L104" s="83"/>
      <c r="M104" s="83"/>
      <c r="N104" s="83"/>
      <c r="O104" s="83"/>
      <c r="P104" s="83"/>
      <c r="Q104" s="83"/>
      <c r="R104" s="83"/>
      <c r="S104" s="83"/>
      <c r="T104" s="83"/>
      <c r="U104" s="84"/>
      <c r="X104" s="14"/>
      <c r="Y104" s="13"/>
      <c r="Z104" s="15"/>
    </row>
    <row r="105" spans="2:26" ht="14.55" x14ac:dyDescent="0.3">
      <c r="B105" s="241">
        <v>26</v>
      </c>
      <c r="C105" s="233">
        <f>IF(C$79='Besondere Leistungen GÜ-Berater'!$N$93,'Besondere Leistungen GÜ-Berater'!$L$93,0)</f>
        <v>0</v>
      </c>
      <c r="D105" s="234">
        <f>IF(D$79='Besondere Leistungen GÜ-Berater'!$N$93,'Besondere Leistungen GÜ-Berater'!$L$93,0)</f>
        <v>0</v>
      </c>
      <c r="E105" s="234">
        <f>IF(E$79='Besondere Leistungen GÜ-Berater'!$N$93,'Besondere Leistungen GÜ-Berater'!$L$93,0)</f>
        <v>0</v>
      </c>
      <c r="F105" s="234">
        <f>IF(F$79='Besondere Leistungen GÜ-Berater'!$N$93,'Besondere Leistungen GÜ-Berater'!$L$93,0)</f>
        <v>0</v>
      </c>
      <c r="G105" s="234">
        <f>IF(G$79='Besondere Leistungen GÜ-Berater'!$N$93,'Besondere Leistungen GÜ-Berater'!$L$93,0)</f>
        <v>0</v>
      </c>
      <c r="H105" s="234">
        <f>IF(H$79='Besondere Leistungen GÜ-Berater'!$N$93,'Besondere Leistungen GÜ-Berater'!$L$93,0)</f>
        <v>0</v>
      </c>
      <c r="I105" s="234">
        <f>IF(I$79='Besondere Leistungen GÜ-Berater'!$N$93,'Besondere Leistungen GÜ-Berater'!$L$93,0)</f>
        <v>0</v>
      </c>
      <c r="J105" s="234">
        <f>IF(J$79='Besondere Leistungen GÜ-Berater'!$N$93,'Besondere Leistungen GÜ-Berater'!$L$93,0)</f>
        <v>0</v>
      </c>
      <c r="K105" s="235">
        <f>IF(K$79='Besondere Leistungen GÜ-Berater'!$N$93,'Besondere Leistungen GÜ-Berater'!$L$93,0)</f>
        <v>0</v>
      </c>
      <c r="L105" s="83"/>
      <c r="M105" s="83"/>
      <c r="N105" s="83"/>
      <c r="O105" s="83"/>
      <c r="P105" s="83"/>
      <c r="Q105" s="83"/>
      <c r="R105" s="83"/>
      <c r="S105" s="83"/>
      <c r="T105" s="83"/>
      <c r="U105" s="84"/>
      <c r="X105" s="14"/>
      <c r="Y105" s="13"/>
      <c r="Z105" s="15"/>
    </row>
    <row r="106" spans="2:26" ht="14.55" x14ac:dyDescent="0.3">
      <c r="B106" s="241">
        <v>27</v>
      </c>
      <c r="C106" s="233">
        <f>IF(C$79='Besondere Leistungen GÜ-Berater'!$N$94,'Besondere Leistungen GÜ-Berater'!$L$94,0)</f>
        <v>0</v>
      </c>
      <c r="D106" s="234">
        <f>IF(D$79='Besondere Leistungen GÜ-Berater'!$N$94,'Besondere Leistungen GÜ-Berater'!$L$94,0)</f>
        <v>0</v>
      </c>
      <c r="E106" s="234">
        <f>IF(E$79='Besondere Leistungen GÜ-Berater'!$N$94,'Besondere Leistungen GÜ-Berater'!$L$94,0)</f>
        <v>0</v>
      </c>
      <c r="F106" s="234">
        <f>IF(F$79='Besondere Leistungen GÜ-Berater'!$N$94,'Besondere Leistungen GÜ-Berater'!$L$94,0)</f>
        <v>0</v>
      </c>
      <c r="G106" s="234">
        <f>IF(G$79='Besondere Leistungen GÜ-Berater'!$N$94,'Besondere Leistungen GÜ-Berater'!$L$94,0)</f>
        <v>0</v>
      </c>
      <c r="H106" s="234">
        <f>IF(H$79='Besondere Leistungen GÜ-Berater'!$N$94,'Besondere Leistungen GÜ-Berater'!$L$94,0)</f>
        <v>0</v>
      </c>
      <c r="I106" s="234">
        <f>IF(I$79='Besondere Leistungen GÜ-Berater'!$N$94,'Besondere Leistungen GÜ-Berater'!$L$94,0)</f>
        <v>0</v>
      </c>
      <c r="J106" s="234">
        <f>IF(J$79='Besondere Leistungen GÜ-Berater'!$N$94,'Besondere Leistungen GÜ-Berater'!$L$94,0)</f>
        <v>0</v>
      </c>
      <c r="K106" s="235">
        <f>IF(K$79='Besondere Leistungen GÜ-Berater'!$N$94,'Besondere Leistungen GÜ-Berater'!$L$94,0)</f>
        <v>0</v>
      </c>
      <c r="L106" s="83"/>
      <c r="M106" s="83"/>
      <c r="N106" s="83"/>
      <c r="O106" s="83"/>
      <c r="P106" s="83"/>
      <c r="Q106" s="83"/>
      <c r="R106" s="83"/>
      <c r="S106" s="83"/>
      <c r="T106" s="83"/>
      <c r="U106" s="84"/>
      <c r="X106" s="14"/>
      <c r="Y106" s="13"/>
      <c r="Z106" s="15"/>
    </row>
    <row r="107" spans="2:26" ht="14.55" x14ac:dyDescent="0.3">
      <c r="B107" s="241">
        <v>28</v>
      </c>
      <c r="C107" s="233">
        <f>IF(C$79='Besondere Leistungen GÜ-Berater'!$N$97,'Besondere Leistungen GÜ-Berater'!$L$97,0)</f>
        <v>0</v>
      </c>
      <c r="D107" s="234">
        <f>IF(D$79='Besondere Leistungen GÜ-Berater'!$N$97,'Besondere Leistungen GÜ-Berater'!$L$97,0)</f>
        <v>0</v>
      </c>
      <c r="E107" s="234">
        <f>IF(E$79='Besondere Leistungen GÜ-Berater'!$N$97,'Besondere Leistungen GÜ-Berater'!$L$97,0)</f>
        <v>0</v>
      </c>
      <c r="F107" s="234">
        <f>IF(F$79='Besondere Leistungen GÜ-Berater'!$N$97,'Besondere Leistungen GÜ-Berater'!$L$97,0)</f>
        <v>0</v>
      </c>
      <c r="G107" s="234">
        <f>IF(G$79='Besondere Leistungen GÜ-Berater'!$N$97,'Besondere Leistungen GÜ-Berater'!$L$97,0)</f>
        <v>0</v>
      </c>
      <c r="H107" s="234">
        <f>IF(H$79='Besondere Leistungen GÜ-Berater'!$N$97,'Besondere Leistungen GÜ-Berater'!$L$97,0)</f>
        <v>0</v>
      </c>
      <c r="I107" s="234">
        <f>IF(I$79='Besondere Leistungen GÜ-Berater'!$N$97,'Besondere Leistungen GÜ-Berater'!$L$97,0)</f>
        <v>0</v>
      </c>
      <c r="J107" s="234">
        <f>IF(J$79='Besondere Leistungen GÜ-Berater'!$N$97,'Besondere Leistungen GÜ-Berater'!$L$97,0)</f>
        <v>0</v>
      </c>
      <c r="K107" s="235">
        <f>IF(K$79='Besondere Leistungen GÜ-Berater'!$N$97,'Besondere Leistungen GÜ-Berater'!$L$97,0)</f>
        <v>0</v>
      </c>
      <c r="L107" s="83"/>
      <c r="M107" s="83"/>
      <c r="N107" s="83"/>
      <c r="O107" s="83"/>
      <c r="P107" s="83"/>
      <c r="Q107" s="83"/>
      <c r="R107" s="83"/>
      <c r="S107" s="83"/>
      <c r="T107" s="83"/>
      <c r="U107" s="84"/>
      <c r="X107" s="14"/>
      <c r="Y107" s="13"/>
      <c r="Z107" s="15"/>
    </row>
    <row r="108" spans="2:26" ht="14.55" x14ac:dyDescent="0.3">
      <c r="B108" s="241">
        <v>29</v>
      </c>
      <c r="C108" s="233">
        <f>IF(C$79='Besondere Leistungen GÜ-Berater'!$N$103,'Besondere Leistungen GÜ-Berater'!$L$103,0)</f>
        <v>0</v>
      </c>
      <c r="D108" s="234">
        <f>IF(D$79='Besondere Leistungen GÜ-Berater'!$N$103,'Besondere Leistungen GÜ-Berater'!$L$103,0)</f>
        <v>0</v>
      </c>
      <c r="E108" s="234">
        <f>IF(E$79='Besondere Leistungen GÜ-Berater'!$N$103,'Besondere Leistungen GÜ-Berater'!$L$103,0)</f>
        <v>0</v>
      </c>
      <c r="F108" s="234">
        <f>IF(F$79='Besondere Leistungen GÜ-Berater'!$N$103,'Besondere Leistungen GÜ-Berater'!$L$103,0)</f>
        <v>0</v>
      </c>
      <c r="G108" s="234">
        <f>IF(G$79='Besondere Leistungen GÜ-Berater'!$N$103,'Besondere Leistungen GÜ-Berater'!$L$103,0)</f>
        <v>0</v>
      </c>
      <c r="H108" s="234">
        <f>IF(H$79='Besondere Leistungen GÜ-Berater'!$N$103,'Besondere Leistungen GÜ-Berater'!$L$103,0)</f>
        <v>0</v>
      </c>
      <c r="I108" s="234">
        <f>IF(I$79='Besondere Leistungen GÜ-Berater'!$N$103,'Besondere Leistungen GÜ-Berater'!$L$103,0)</f>
        <v>0</v>
      </c>
      <c r="J108" s="234">
        <f>IF(J$79='Besondere Leistungen GÜ-Berater'!$N$103,'Besondere Leistungen GÜ-Berater'!$L$103,0)</f>
        <v>0</v>
      </c>
      <c r="K108" s="235">
        <f>IF(K$79='Besondere Leistungen GÜ-Berater'!$N$103,'Besondere Leistungen GÜ-Berater'!$L$103,0)</f>
        <v>0</v>
      </c>
      <c r="U108" s="226"/>
      <c r="X108" s="14"/>
      <c r="Y108" s="13"/>
      <c r="Z108" s="15"/>
    </row>
    <row r="109" spans="2:26" ht="14.55" x14ac:dyDescent="0.3">
      <c r="B109" s="241">
        <v>30</v>
      </c>
      <c r="C109" s="233">
        <f>IF(C$79='Besondere Leistungen GÜ-Berater'!$N$106,'Besondere Leistungen GÜ-Berater'!$L$106,0)</f>
        <v>0</v>
      </c>
      <c r="D109" s="234">
        <f>IF(D$79='Besondere Leistungen GÜ-Berater'!$N$106,'Besondere Leistungen GÜ-Berater'!$L$106,0)</f>
        <v>0</v>
      </c>
      <c r="E109" s="234">
        <f>IF(E$79='Besondere Leistungen GÜ-Berater'!$N$106,'Besondere Leistungen GÜ-Berater'!$L$106,0)</f>
        <v>0</v>
      </c>
      <c r="F109" s="234">
        <f>IF(F$79='Besondere Leistungen GÜ-Berater'!$N$106,'Besondere Leistungen GÜ-Berater'!$L$106,0)</f>
        <v>0</v>
      </c>
      <c r="G109" s="234">
        <f>IF(G$79='Besondere Leistungen GÜ-Berater'!$N$106,'Besondere Leistungen GÜ-Berater'!$L$106,0)</f>
        <v>0</v>
      </c>
      <c r="H109" s="234">
        <f>IF(H$79='Besondere Leistungen GÜ-Berater'!$N$106,'Besondere Leistungen GÜ-Berater'!$L$106,0)</f>
        <v>0</v>
      </c>
      <c r="I109" s="234">
        <f>IF(I$79='Besondere Leistungen GÜ-Berater'!$N$106,'Besondere Leistungen GÜ-Berater'!$L$106,0)</f>
        <v>0</v>
      </c>
      <c r="J109" s="234">
        <f>IF(J$79='Besondere Leistungen GÜ-Berater'!$N$106,'Besondere Leistungen GÜ-Berater'!$L$106,0)</f>
        <v>0</v>
      </c>
      <c r="K109" s="235">
        <f>IF(K$79='Besondere Leistungen GÜ-Berater'!$N$106,'Besondere Leistungen GÜ-Berater'!$L$106,0)</f>
        <v>0</v>
      </c>
      <c r="X109" s="14"/>
      <c r="Y109" s="13"/>
      <c r="Z109" s="15"/>
    </row>
    <row r="110" spans="2:26" ht="14.55" x14ac:dyDescent="0.3">
      <c r="B110" s="241">
        <v>31</v>
      </c>
      <c r="C110" s="233">
        <f>IF(C$79='Besondere Leistungen GÜ-Berater'!$N$108,'Besondere Leistungen GÜ-Berater'!$L$108,0)</f>
        <v>0</v>
      </c>
      <c r="D110" s="234">
        <f>IF(D$79='Besondere Leistungen GÜ-Berater'!$N$108,'Besondere Leistungen GÜ-Berater'!$L$108,0)</f>
        <v>0</v>
      </c>
      <c r="E110" s="234">
        <f>IF(E$79='Besondere Leistungen GÜ-Berater'!$N$108,'Besondere Leistungen GÜ-Berater'!$L$108,0)</f>
        <v>0</v>
      </c>
      <c r="F110" s="234">
        <f>IF(F$79='Besondere Leistungen GÜ-Berater'!$N$108,'Besondere Leistungen GÜ-Berater'!$L$108,0)</f>
        <v>0</v>
      </c>
      <c r="G110" s="234">
        <f>IF(G$79='Besondere Leistungen GÜ-Berater'!$N$108,'Besondere Leistungen GÜ-Berater'!$L$108,0)</f>
        <v>0</v>
      </c>
      <c r="H110" s="234">
        <f>IF(H$79='Besondere Leistungen GÜ-Berater'!$N$108,'Besondere Leistungen GÜ-Berater'!$L$108,0)</f>
        <v>0</v>
      </c>
      <c r="I110" s="234">
        <f>IF(I$79='Besondere Leistungen GÜ-Berater'!$N$108,'Besondere Leistungen GÜ-Berater'!$L$108,0)</f>
        <v>0</v>
      </c>
      <c r="J110" s="234">
        <f>IF(J$79='Besondere Leistungen GÜ-Berater'!$N$108,'Besondere Leistungen GÜ-Berater'!$L$108,0)</f>
        <v>0</v>
      </c>
      <c r="K110" s="235">
        <f>IF(K$79='Besondere Leistungen GÜ-Berater'!$N$108,'Besondere Leistungen GÜ-Berater'!$L$108,0)</f>
        <v>0</v>
      </c>
      <c r="X110" s="14"/>
      <c r="Y110" s="13"/>
      <c r="Z110" s="15"/>
    </row>
    <row r="111" spans="2:26" ht="14.55" x14ac:dyDescent="0.3">
      <c r="B111" s="241">
        <v>32</v>
      </c>
      <c r="C111" s="233">
        <f>IF(C$79='Besondere Leistungen GÜ-Berater'!$N$109,'Besondere Leistungen GÜ-Berater'!$L$109,0)</f>
        <v>0</v>
      </c>
      <c r="D111" s="234">
        <f>IF(D$79='Besondere Leistungen GÜ-Berater'!$N$109,'Besondere Leistungen GÜ-Berater'!$L$109,0)</f>
        <v>0</v>
      </c>
      <c r="E111" s="234">
        <f>IF(E$79='Besondere Leistungen GÜ-Berater'!$N$109,'Besondere Leistungen GÜ-Berater'!$L$109,0)</f>
        <v>0</v>
      </c>
      <c r="F111" s="234">
        <f>IF(F$79='Besondere Leistungen GÜ-Berater'!$N$109,'Besondere Leistungen GÜ-Berater'!$L$109,0)</f>
        <v>0</v>
      </c>
      <c r="G111" s="234">
        <f>IF(G$79='Besondere Leistungen GÜ-Berater'!$N$109,'Besondere Leistungen GÜ-Berater'!$L$109,0)</f>
        <v>0</v>
      </c>
      <c r="H111" s="234">
        <f>IF(H$79='Besondere Leistungen GÜ-Berater'!$N$109,'Besondere Leistungen GÜ-Berater'!$L$109,0)</f>
        <v>0</v>
      </c>
      <c r="I111" s="234">
        <f>IF(I$79='Besondere Leistungen GÜ-Berater'!$N$109,'Besondere Leistungen GÜ-Berater'!$L$109,0)</f>
        <v>0</v>
      </c>
      <c r="J111" s="234">
        <f>IF(J$79='Besondere Leistungen GÜ-Berater'!$N$109,'Besondere Leistungen GÜ-Berater'!$L$109,0)</f>
        <v>0</v>
      </c>
      <c r="K111" s="235">
        <f>IF(K$79='Besondere Leistungen GÜ-Berater'!$N$109,'Besondere Leistungen GÜ-Berater'!$L$109,0)</f>
        <v>0</v>
      </c>
      <c r="X111" s="14"/>
      <c r="Y111" s="13"/>
      <c r="Z111" s="15"/>
    </row>
    <row r="112" spans="2:26" ht="14.55" x14ac:dyDescent="0.3">
      <c r="B112" s="241">
        <v>33</v>
      </c>
      <c r="C112" s="233">
        <f>IF(C$79='Besondere Leistungen GÜ-Berater'!$N$112,'Besondere Leistungen GÜ-Berater'!$L$112,0)</f>
        <v>0</v>
      </c>
      <c r="D112" s="234">
        <f>IF(D$79='Besondere Leistungen GÜ-Berater'!$N$112,'Besondere Leistungen GÜ-Berater'!$L$112,0)</f>
        <v>0</v>
      </c>
      <c r="E112" s="234">
        <f>IF(E$79='Besondere Leistungen GÜ-Berater'!$N$112,'Besondere Leistungen GÜ-Berater'!$L$112,0)</f>
        <v>0</v>
      </c>
      <c r="F112" s="234">
        <f>IF(F$79='Besondere Leistungen GÜ-Berater'!$N$112,'Besondere Leistungen GÜ-Berater'!$L$112,0)</f>
        <v>0</v>
      </c>
      <c r="G112" s="234">
        <f>IF(G$79='Besondere Leistungen GÜ-Berater'!$N$112,'Besondere Leistungen GÜ-Berater'!$L$112,0)</f>
        <v>0</v>
      </c>
      <c r="H112" s="234">
        <f>IF(H$79='Besondere Leistungen GÜ-Berater'!$N$112,'Besondere Leistungen GÜ-Berater'!$L$112,0)</f>
        <v>0</v>
      </c>
      <c r="I112" s="234">
        <f>IF(I$79='Besondere Leistungen GÜ-Berater'!$N$112,'Besondere Leistungen GÜ-Berater'!$L$112,0)</f>
        <v>0</v>
      </c>
      <c r="J112" s="234">
        <f>IF(J$79='Besondere Leistungen GÜ-Berater'!$N$112,'Besondere Leistungen GÜ-Berater'!$L$112,0)</f>
        <v>0</v>
      </c>
      <c r="K112" s="235">
        <f>IF(K$79='Besondere Leistungen GÜ-Berater'!$N$112,'Besondere Leistungen GÜ-Berater'!$L$112,0)</f>
        <v>0</v>
      </c>
      <c r="X112" s="14"/>
      <c r="Y112" s="13"/>
      <c r="Z112" s="15"/>
    </row>
    <row r="113" spans="2:26" ht="14.55" x14ac:dyDescent="0.3">
      <c r="B113" s="241">
        <v>34</v>
      </c>
      <c r="C113" s="233">
        <f>IF(C$79='Besondere Leistungen GÜ-Berater'!$N$116,'Besondere Leistungen GÜ-Berater'!$L$116,0)</f>
        <v>0</v>
      </c>
      <c r="D113" s="234">
        <f>IF(D$79='Besondere Leistungen GÜ-Berater'!$N$116,'Besondere Leistungen GÜ-Berater'!$L$116,0)</f>
        <v>0</v>
      </c>
      <c r="E113" s="234">
        <f>IF(E$79='Besondere Leistungen GÜ-Berater'!$N$116,'Besondere Leistungen GÜ-Berater'!$L$116,0)</f>
        <v>0</v>
      </c>
      <c r="F113" s="234">
        <f>IF(F$79='Besondere Leistungen GÜ-Berater'!$N$116,'Besondere Leistungen GÜ-Berater'!$L$116,0)</f>
        <v>0</v>
      </c>
      <c r="G113" s="234">
        <f>IF(G$79='Besondere Leistungen GÜ-Berater'!$N$116,'Besondere Leistungen GÜ-Berater'!$L$116,0)</f>
        <v>0</v>
      </c>
      <c r="H113" s="234">
        <f>IF(H$79='Besondere Leistungen GÜ-Berater'!$N$116,'Besondere Leistungen GÜ-Berater'!$L$116,0)</f>
        <v>0</v>
      </c>
      <c r="I113" s="234">
        <f>IF(I$79='Besondere Leistungen GÜ-Berater'!$N$116,'Besondere Leistungen GÜ-Berater'!$L$116,0)</f>
        <v>0</v>
      </c>
      <c r="J113" s="234">
        <f>IF(J$79='Besondere Leistungen GÜ-Berater'!$N$116,'Besondere Leistungen GÜ-Berater'!$L$116,0)</f>
        <v>0</v>
      </c>
      <c r="K113" s="235">
        <f>IF(K$79='Besondere Leistungen GÜ-Berater'!$N$116,'Besondere Leistungen GÜ-Berater'!$L$116,0)</f>
        <v>0</v>
      </c>
      <c r="X113" s="14"/>
      <c r="Y113" s="13"/>
      <c r="Z113" s="15"/>
    </row>
    <row r="114" spans="2:26" ht="14.55" x14ac:dyDescent="0.3">
      <c r="B114" s="241">
        <v>35</v>
      </c>
      <c r="C114" s="233">
        <f>IF(C$79='Besondere Leistungen GÜ-Berater'!$N$123,'Besondere Leistungen GÜ-Berater'!$L$123,0)</f>
        <v>0</v>
      </c>
      <c r="D114" s="234">
        <f>IF(D$79='Besondere Leistungen GÜ-Berater'!$N$123,'Besondere Leistungen GÜ-Berater'!$L$123,0)</f>
        <v>0</v>
      </c>
      <c r="E114" s="234">
        <f>IF(E$79='Besondere Leistungen GÜ-Berater'!$N$123,'Besondere Leistungen GÜ-Berater'!$L$123,0)</f>
        <v>0</v>
      </c>
      <c r="F114" s="234">
        <f>IF(F$79='Besondere Leistungen GÜ-Berater'!$N$123,'Besondere Leistungen GÜ-Berater'!$L$123,0)</f>
        <v>0</v>
      </c>
      <c r="G114" s="234">
        <f>IF(G$79='Besondere Leistungen GÜ-Berater'!$N$123,'Besondere Leistungen GÜ-Berater'!$L$123,0)</f>
        <v>0</v>
      </c>
      <c r="H114" s="234">
        <f>IF(H$79='Besondere Leistungen GÜ-Berater'!$N$123,'Besondere Leistungen GÜ-Berater'!$L$123,0)</f>
        <v>0</v>
      </c>
      <c r="I114" s="234">
        <f>IF(I$79='Besondere Leistungen GÜ-Berater'!$N$123,'Besondere Leistungen GÜ-Berater'!$L$123,0)</f>
        <v>0</v>
      </c>
      <c r="J114" s="234">
        <f>IF(J$79='Besondere Leistungen GÜ-Berater'!$N$123,'Besondere Leistungen GÜ-Berater'!$L$123,0)</f>
        <v>0</v>
      </c>
      <c r="K114" s="235">
        <f>IF(K$79='Besondere Leistungen GÜ-Berater'!$N$123,'Besondere Leistungen GÜ-Berater'!$L$123,0)</f>
        <v>0</v>
      </c>
      <c r="X114" s="14"/>
      <c r="Y114" s="13"/>
      <c r="Z114" s="15"/>
    </row>
    <row r="115" spans="2:26" ht="14.55" x14ac:dyDescent="0.3">
      <c r="B115" s="241">
        <v>36</v>
      </c>
      <c r="C115" s="233">
        <f>IF(C$79='Besondere Leistungen GÜ-Berater'!$N$127,'Besondere Leistungen GÜ-Berater'!$L$127,0)</f>
        <v>0</v>
      </c>
      <c r="D115" s="234">
        <f>IF(D$79='Besondere Leistungen GÜ-Berater'!$N$127,'Besondere Leistungen GÜ-Berater'!$L$127,0)</f>
        <v>0</v>
      </c>
      <c r="E115" s="234">
        <f>IF(E$79='Besondere Leistungen GÜ-Berater'!$N$127,'Besondere Leistungen GÜ-Berater'!$L$127,0)</f>
        <v>0</v>
      </c>
      <c r="F115" s="234">
        <f>IF(F$79='Besondere Leistungen GÜ-Berater'!$N$127,'Besondere Leistungen GÜ-Berater'!$L$127,0)</f>
        <v>0</v>
      </c>
      <c r="G115" s="234">
        <f>IF(G$79='Besondere Leistungen GÜ-Berater'!$N$127,'Besondere Leistungen GÜ-Berater'!$L$127,0)</f>
        <v>0</v>
      </c>
      <c r="H115" s="234">
        <f>IF(H$79='Besondere Leistungen GÜ-Berater'!$N$127,'Besondere Leistungen GÜ-Berater'!$L$127,0)</f>
        <v>0</v>
      </c>
      <c r="I115" s="234">
        <f>IF(I$79='Besondere Leistungen GÜ-Berater'!$N$127,'Besondere Leistungen GÜ-Berater'!$L$127,0)</f>
        <v>0</v>
      </c>
      <c r="J115" s="234">
        <f>IF(J$79='Besondere Leistungen GÜ-Berater'!$N$127,'Besondere Leistungen GÜ-Berater'!$L$127,0)</f>
        <v>0</v>
      </c>
      <c r="K115" s="235">
        <f>IF(K$79='Besondere Leistungen GÜ-Berater'!$N$127,'Besondere Leistungen GÜ-Berater'!$L$127,0)</f>
        <v>0</v>
      </c>
      <c r="X115" s="14"/>
      <c r="Y115" s="13"/>
      <c r="Z115" s="15"/>
    </row>
    <row r="116" spans="2:26" ht="14.55" x14ac:dyDescent="0.3">
      <c r="B116" s="241">
        <v>37</v>
      </c>
      <c r="C116" s="233">
        <f>IF(C$79='Besondere Leistungen GÜ-Berater'!$N$132,'Besondere Leistungen GÜ-Berater'!$L$132,0)</f>
        <v>0</v>
      </c>
      <c r="D116" s="234">
        <f>IF(D$79='Besondere Leistungen GÜ-Berater'!$N$132,'Besondere Leistungen GÜ-Berater'!$L$132,0)</f>
        <v>0</v>
      </c>
      <c r="E116" s="234">
        <f>IF(E$79='Besondere Leistungen GÜ-Berater'!$N$132,'Besondere Leistungen GÜ-Berater'!$L$132,0)</f>
        <v>0</v>
      </c>
      <c r="F116" s="234">
        <f>IF(F$79='Besondere Leistungen GÜ-Berater'!$N$132,'Besondere Leistungen GÜ-Berater'!$L$132,0)</f>
        <v>0</v>
      </c>
      <c r="G116" s="234">
        <f>IF(G$79='Besondere Leistungen GÜ-Berater'!$N$132,'Besondere Leistungen GÜ-Berater'!$L$132,0)</f>
        <v>0</v>
      </c>
      <c r="H116" s="234">
        <f>IF(H$79='Besondere Leistungen GÜ-Berater'!$N$132,'Besondere Leistungen GÜ-Berater'!$L$132,0)</f>
        <v>0</v>
      </c>
      <c r="I116" s="234">
        <f>IF(I$79='Besondere Leistungen GÜ-Berater'!$N$132,'Besondere Leistungen GÜ-Berater'!$L$132,0)</f>
        <v>0</v>
      </c>
      <c r="J116" s="234">
        <f>IF(J$79='Besondere Leistungen GÜ-Berater'!$N$132,'Besondere Leistungen GÜ-Berater'!$L$132,0)</f>
        <v>0</v>
      </c>
      <c r="K116" s="235">
        <f>IF(K$79='Besondere Leistungen GÜ-Berater'!$N$132,'Besondere Leistungen GÜ-Berater'!$L$132,0)</f>
        <v>0</v>
      </c>
      <c r="X116" s="14"/>
      <c r="Y116" s="13"/>
      <c r="Z116" s="15"/>
    </row>
    <row r="117" spans="2:26" ht="14.55" x14ac:dyDescent="0.3">
      <c r="B117" s="241">
        <v>38</v>
      </c>
      <c r="C117" s="233">
        <f>IF(C$79='Besondere Leistungen GÜ-Berater'!$N$136,'Besondere Leistungen GÜ-Berater'!$L$136,0)</f>
        <v>0</v>
      </c>
      <c r="D117" s="234">
        <f>IF(D$79='Besondere Leistungen GÜ-Berater'!$N$136,'Besondere Leistungen GÜ-Berater'!$L$136,0)</f>
        <v>0</v>
      </c>
      <c r="E117" s="234">
        <f>IF(E$79='Besondere Leistungen GÜ-Berater'!$N$136,'Besondere Leistungen GÜ-Berater'!$L$136,0)</f>
        <v>0</v>
      </c>
      <c r="F117" s="234">
        <f>IF(F$79='Besondere Leistungen GÜ-Berater'!$N$136,'Besondere Leistungen GÜ-Berater'!$L$136,0)</f>
        <v>0</v>
      </c>
      <c r="G117" s="234">
        <f>IF(G$79='Besondere Leistungen GÜ-Berater'!$N$136,'Besondere Leistungen GÜ-Berater'!$L$136,0)</f>
        <v>0</v>
      </c>
      <c r="H117" s="234">
        <f>IF(H$79='Besondere Leistungen GÜ-Berater'!$N$136,'Besondere Leistungen GÜ-Berater'!$L$136,0)</f>
        <v>0</v>
      </c>
      <c r="I117" s="234">
        <f>IF(I$79='Besondere Leistungen GÜ-Berater'!$N$136,'Besondere Leistungen GÜ-Berater'!$L$136,0)</f>
        <v>0</v>
      </c>
      <c r="J117" s="234">
        <f>IF(J$79='Besondere Leistungen GÜ-Berater'!$N$136,'Besondere Leistungen GÜ-Berater'!$L$136,0)</f>
        <v>0</v>
      </c>
      <c r="K117" s="235">
        <f>IF(K$79='Besondere Leistungen GÜ-Berater'!$N$136,'Besondere Leistungen GÜ-Berater'!$L$136,0)</f>
        <v>0</v>
      </c>
      <c r="X117" s="14"/>
      <c r="Y117" s="13"/>
      <c r="Z117" s="15"/>
    </row>
    <row r="118" spans="2:26" ht="14.55" x14ac:dyDescent="0.3">
      <c r="B118" s="241">
        <v>39</v>
      </c>
      <c r="C118" s="233">
        <f>IF(C$79='Besondere Leistungen GÜ-Berater'!$N$140,'Besondere Leistungen GÜ-Berater'!$L$140,0)</f>
        <v>0</v>
      </c>
      <c r="D118" s="234">
        <f>IF(D$79='Besondere Leistungen GÜ-Berater'!$N$140,'Besondere Leistungen GÜ-Berater'!$L$140,0)</f>
        <v>0</v>
      </c>
      <c r="E118" s="234">
        <f>IF(E$79='Besondere Leistungen GÜ-Berater'!$N$140,'Besondere Leistungen GÜ-Berater'!$L$140,0)</f>
        <v>0</v>
      </c>
      <c r="F118" s="234">
        <f>IF(F$79='Besondere Leistungen GÜ-Berater'!$N$140,'Besondere Leistungen GÜ-Berater'!$L$140,0)</f>
        <v>0</v>
      </c>
      <c r="G118" s="234">
        <f>IF(G$79='Besondere Leistungen GÜ-Berater'!$N$140,'Besondere Leistungen GÜ-Berater'!$L$140,0)</f>
        <v>0</v>
      </c>
      <c r="H118" s="234">
        <f>IF(H$79='Besondere Leistungen GÜ-Berater'!$N$140,'Besondere Leistungen GÜ-Berater'!$L$140,0)</f>
        <v>0</v>
      </c>
      <c r="I118" s="234">
        <f>IF(I$79='Besondere Leistungen GÜ-Berater'!$N$140,'Besondere Leistungen GÜ-Berater'!$L$140,0)</f>
        <v>0</v>
      </c>
      <c r="J118" s="234">
        <f>IF(J$79='Besondere Leistungen GÜ-Berater'!$N$140,'Besondere Leistungen GÜ-Berater'!$L$140,0)</f>
        <v>0</v>
      </c>
      <c r="K118" s="235">
        <f>IF(K$79='Besondere Leistungen GÜ-Berater'!$N$140,'Besondere Leistungen GÜ-Berater'!$L$140,0)</f>
        <v>0</v>
      </c>
      <c r="X118" s="14"/>
      <c r="Y118" s="13"/>
      <c r="Z118" s="15"/>
    </row>
    <row r="119" spans="2:26" ht="14.55" x14ac:dyDescent="0.3">
      <c r="B119" s="241">
        <v>40</v>
      </c>
      <c r="C119" s="233">
        <f>IF(C$79='Besondere Leistungen GÜ-Berater'!$N$148,'Besondere Leistungen GÜ-Berater'!$L$148,0)</f>
        <v>0</v>
      </c>
      <c r="D119" s="234">
        <f>IF(D$79='Besondere Leistungen GÜ-Berater'!$N$148,'Besondere Leistungen GÜ-Berater'!$L$148,0)</f>
        <v>0</v>
      </c>
      <c r="E119" s="234">
        <f>IF(E$79='Besondere Leistungen GÜ-Berater'!$N$148,'Besondere Leistungen GÜ-Berater'!$L$148,0)</f>
        <v>0</v>
      </c>
      <c r="F119" s="234">
        <f>IF(F$79='Besondere Leistungen GÜ-Berater'!$N$148,'Besondere Leistungen GÜ-Berater'!$L$148,0)</f>
        <v>0</v>
      </c>
      <c r="G119" s="234">
        <f>IF(G$79='Besondere Leistungen GÜ-Berater'!$N$148,'Besondere Leistungen GÜ-Berater'!$L$148,0)</f>
        <v>0</v>
      </c>
      <c r="H119" s="234">
        <f>IF(H$79='Besondere Leistungen GÜ-Berater'!$N$148,'Besondere Leistungen GÜ-Berater'!$L$148,0)</f>
        <v>0</v>
      </c>
      <c r="I119" s="234">
        <f>IF(I$79='Besondere Leistungen GÜ-Berater'!$N$148,'Besondere Leistungen GÜ-Berater'!$L$148,0)</f>
        <v>0</v>
      </c>
      <c r="J119" s="234">
        <f>IF(J$79='Besondere Leistungen GÜ-Berater'!$N$148,'Besondere Leistungen GÜ-Berater'!$L$148,0)</f>
        <v>0</v>
      </c>
      <c r="K119" s="235">
        <f>IF(K$79='Besondere Leistungen GÜ-Berater'!$N$148,'Besondere Leistungen GÜ-Berater'!$L$148,0)</f>
        <v>0</v>
      </c>
      <c r="X119" s="14"/>
      <c r="Y119" s="13"/>
      <c r="Z119" s="15"/>
    </row>
    <row r="120" spans="2:26" ht="14.55" x14ac:dyDescent="0.3">
      <c r="B120" s="241">
        <v>41</v>
      </c>
      <c r="C120" s="233">
        <f>IF(C$79='Besondere Leistungen GÜ-Berater'!$N$149,'Besondere Leistungen GÜ-Berater'!$L$149,0)</f>
        <v>0</v>
      </c>
      <c r="D120" s="234">
        <f>IF(D$79='Besondere Leistungen GÜ-Berater'!$N$149,'Besondere Leistungen GÜ-Berater'!$L$149,0)</f>
        <v>0</v>
      </c>
      <c r="E120" s="234">
        <f>IF(E$79='Besondere Leistungen GÜ-Berater'!$N$149,'Besondere Leistungen GÜ-Berater'!$L$149,0)</f>
        <v>0</v>
      </c>
      <c r="F120" s="234">
        <f>IF(F$79='Besondere Leistungen GÜ-Berater'!$N$149,'Besondere Leistungen GÜ-Berater'!$L$149,0)</f>
        <v>0</v>
      </c>
      <c r="G120" s="234">
        <f>IF(G$79='Besondere Leistungen GÜ-Berater'!$N$149,'Besondere Leistungen GÜ-Berater'!$L$149,0)</f>
        <v>0</v>
      </c>
      <c r="H120" s="234">
        <f>IF(H$79='Besondere Leistungen GÜ-Berater'!$N$149,'Besondere Leistungen GÜ-Berater'!$L$149,0)</f>
        <v>0</v>
      </c>
      <c r="I120" s="234">
        <f>IF(I$79='Besondere Leistungen GÜ-Berater'!$N$149,'Besondere Leistungen GÜ-Berater'!$L$149,0)</f>
        <v>0</v>
      </c>
      <c r="J120" s="234">
        <f>IF(J$79='Besondere Leistungen GÜ-Berater'!$N$149,'Besondere Leistungen GÜ-Berater'!$L$149,0)</f>
        <v>0</v>
      </c>
      <c r="K120" s="235">
        <f>IF(K$79='Besondere Leistungen GÜ-Berater'!$N$149,'Besondere Leistungen GÜ-Berater'!$L$149,0)</f>
        <v>0</v>
      </c>
      <c r="X120" s="14"/>
      <c r="Y120" s="13"/>
      <c r="Z120" s="15"/>
    </row>
    <row r="121" spans="2:26" ht="14.55" x14ac:dyDescent="0.3">
      <c r="B121" s="241">
        <v>42</v>
      </c>
      <c r="C121" s="233">
        <f>IF(C$79='Besondere Leistungen GÜ-Berater'!$N$151,'Besondere Leistungen GÜ-Berater'!$L$151,0)</f>
        <v>0</v>
      </c>
      <c r="D121" s="234">
        <f>IF(D$79='Besondere Leistungen GÜ-Berater'!$N$151,'Besondere Leistungen GÜ-Berater'!$L$151,0)</f>
        <v>0</v>
      </c>
      <c r="E121" s="234">
        <f>IF(E$79='Besondere Leistungen GÜ-Berater'!$N$151,'Besondere Leistungen GÜ-Berater'!$L$151,0)</f>
        <v>0</v>
      </c>
      <c r="F121" s="234">
        <f>IF(F$79='Besondere Leistungen GÜ-Berater'!$N$151,'Besondere Leistungen GÜ-Berater'!$L$151,0)</f>
        <v>0</v>
      </c>
      <c r="G121" s="234">
        <f>IF(G$79='Besondere Leistungen GÜ-Berater'!$N$151,'Besondere Leistungen GÜ-Berater'!$L$151,0)</f>
        <v>0</v>
      </c>
      <c r="H121" s="234">
        <f>IF(H$79='Besondere Leistungen GÜ-Berater'!$N$151,'Besondere Leistungen GÜ-Berater'!$L$151,0)</f>
        <v>0</v>
      </c>
      <c r="I121" s="234">
        <f>IF(I$79='Besondere Leistungen GÜ-Berater'!$N$151,'Besondere Leistungen GÜ-Berater'!$L$151,0)</f>
        <v>0</v>
      </c>
      <c r="J121" s="234">
        <f>IF(J$79='Besondere Leistungen GÜ-Berater'!$N$151,'Besondere Leistungen GÜ-Berater'!$L$151,0)</f>
        <v>0</v>
      </c>
      <c r="K121" s="235">
        <f>IF(K$79='Besondere Leistungen GÜ-Berater'!$N$151,'Besondere Leistungen GÜ-Berater'!$L$151,0)</f>
        <v>0</v>
      </c>
      <c r="X121" s="14"/>
      <c r="Y121" s="13"/>
      <c r="Z121" s="15"/>
    </row>
    <row r="122" spans="2:26" ht="14.55" x14ac:dyDescent="0.3">
      <c r="B122" s="241">
        <v>43</v>
      </c>
      <c r="C122" s="233">
        <f>IF(C$79='Besondere Leistungen GÜ-Berater'!$N$153,'Besondere Leistungen GÜ-Berater'!$L$153,0)</f>
        <v>0</v>
      </c>
      <c r="D122" s="234">
        <f>IF(D$79='Besondere Leistungen GÜ-Berater'!$N$153,'Besondere Leistungen GÜ-Berater'!$L$153,0)</f>
        <v>0</v>
      </c>
      <c r="E122" s="234">
        <f>IF(E$79='Besondere Leistungen GÜ-Berater'!$N$153,'Besondere Leistungen GÜ-Berater'!$L$153,0)</f>
        <v>0</v>
      </c>
      <c r="F122" s="234">
        <f>IF(F$79='Besondere Leistungen GÜ-Berater'!$N$153,'Besondere Leistungen GÜ-Berater'!$L$153,0)</f>
        <v>0</v>
      </c>
      <c r="G122" s="234">
        <f>IF(G$79='Besondere Leistungen GÜ-Berater'!$N$153,'Besondere Leistungen GÜ-Berater'!$L$153,0)</f>
        <v>0</v>
      </c>
      <c r="H122" s="234">
        <f>IF(H$79='Besondere Leistungen GÜ-Berater'!$N$153,'Besondere Leistungen GÜ-Berater'!$L$153,0)</f>
        <v>0</v>
      </c>
      <c r="I122" s="234">
        <f>IF(I$79='Besondere Leistungen GÜ-Berater'!$N$153,'Besondere Leistungen GÜ-Berater'!$L$153,0)</f>
        <v>0</v>
      </c>
      <c r="J122" s="234">
        <f>IF(J$79='Besondere Leistungen GÜ-Berater'!$N$153,'Besondere Leistungen GÜ-Berater'!$L$153,0)</f>
        <v>0</v>
      </c>
      <c r="K122" s="235">
        <f>IF(K$79='Besondere Leistungen GÜ-Berater'!$N$153,'Besondere Leistungen GÜ-Berater'!$L$153,0)</f>
        <v>0</v>
      </c>
      <c r="X122" s="14"/>
      <c r="Y122" s="13"/>
      <c r="Z122" s="15"/>
    </row>
    <row r="123" spans="2:26" ht="14.55" x14ac:dyDescent="0.3">
      <c r="B123" s="241">
        <v>44</v>
      </c>
      <c r="C123" s="233">
        <f>IF(C$79='Besondere Leistungen GÜ-Berater'!$N$154,'Besondere Leistungen GÜ-Berater'!$L$154,0)</f>
        <v>0</v>
      </c>
      <c r="D123" s="234">
        <f>IF(D$79='Besondere Leistungen GÜ-Berater'!$N$154,'Besondere Leistungen GÜ-Berater'!$L$154,0)</f>
        <v>0</v>
      </c>
      <c r="E123" s="234">
        <f>IF(E$79='Besondere Leistungen GÜ-Berater'!$N$154,'Besondere Leistungen GÜ-Berater'!$L$154,0)</f>
        <v>0</v>
      </c>
      <c r="F123" s="234">
        <f>IF(F$79='Besondere Leistungen GÜ-Berater'!$N$154,'Besondere Leistungen GÜ-Berater'!$L$154,0)</f>
        <v>0</v>
      </c>
      <c r="G123" s="234">
        <f>IF(G$79='Besondere Leistungen GÜ-Berater'!$N$154,'Besondere Leistungen GÜ-Berater'!$L$154,0)</f>
        <v>0</v>
      </c>
      <c r="H123" s="234">
        <f>IF(H$79='Besondere Leistungen GÜ-Berater'!$N$154,'Besondere Leistungen GÜ-Berater'!$L$154,0)</f>
        <v>0</v>
      </c>
      <c r="I123" s="234">
        <f>IF(I$79='Besondere Leistungen GÜ-Berater'!$N$154,'Besondere Leistungen GÜ-Berater'!$L$154,0)</f>
        <v>0</v>
      </c>
      <c r="J123" s="234">
        <f>IF(J$79='Besondere Leistungen GÜ-Berater'!$N$154,'Besondere Leistungen GÜ-Berater'!$L$154,0)</f>
        <v>0</v>
      </c>
      <c r="K123" s="235">
        <f>IF(K$79='Besondere Leistungen GÜ-Berater'!$N$154,'Besondere Leistungen GÜ-Berater'!$L$154,0)</f>
        <v>0</v>
      </c>
      <c r="X123" s="14"/>
      <c r="Y123" s="13"/>
      <c r="Z123" s="15"/>
    </row>
    <row r="124" spans="2:26" ht="14.55" x14ac:dyDescent="0.3">
      <c r="B124" s="241">
        <v>45</v>
      </c>
      <c r="C124" s="233">
        <f>IF(C$79='Besondere Leistungen GÜ-Berater'!$N$156,'Besondere Leistungen GÜ-Berater'!$L$156,0)</f>
        <v>0</v>
      </c>
      <c r="D124" s="234">
        <f>IF(D$79='Besondere Leistungen GÜ-Berater'!$N$156,'Besondere Leistungen GÜ-Berater'!$L$156,0)</f>
        <v>0</v>
      </c>
      <c r="E124" s="234">
        <f>IF(E$79='Besondere Leistungen GÜ-Berater'!$N$156,'Besondere Leistungen GÜ-Berater'!$L$156,0)</f>
        <v>0</v>
      </c>
      <c r="F124" s="234">
        <f>IF(F$79='Besondere Leistungen GÜ-Berater'!$N$156,'Besondere Leistungen GÜ-Berater'!$L$156,0)</f>
        <v>0</v>
      </c>
      <c r="G124" s="234">
        <f>IF(G$79='Besondere Leistungen GÜ-Berater'!$N$156,'Besondere Leistungen GÜ-Berater'!$L$156,0)</f>
        <v>0</v>
      </c>
      <c r="H124" s="234">
        <f>IF(H$79='Besondere Leistungen GÜ-Berater'!$N$156,'Besondere Leistungen GÜ-Berater'!$L$156,0)</f>
        <v>0</v>
      </c>
      <c r="I124" s="234">
        <f>IF(I$79='Besondere Leistungen GÜ-Berater'!$N$156,'Besondere Leistungen GÜ-Berater'!$L$156,0)</f>
        <v>0</v>
      </c>
      <c r="J124" s="234">
        <f>IF(J$79='Besondere Leistungen GÜ-Berater'!$N$156,'Besondere Leistungen GÜ-Berater'!$L$156,0)</f>
        <v>0</v>
      </c>
      <c r="K124" s="235">
        <f>IF(K$79='Besondere Leistungen GÜ-Berater'!$N$156,'Besondere Leistungen GÜ-Berater'!$L$156,0)</f>
        <v>0</v>
      </c>
      <c r="X124" s="14"/>
      <c r="Y124" s="13"/>
      <c r="Z124" s="15"/>
    </row>
    <row r="125" spans="2:26" ht="14.55" x14ac:dyDescent="0.3">
      <c r="B125" s="241">
        <v>46</v>
      </c>
      <c r="C125" s="233">
        <f>IF(C$79='Besondere Leistungen GÜ-Berater'!$N$157,'Besondere Leistungen GÜ-Berater'!$L$157,0)</f>
        <v>0</v>
      </c>
      <c r="D125" s="234">
        <f>IF(D$79='Besondere Leistungen GÜ-Berater'!$N$157,'Besondere Leistungen GÜ-Berater'!$L$157,0)</f>
        <v>0</v>
      </c>
      <c r="E125" s="234">
        <f>IF(E$79='Besondere Leistungen GÜ-Berater'!$N$157,'Besondere Leistungen GÜ-Berater'!$L$157,0)</f>
        <v>0</v>
      </c>
      <c r="F125" s="234">
        <f>IF(F$79='Besondere Leistungen GÜ-Berater'!$N$157,'Besondere Leistungen GÜ-Berater'!$L$157,0)</f>
        <v>0</v>
      </c>
      <c r="G125" s="234">
        <f>IF(G$79='Besondere Leistungen GÜ-Berater'!$N$157,'Besondere Leistungen GÜ-Berater'!$L$157,0)</f>
        <v>0</v>
      </c>
      <c r="H125" s="234">
        <f>IF(H$79='Besondere Leistungen GÜ-Berater'!$N$157,'Besondere Leistungen GÜ-Berater'!$L$157,0)</f>
        <v>0</v>
      </c>
      <c r="I125" s="234">
        <f>IF(I$79='Besondere Leistungen GÜ-Berater'!$N$157,'Besondere Leistungen GÜ-Berater'!$L$157,0)</f>
        <v>0</v>
      </c>
      <c r="J125" s="234">
        <f>IF(J$79='Besondere Leistungen GÜ-Berater'!$N$157,'Besondere Leistungen GÜ-Berater'!$L$157,0)</f>
        <v>0</v>
      </c>
      <c r="K125" s="235">
        <f>IF(K$79='Besondere Leistungen GÜ-Berater'!$N$157,'Besondere Leistungen GÜ-Berater'!$L$157,0)</f>
        <v>0</v>
      </c>
      <c r="X125" s="14"/>
      <c r="Y125" s="13"/>
      <c r="Z125" s="15"/>
    </row>
    <row r="126" spans="2:26" ht="14.55" x14ac:dyDescent="0.3">
      <c r="B126" s="241">
        <v>47</v>
      </c>
      <c r="C126" s="233">
        <f>IF(C$79='Besondere Leistungen GÜ-Berater'!$N$158,'Besondere Leistungen GÜ-Berater'!$L$158,0)</f>
        <v>0</v>
      </c>
      <c r="D126" s="234">
        <f>IF(D$79='Besondere Leistungen GÜ-Berater'!$N$158,'Besondere Leistungen GÜ-Berater'!$L$158,0)</f>
        <v>0</v>
      </c>
      <c r="E126" s="234">
        <f>IF(E$79='Besondere Leistungen GÜ-Berater'!$N$158,'Besondere Leistungen GÜ-Berater'!$L$158,0)</f>
        <v>0</v>
      </c>
      <c r="F126" s="234">
        <f>IF(F$79='Besondere Leistungen GÜ-Berater'!$N$158,'Besondere Leistungen GÜ-Berater'!$L$158,0)</f>
        <v>0</v>
      </c>
      <c r="G126" s="234">
        <f>IF(G$79='Besondere Leistungen GÜ-Berater'!$N$158,'Besondere Leistungen GÜ-Berater'!$L$158,0)</f>
        <v>0</v>
      </c>
      <c r="H126" s="234">
        <f>IF(H$79='Besondere Leistungen GÜ-Berater'!$N$158,'Besondere Leistungen GÜ-Berater'!$L$158,0)</f>
        <v>0</v>
      </c>
      <c r="I126" s="234">
        <f>IF(I$79='Besondere Leistungen GÜ-Berater'!$N$158,'Besondere Leistungen GÜ-Berater'!$L$158,0)</f>
        <v>0</v>
      </c>
      <c r="J126" s="234">
        <f>IF(J$79='Besondere Leistungen GÜ-Berater'!$N$158,'Besondere Leistungen GÜ-Berater'!$L$158,0)</f>
        <v>0</v>
      </c>
      <c r="K126" s="235">
        <f>IF(K$79='Besondere Leistungen GÜ-Berater'!$N$158,'Besondere Leistungen GÜ-Berater'!$L$158,0)</f>
        <v>0</v>
      </c>
      <c r="X126" s="14"/>
      <c r="Y126" s="13"/>
      <c r="Z126" s="15"/>
    </row>
    <row r="127" spans="2:26" ht="14.55" x14ac:dyDescent="0.3">
      <c r="B127" s="241">
        <v>48</v>
      </c>
      <c r="C127" s="233">
        <f>IF(C$79='Besondere Leistungen GÜ-Berater'!$N$162,'Besondere Leistungen GÜ-Berater'!$L$162,0)</f>
        <v>0</v>
      </c>
      <c r="D127" s="234">
        <f>IF(D$79='Besondere Leistungen GÜ-Berater'!$N$162,'Besondere Leistungen GÜ-Berater'!$L$162,0)</f>
        <v>0</v>
      </c>
      <c r="E127" s="234">
        <f>IF(E$79='Besondere Leistungen GÜ-Berater'!$N$162,'Besondere Leistungen GÜ-Berater'!$L$162,0)</f>
        <v>0</v>
      </c>
      <c r="F127" s="234">
        <f>IF(F$79='Besondere Leistungen GÜ-Berater'!$N$162,'Besondere Leistungen GÜ-Berater'!$L$162,0)</f>
        <v>0</v>
      </c>
      <c r="G127" s="234">
        <f>IF(G$79='Besondere Leistungen GÜ-Berater'!$N$162,'Besondere Leistungen GÜ-Berater'!$L$162,0)</f>
        <v>0</v>
      </c>
      <c r="H127" s="234">
        <f>IF(H$79='Besondere Leistungen GÜ-Berater'!$N$162,'Besondere Leistungen GÜ-Berater'!$L$162,0)</f>
        <v>0</v>
      </c>
      <c r="I127" s="234">
        <f>IF(I$79='Besondere Leistungen GÜ-Berater'!$N$162,'Besondere Leistungen GÜ-Berater'!$L$162,0)</f>
        <v>0</v>
      </c>
      <c r="J127" s="234">
        <f>IF(J$79='Besondere Leistungen GÜ-Berater'!$N$162,'Besondere Leistungen GÜ-Berater'!$L$162,0)</f>
        <v>0</v>
      </c>
      <c r="K127" s="235">
        <f>IF(K$79='Besondere Leistungen GÜ-Berater'!$N$162,'Besondere Leistungen GÜ-Berater'!$L$162,0)</f>
        <v>0</v>
      </c>
      <c r="X127" s="14"/>
      <c r="Y127" s="13"/>
      <c r="Z127" s="15"/>
    </row>
    <row r="128" spans="2:26" ht="14.55" x14ac:dyDescent="0.3">
      <c r="B128" s="241">
        <v>49</v>
      </c>
      <c r="C128" s="233">
        <f>IF(C$79='Besondere Leistungen GÜ-Berater'!$N$164,'Besondere Leistungen GÜ-Berater'!$L$164,0)</f>
        <v>0</v>
      </c>
      <c r="D128" s="234">
        <f>IF(D$79='Besondere Leistungen GÜ-Berater'!$N$164,'Besondere Leistungen GÜ-Berater'!$L$164,0)</f>
        <v>0</v>
      </c>
      <c r="E128" s="234">
        <f>IF(E$79='Besondere Leistungen GÜ-Berater'!$N$164,'Besondere Leistungen GÜ-Berater'!$L$164,0)</f>
        <v>0</v>
      </c>
      <c r="F128" s="234">
        <f>IF(F$79='Besondere Leistungen GÜ-Berater'!$N$164,'Besondere Leistungen GÜ-Berater'!$L$164,0)</f>
        <v>0</v>
      </c>
      <c r="G128" s="234">
        <f>IF(G$79='Besondere Leistungen GÜ-Berater'!$N$164,'Besondere Leistungen GÜ-Berater'!$L$164,0)</f>
        <v>0</v>
      </c>
      <c r="H128" s="234">
        <f>IF(H$79='Besondere Leistungen GÜ-Berater'!$N$164,'Besondere Leistungen GÜ-Berater'!$L$164,0)</f>
        <v>0</v>
      </c>
      <c r="I128" s="234">
        <f>IF(I$79='Besondere Leistungen GÜ-Berater'!$N$164,'Besondere Leistungen GÜ-Berater'!$L$164,0)</f>
        <v>0</v>
      </c>
      <c r="J128" s="234">
        <f>IF(J$79='Besondere Leistungen GÜ-Berater'!$N$164,'Besondere Leistungen GÜ-Berater'!$L$164,0)</f>
        <v>0</v>
      </c>
      <c r="K128" s="235">
        <f>IF(K$79='Besondere Leistungen GÜ-Berater'!$N$164,'Besondere Leistungen GÜ-Berater'!$L$164,0)</f>
        <v>0</v>
      </c>
      <c r="X128" s="14"/>
      <c r="Y128" s="13"/>
      <c r="Z128" s="15"/>
    </row>
    <row r="129" spans="2:26" ht="14.55" x14ac:dyDescent="0.3">
      <c r="B129" s="241">
        <v>50</v>
      </c>
      <c r="C129" s="233">
        <f>IF(C$79='Besondere Leistungen GÜ-Berater'!$N$169,'Besondere Leistungen GÜ-Berater'!$L$169,0)</f>
        <v>0</v>
      </c>
      <c r="D129" s="234">
        <f>IF(D$79='Besondere Leistungen GÜ-Berater'!$N$169,'Besondere Leistungen GÜ-Berater'!$L$169,0)</f>
        <v>0</v>
      </c>
      <c r="E129" s="234">
        <f>IF(E$79='Besondere Leistungen GÜ-Berater'!$N$169,'Besondere Leistungen GÜ-Berater'!$L$169,0)</f>
        <v>0</v>
      </c>
      <c r="F129" s="234">
        <f>IF(F$79='Besondere Leistungen GÜ-Berater'!$N$169,'Besondere Leistungen GÜ-Berater'!$L$169,0)</f>
        <v>0</v>
      </c>
      <c r="G129" s="234">
        <f>IF(G$79='Besondere Leistungen GÜ-Berater'!$N$169,'Besondere Leistungen GÜ-Berater'!$L$169,0)</f>
        <v>0</v>
      </c>
      <c r="H129" s="234">
        <f>IF(H$79='Besondere Leistungen GÜ-Berater'!$N$169,'Besondere Leistungen GÜ-Berater'!$L$169,0)</f>
        <v>0</v>
      </c>
      <c r="I129" s="234">
        <f>IF(I$79='Besondere Leistungen GÜ-Berater'!$N$169,'Besondere Leistungen GÜ-Berater'!$L$169,0)</f>
        <v>0</v>
      </c>
      <c r="J129" s="234">
        <f>IF(J$79='Besondere Leistungen GÜ-Berater'!$N$169,'Besondere Leistungen GÜ-Berater'!$L$169,0)</f>
        <v>0</v>
      </c>
      <c r="K129" s="235">
        <f>IF(K$79='Besondere Leistungen GÜ-Berater'!$N$169,'Besondere Leistungen GÜ-Berater'!$L$169,0)</f>
        <v>0</v>
      </c>
      <c r="X129" s="14"/>
      <c r="Y129" s="13"/>
      <c r="Z129" s="15"/>
    </row>
    <row r="130" spans="2:26" ht="14.55" x14ac:dyDescent="0.3">
      <c r="B130" s="241">
        <v>51</v>
      </c>
      <c r="C130" s="233">
        <f>IF(C$79='Besondere Leistungen GÜ-Berater'!$N$170,'Besondere Leistungen GÜ-Berater'!$L$170,0)</f>
        <v>0</v>
      </c>
      <c r="D130" s="234">
        <f>IF(D$79='Besondere Leistungen GÜ-Berater'!$N$170,'Besondere Leistungen GÜ-Berater'!$L$170,0)</f>
        <v>0</v>
      </c>
      <c r="E130" s="234">
        <f>IF(E$79='Besondere Leistungen GÜ-Berater'!$N$170,'Besondere Leistungen GÜ-Berater'!$L$170,0)</f>
        <v>0</v>
      </c>
      <c r="F130" s="234">
        <f>IF(F$79='Besondere Leistungen GÜ-Berater'!$N$170,'Besondere Leistungen GÜ-Berater'!$L$170,0)</f>
        <v>0</v>
      </c>
      <c r="G130" s="234">
        <f>IF(G$79='Besondere Leistungen GÜ-Berater'!$N$170,'Besondere Leistungen GÜ-Berater'!$L$170,0)</f>
        <v>0</v>
      </c>
      <c r="H130" s="234">
        <f>IF(H$79='Besondere Leistungen GÜ-Berater'!$N$170,'Besondere Leistungen GÜ-Berater'!$L$170,0)</f>
        <v>0</v>
      </c>
      <c r="I130" s="234">
        <f>IF(I$79='Besondere Leistungen GÜ-Berater'!$N$170,'Besondere Leistungen GÜ-Berater'!$L$170,0)</f>
        <v>0</v>
      </c>
      <c r="J130" s="234">
        <f>IF(J$79='Besondere Leistungen GÜ-Berater'!$N$170,'Besondere Leistungen GÜ-Berater'!$L$170,0)</f>
        <v>0</v>
      </c>
      <c r="K130" s="235">
        <f>IF(K$79='Besondere Leistungen GÜ-Berater'!$N$170,'Besondere Leistungen GÜ-Berater'!$L$170,0)</f>
        <v>0</v>
      </c>
      <c r="X130" s="14"/>
      <c r="Y130" s="13"/>
      <c r="Z130" s="15"/>
    </row>
    <row r="131" spans="2:26" ht="14.55" x14ac:dyDescent="0.3">
      <c r="B131" s="241">
        <v>52</v>
      </c>
      <c r="C131" s="233">
        <f>IF(C$79='Besondere Leistungen GÜ-Berater'!$N$172,'Besondere Leistungen GÜ-Berater'!$L$172,0)</f>
        <v>0</v>
      </c>
      <c r="D131" s="234">
        <f>IF(D$79='Besondere Leistungen GÜ-Berater'!$N$172,'Besondere Leistungen GÜ-Berater'!$L$172,0)</f>
        <v>0</v>
      </c>
      <c r="E131" s="234">
        <f>IF(E$79='Besondere Leistungen GÜ-Berater'!$N$172,'Besondere Leistungen GÜ-Berater'!$L$172,0)</f>
        <v>0</v>
      </c>
      <c r="F131" s="234">
        <f>IF(F$79='Besondere Leistungen GÜ-Berater'!$N$172,'Besondere Leistungen GÜ-Berater'!$L$172,0)</f>
        <v>0</v>
      </c>
      <c r="G131" s="234">
        <f>IF(G$79='Besondere Leistungen GÜ-Berater'!$N$172,'Besondere Leistungen GÜ-Berater'!$L$172,0)</f>
        <v>0</v>
      </c>
      <c r="H131" s="234">
        <f>IF(H$79='Besondere Leistungen GÜ-Berater'!$N$172,'Besondere Leistungen GÜ-Berater'!$L$172,0)</f>
        <v>0</v>
      </c>
      <c r="I131" s="234">
        <f>IF(I$79='Besondere Leistungen GÜ-Berater'!$N$172,'Besondere Leistungen GÜ-Berater'!$L$172,0)</f>
        <v>0</v>
      </c>
      <c r="J131" s="234">
        <f>IF(J$79='Besondere Leistungen GÜ-Berater'!$N$172,'Besondere Leistungen GÜ-Berater'!$L$172,0)</f>
        <v>0</v>
      </c>
      <c r="K131" s="235">
        <f>IF(K$79='Besondere Leistungen GÜ-Berater'!$N$172,'Besondere Leistungen GÜ-Berater'!$L$172,0)</f>
        <v>0</v>
      </c>
      <c r="X131" s="14"/>
      <c r="Y131" s="13"/>
      <c r="Z131" s="15"/>
    </row>
    <row r="132" spans="2:26" ht="14.55" x14ac:dyDescent="0.3">
      <c r="B132" s="241">
        <v>53</v>
      </c>
      <c r="C132" s="233">
        <f>IF(C$79='Besondere Leistungen GÜ-Berater'!$N$175,'Besondere Leistungen GÜ-Berater'!$L$175,0)</f>
        <v>0</v>
      </c>
      <c r="D132" s="234">
        <f>IF(D$79='Besondere Leistungen GÜ-Berater'!$N$175,'Besondere Leistungen GÜ-Berater'!$L$175,0)</f>
        <v>0</v>
      </c>
      <c r="E132" s="234">
        <f>IF(E$79='Besondere Leistungen GÜ-Berater'!$N$175,'Besondere Leistungen GÜ-Berater'!$L$175,0)</f>
        <v>0</v>
      </c>
      <c r="F132" s="234">
        <f>IF(F$79='Besondere Leistungen GÜ-Berater'!$N$175,'Besondere Leistungen GÜ-Berater'!$L$175,0)</f>
        <v>0</v>
      </c>
      <c r="G132" s="234">
        <f>IF(G$79='Besondere Leistungen GÜ-Berater'!$N$175,'Besondere Leistungen GÜ-Berater'!$L$175,0)</f>
        <v>0</v>
      </c>
      <c r="H132" s="234">
        <f>IF(H$79='Besondere Leistungen GÜ-Berater'!$N$175,'Besondere Leistungen GÜ-Berater'!$L$175,0)</f>
        <v>0</v>
      </c>
      <c r="I132" s="234">
        <f>IF(I$79='Besondere Leistungen GÜ-Berater'!$N$175,'Besondere Leistungen GÜ-Berater'!$L$175,0)</f>
        <v>0</v>
      </c>
      <c r="J132" s="234">
        <f>IF(J$79='Besondere Leistungen GÜ-Berater'!$N$175,'Besondere Leistungen GÜ-Berater'!$L$175,0)</f>
        <v>0</v>
      </c>
      <c r="K132" s="235">
        <f>IF(K$79='Besondere Leistungen GÜ-Berater'!$N$175,'Besondere Leistungen GÜ-Berater'!$L$175,0)</f>
        <v>0</v>
      </c>
      <c r="X132" s="14"/>
      <c r="Y132" s="13"/>
      <c r="Z132" s="15"/>
    </row>
    <row r="133" spans="2:26" ht="14.55" x14ac:dyDescent="0.3">
      <c r="B133" s="241">
        <v>54</v>
      </c>
      <c r="C133" s="233">
        <f>IF(C$79='Besondere Leistungen GÜ-Berater'!$N$179,'Besondere Leistungen GÜ-Berater'!$L$179,0)</f>
        <v>0</v>
      </c>
      <c r="D133" s="234">
        <f>IF(D$79='Besondere Leistungen GÜ-Berater'!$N$179,'Besondere Leistungen GÜ-Berater'!$L$179,0)</f>
        <v>0</v>
      </c>
      <c r="E133" s="234">
        <f>IF(E$79='Besondere Leistungen GÜ-Berater'!$N$179,'Besondere Leistungen GÜ-Berater'!$L$179,0)</f>
        <v>0</v>
      </c>
      <c r="F133" s="234">
        <f>IF(F$79='Besondere Leistungen GÜ-Berater'!$N$179,'Besondere Leistungen GÜ-Berater'!$L$179,0)</f>
        <v>0</v>
      </c>
      <c r="G133" s="234">
        <f>IF(G$79='Besondere Leistungen GÜ-Berater'!$N$179,'Besondere Leistungen GÜ-Berater'!$L$179,0)</f>
        <v>0</v>
      </c>
      <c r="H133" s="234">
        <f>IF(H$79='Besondere Leistungen GÜ-Berater'!$N$179,'Besondere Leistungen GÜ-Berater'!$L$179,0)</f>
        <v>0</v>
      </c>
      <c r="I133" s="234">
        <f>IF(I$79='Besondere Leistungen GÜ-Berater'!$N$179,'Besondere Leistungen GÜ-Berater'!$L$179,0)</f>
        <v>0</v>
      </c>
      <c r="J133" s="234">
        <f>IF(J$79='Besondere Leistungen GÜ-Berater'!$N$179,'Besondere Leistungen GÜ-Berater'!$L$179,0)</f>
        <v>0</v>
      </c>
      <c r="K133" s="235">
        <f>IF(K$79='Besondere Leistungen GÜ-Berater'!$N$179,'Besondere Leistungen GÜ-Berater'!$L$179,0)</f>
        <v>0</v>
      </c>
      <c r="X133" s="14"/>
      <c r="Y133" s="13"/>
      <c r="Z133" s="15"/>
    </row>
    <row r="134" spans="2:26" ht="14.55" x14ac:dyDescent="0.3">
      <c r="B134" s="241">
        <v>55</v>
      </c>
      <c r="C134" s="233">
        <f>IF(C$79='Besondere Leistungen GÜ-Berater'!$N$183,'Besondere Leistungen GÜ-Berater'!$L$183,0)</f>
        <v>0</v>
      </c>
      <c r="D134" s="234">
        <f>IF(D$79='Besondere Leistungen GÜ-Berater'!$N$183,'Besondere Leistungen GÜ-Berater'!$L$183,0)</f>
        <v>0</v>
      </c>
      <c r="E134" s="234">
        <f>IF(E$79='Besondere Leistungen GÜ-Berater'!$N$183,'Besondere Leistungen GÜ-Berater'!$L$183,0)</f>
        <v>0</v>
      </c>
      <c r="F134" s="234">
        <f>IF(F$79='Besondere Leistungen GÜ-Berater'!$N$183,'Besondere Leistungen GÜ-Berater'!$L$183,0)</f>
        <v>0</v>
      </c>
      <c r="G134" s="234">
        <f>IF(G$79='Besondere Leistungen GÜ-Berater'!$N$183,'Besondere Leistungen GÜ-Berater'!$L$183,0)</f>
        <v>0</v>
      </c>
      <c r="H134" s="234">
        <f>IF(H$79='Besondere Leistungen GÜ-Berater'!$N$183,'Besondere Leistungen GÜ-Berater'!$L$183,0)</f>
        <v>0</v>
      </c>
      <c r="I134" s="234">
        <f>IF(I$79='Besondere Leistungen GÜ-Berater'!$N$183,'Besondere Leistungen GÜ-Berater'!$L$183,0)</f>
        <v>0</v>
      </c>
      <c r="J134" s="234">
        <f>IF(J$79='Besondere Leistungen GÜ-Berater'!$N$183,'Besondere Leistungen GÜ-Berater'!$L$183,0)</f>
        <v>0</v>
      </c>
      <c r="K134" s="235">
        <f>IF(K$79='Besondere Leistungen GÜ-Berater'!$N$183,'Besondere Leistungen GÜ-Berater'!$L$183,0)</f>
        <v>0</v>
      </c>
      <c r="X134" s="14"/>
      <c r="Y134" s="13"/>
      <c r="Z134" s="15"/>
    </row>
    <row r="135" spans="2:26" ht="14.55" x14ac:dyDescent="0.3">
      <c r="B135" s="241">
        <v>56</v>
      </c>
      <c r="C135" s="233">
        <f>IF(C$79='Besondere Leistungen GÜ-Berater'!$N$185,'Besondere Leistungen GÜ-Berater'!$L$185,0)</f>
        <v>0</v>
      </c>
      <c r="D135" s="234">
        <f>IF(D$79='Besondere Leistungen GÜ-Berater'!$N$185,'Besondere Leistungen GÜ-Berater'!$L$185,0)</f>
        <v>0</v>
      </c>
      <c r="E135" s="234">
        <f>IF(E$79='Besondere Leistungen GÜ-Berater'!$N$185,'Besondere Leistungen GÜ-Berater'!$L$185,0)</f>
        <v>0</v>
      </c>
      <c r="F135" s="234">
        <f>IF(F$79='Besondere Leistungen GÜ-Berater'!$N$185,'Besondere Leistungen GÜ-Berater'!$L$185,0)</f>
        <v>0</v>
      </c>
      <c r="G135" s="234">
        <f>IF(G$79='Besondere Leistungen GÜ-Berater'!$N$185,'Besondere Leistungen GÜ-Berater'!$L$185,0)</f>
        <v>0</v>
      </c>
      <c r="H135" s="234">
        <f>IF(H$79='Besondere Leistungen GÜ-Berater'!$N$185,'Besondere Leistungen GÜ-Berater'!$L$185,0)</f>
        <v>0</v>
      </c>
      <c r="I135" s="234">
        <f>IF(I$79='Besondere Leistungen GÜ-Berater'!$N$185,'Besondere Leistungen GÜ-Berater'!$L$185,0)</f>
        <v>0</v>
      </c>
      <c r="J135" s="234">
        <f>IF(J$79='Besondere Leistungen GÜ-Berater'!$N$185,'Besondere Leistungen GÜ-Berater'!$L$185,0)</f>
        <v>0</v>
      </c>
      <c r="K135" s="235">
        <f>IF(K$79='Besondere Leistungen GÜ-Berater'!$N$185,'Besondere Leistungen GÜ-Berater'!$L$185,0)</f>
        <v>0</v>
      </c>
      <c r="X135" s="14"/>
      <c r="Y135" s="13"/>
      <c r="Z135" s="15"/>
    </row>
    <row r="136" spans="2:26" ht="14.55" x14ac:dyDescent="0.3">
      <c r="B136" s="241">
        <v>57</v>
      </c>
      <c r="C136" s="233">
        <f>IF(C$79='Besondere Leistungen GÜ-Berater'!$N$187,'Besondere Leistungen GÜ-Berater'!$L$187,0)</f>
        <v>0</v>
      </c>
      <c r="D136" s="234">
        <f>IF(D$79='Besondere Leistungen GÜ-Berater'!$N$187,'Besondere Leistungen GÜ-Berater'!$L$187,0)</f>
        <v>0</v>
      </c>
      <c r="E136" s="234">
        <f>IF(E$79='Besondere Leistungen GÜ-Berater'!$N$187,'Besondere Leistungen GÜ-Berater'!$L$187,0)</f>
        <v>0</v>
      </c>
      <c r="F136" s="234">
        <f>IF(F$79='Besondere Leistungen GÜ-Berater'!$N$187,'Besondere Leistungen GÜ-Berater'!$L$187,0)</f>
        <v>0</v>
      </c>
      <c r="G136" s="234">
        <f>IF(G$79='Besondere Leistungen GÜ-Berater'!$N$187,'Besondere Leistungen GÜ-Berater'!$L$187,0)</f>
        <v>0</v>
      </c>
      <c r="H136" s="234">
        <f>IF(H$79='Besondere Leistungen GÜ-Berater'!$N$187,'Besondere Leistungen GÜ-Berater'!$L$187,0)</f>
        <v>0</v>
      </c>
      <c r="I136" s="234">
        <f>IF(I$79='Besondere Leistungen GÜ-Berater'!$N$187,'Besondere Leistungen GÜ-Berater'!$L$187,0)</f>
        <v>0</v>
      </c>
      <c r="J136" s="234">
        <f>IF(J$79='Besondere Leistungen GÜ-Berater'!$N$187,'Besondere Leistungen GÜ-Berater'!$L$187,0)</f>
        <v>0</v>
      </c>
      <c r="K136" s="235">
        <f>IF(K$79='Besondere Leistungen GÜ-Berater'!$N$187,'Besondere Leistungen GÜ-Berater'!$L$187,0)</f>
        <v>0</v>
      </c>
      <c r="X136" s="14"/>
      <c r="Y136" s="13"/>
      <c r="Z136" s="15"/>
    </row>
    <row r="137" spans="2:26" ht="14.55" x14ac:dyDescent="0.3">
      <c r="B137" s="241">
        <v>59</v>
      </c>
      <c r="C137" s="233">
        <f>IF(C$79='Besondere Leistungen GÜ-Berater'!$N$189,'Besondere Leistungen GÜ-Berater'!$L$189,0)</f>
        <v>0</v>
      </c>
      <c r="D137" s="234">
        <f>IF(D$79='Besondere Leistungen GÜ-Berater'!$N$189,'Besondere Leistungen GÜ-Berater'!$L$189,0)</f>
        <v>0</v>
      </c>
      <c r="E137" s="234">
        <f>IF(E$79='Besondere Leistungen GÜ-Berater'!$N$189,'Besondere Leistungen GÜ-Berater'!$L$189,0)</f>
        <v>0</v>
      </c>
      <c r="F137" s="234">
        <f>IF(F$79='Besondere Leistungen GÜ-Berater'!$N$189,'Besondere Leistungen GÜ-Berater'!$L$189,0)</f>
        <v>0</v>
      </c>
      <c r="G137" s="234">
        <f>IF(G$79='Besondere Leistungen GÜ-Berater'!$N$189,'Besondere Leistungen GÜ-Berater'!$L$189,0)</f>
        <v>0</v>
      </c>
      <c r="H137" s="234">
        <f>IF(H$79='Besondere Leistungen GÜ-Berater'!$N$189,'Besondere Leistungen GÜ-Berater'!$L$189,0)</f>
        <v>0</v>
      </c>
      <c r="I137" s="234">
        <f>IF(I$79='Besondere Leistungen GÜ-Berater'!$N$189,'Besondere Leistungen GÜ-Berater'!$L$189,0)</f>
        <v>0</v>
      </c>
      <c r="J137" s="234">
        <f>IF(J$79='Besondere Leistungen GÜ-Berater'!$N$189,'Besondere Leistungen GÜ-Berater'!$L$189,0)</f>
        <v>0</v>
      </c>
      <c r="K137" s="235">
        <f>IF(K$79='Besondere Leistungen GÜ-Berater'!$N$189,'Besondere Leistungen GÜ-Berater'!$L$189,0)</f>
        <v>0</v>
      </c>
      <c r="X137" s="14"/>
      <c r="Y137" s="13"/>
      <c r="Z137" s="15"/>
    </row>
    <row r="138" spans="2:26" ht="14.55" x14ac:dyDescent="0.3">
      <c r="B138" s="241">
        <v>60</v>
      </c>
      <c r="C138" s="233">
        <f>IF(C$79='Besondere Leistungen GÜ-Berater'!$N$191,'Besondere Leistungen GÜ-Berater'!$L$191,0)</f>
        <v>0</v>
      </c>
      <c r="D138" s="234">
        <f>IF(D$79='Besondere Leistungen GÜ-Berater'!$N$191,'Besondere Leistungen GÜ-Berater'!$L$191,0)</f>
        <v>0</v>
      </c>
      <c r="E138" s="234">
        <f>IF(E$79='Besondere Leistungen GÜ-Berater'!$N$191,'Besondere Leistungen GÜ-Berater'!$L$191,0)</f>
        <v>0</v>
      </c>
      <c r="F138" s="234">
        <f>IF(F$79='Besondere Leistungen GÜ-Berater'!$N$191,'Besondere Leistungen GÜ-Berater'!$L$191,0)</f>
        <v>0</v>
      </c>
      <c r="G138" s="234">
        <f>IF(G$79='Besondere Leistungen GÜ-Berater'!$N$191,'Besondere Leistungen GÜ-Berater'!$L$191,0)</f>
        <v>0</v>
      </c>
      <c r="H138" s="234">
        <f>IF(H$79='Besondere Leistungen GÜ-Berater'!$N$191,'Besondere Leistungen GÜ-Berater'!$L$191,0)</f>
        <v>0</v>
      </c>
      <c r="I138" s="234">
        <f>IF(I$79='Besondere Leistungen GÜ-Berater'!$N$191,'Besondere Leistungen GÜ-Berater'!$L$191,0)</f>
        <v>0</v>
      </c>
      <c r="J138" s="234">
        <f>IF(J$79='Besondere Leistungen GÜ-Berater'!$N$191,'Besondere Leistungen GÜ-Berater'!$L$191,0)</f>
        <v>0</v>
      </c>
      <c r="K138" s="235">
        <f>IF(K$79='Besondere Leistungen GÜ-Berater'!$N$191,'Besondere Leistungen GÜ-Berater'!$L$191,0)</f>
        <v>0</v>
      </c>
      <c r="X138" s="14"/>
      <c r="Y138" s="13"/>
      <c r="Z138" s="15"/>
    </row>
    <row r="139" spans="2:26" ht="14.55" x14ac:dyDescent="0.3">
      <c r="B139" s="241">
        <v>61</v>
      </c>
      <c r="C139" s="233">
        <f>IF(C$79='Besondere Leistungen GÜ-Berater'!$N$192,'Besondere Leistungen GÜ-Berater'!$L$192,0)</f>
        <v>0</v>
      </c>
      <c r="D139" s="234">
        <f>IF(D$79='Besondere Leistungen GÜ-Berater'!$N$192,'Besondere Leistungen GÜ-Berater'!$L$192,0)</f>
        <v>0</v>
      </c>
      <c r="E139" s="234">
        <f>IF(E$79='Besondere Leistungen GÜ-Berater'!$N$192,'Besondere Leistungen GÜ-Berater'!$L$192,0)</f>
        <v>0</v>
      </c>
      <c r="F139" s="234">
        <f>IF(F$79='Besondere Leistungen GÜ-Berater'!$N$192,'Besondere Leistungen GÜ-Berater'!$L$192,0)</f>
        <v>0</v>
      </c>
      <c r="G139" s="234">
        <f>IF(G$79='Besondere Leistungen GÜ-Berater'!$N$192,'Besondere Leistungen GÜ-Berater'!$L$192,0)</f>
        <v>0</v>
      </c>
      <c r="H139" s="234">
        <f>IF(H$79='Besondere Leistungen GÜ-Berater'!$N$192,'Besondere Leistungen GÜ-Berater'!$L$192,0)</f>
        <v>0</v>
      </c>
      <c r="I139" s="234">
        <f>IF(I$79='Besondere Leistungen GÜ-Berater'!$N$192,'Besondere Leistungen GÜ-Berater'!$L$192,0)</f>
        <v>0</v>
      </c>
      <c r="J139" s="234">
        <f>IF(J$79='Besondere Leistungen GÜ-Berater'!$N$192,'Besondere Leistungen GÜ-Berater'!$L$192,0)</f>
        <v>0</v>
      </c>
      <c r="K139" s="235">
        <f>IF(K$79='Besondere Leistungen GÜ-Berater'!$N$192,'Besondere Leistungen GÜ-Berater'!$L$192,0)</f>
        <v>0</v>
      </c>
      <c r="X139" s="14"/>
      <c r="Y139" s="13"/>
      <c r="Z139" s="15"/>
    </row>
    <row r="140" spans="2:26" ht="14.55" x14ac:dyDescent="0.3">
      <c r="B140" s="241">
        <v>62</v>
      </c>
      <c r="C140" s="233">
        <f>IF(C$79='Besondere Leistungen GÜ-Berater'!$N$197,'Besondere Leistungen GÜ-Berater'!$L$197,0)</f>
        <v>0</v>
      </c>
      <c r="D140" s="234">
        <f>IF(D$79='Besondere Leistungen GÜ-Berater'!$N$197,'Besondere Leistungen GÜ-Berater'!$L$197,0)</f>
        <v>0</v>
      </c>
      <c r="E140" s="234">
        <f>IF(E$79='Besondere Leistungen GÜ-Berater'!$N$197,'Besondere Leistungen GÜ-Berater'!$L$197,0)</f>
        <v>0</v>
      </c>
      <c r="F140" s="234">
        <f>IF(F$79='Besondere Leistungen GÜ-Berater'!$N$197,'Besondere Leistungen GÜ-Berater'!$L$197,0)</f>
        <v>0</v>
      </c>
      <c r="G140" s="234">
        <f>IF(G$79='Besondere Leistungen GÜ-Berater'!$N$197,'Besondere Leistungen GÜ-Berater'!$L$197,0)</f>
        <v>0</v>
      </c>
      <c r="H140" s="234">
        <f>IF(H$79='Besondere Leistungen GÜ-Berater'!$N$197,'Besondere Leistungen GÜ-Berater'!$L$197,0)</f>
        <v>0</v>
      </c>
      <c r="I140" s="234">
        <f>IF(I$79='Besondere Leistungen GÜ-Berater'!$N$197,'Besondere Leistungen GÜ-Berater'!$L$197,0)</f>
        <v>0</v>
      </c>
      <c r="J140" s="234">
        <f>IF(J$79='Besondere Leistungen GÜ-Berater'!$N$197,'Besondere Leistungen GÜ-Berater'!$L$197,0)</f>
        <v>0</v>
      </c>
      <c r="K140" s="235">
        <f>IF(K$79='Besondere Leistungen GÜ-Berater'!$N$197,'Besondere Leistungen GÜ-Berater'!$L$197,0)</f>
        <v>0</v>
      </c>
      <c r="X140" s="14"/>
      <c r="Y140" s="13"/>
      <c r="Z140" s="15"/>
    </row>
    <row r="141" spans="2:26" ht="14.55" x14ac:dyDescent="0.3">
      <c r="B141" s="241">
        <v>63</v>
      </c>
      <c r="C141" s="233">
        <f>IF(C$79='Besondere Leistungen GÜ-Berater'!$N$200,'Besondere Leistungen GÜ-Berater'!$L$200,0)</f>
        <v>0</v>
      </c>
      <c r="D141" s="234">
        <f>IF(D$79='Besondere Leistungen GÜ-Berater'!$N$200,'Besondere Leistungen GÜ-Berater'!$L$200,0)</f>
        <v>0</v>
      </c>
      <c r="E141" s="234">
        <f>IF(E$79='Besondere Leistungen GÜ-Berater'!$N$200,'Besondere Leistungen GÜ-Berater'!$L$200,0)</f>
        <v>0</v>
      </c>
      <c r="F141" s="234">
        <f>IF(F$79='Besondere Leistungen GÜ-Berater'!$N$200,'Besondere Leistungen GÜ-Berater'!$L$200,0)</f>
        <v>0</v>
      </c>
      <c r="G141" s="234">
        <f>IF(G$79='Besondere Leistungen GÜ-Berater'!$N$200,'Besondere Leistungen GÜ-Berater'!$L$200,0)</f>
        <v>0</v>
      </c>
      <c r="H141" s="234">
        <f>IF(H$79='Besondere Leistungen GÜ-Berater'!$N$200,'Besondere Leistungen GÜ-Berater'!$L$200,0)</f>
        <v>0</v>
      </c>
      <c r="I141" s="234">
        <f>IF(I$79='Besondere Leistungen GÜ-Berater'!$N$200,'Besondere Leistungen GÜ-Berater'!$L$200,0)</f>
        <v>0</v>
      </c>
      <c r="J141" s="234">
        <f>IF(J$79='Besondere Leistungen GÜ-Berater'!$N$200,'Besondere Leistungen GÜ-Berater'!$L$200,0)</f>
        <v>0</v>
      </c>
      <c r="K141" s="235">
        <f>IF(K$79='Besondere Leistungen GÜ-Berater'!$N$200,'Besondere Leistungen GÜ-Berater'!$L$200,0)</f>
        <v>0</v>
      </c>
      <c r="X141" s="14"/>
      <c r="Y141" s="13"/>
      <c r="Z141" s="15"/>
    </row>
    <row r="142" spans="2:26" ht="14.55" x14ac:dyDescent="0.3">
      <c r="B142" s="241">
        <v>64</v>
      </c>
      <c r="C142" s="233">
        <f>IF(C$79='Besondere Leistungen GÜ-Berater'!$N$201,'Besondere Leistungen GÜ-Berater'!$L$201,0)</f>
        <v>0</v>
      </c>
      <c r="D142" s="234">
        <f>IF(D$79='Besondere Leistungen GÜ-Berater'!$N$201,'Besondere Leistungen GÜ-Berater'!$L$201,0)</f>
        <v>0</v>
      </c>
      <c r="E142" s="234">
        <f>IF(E$79='Besondere Leistungen GÜ-Berater'!$N$201,'Besondere Leistungen GÜ-Berater'!$L$201,0)</f>
        <v>0</v>
      </c>
      <c r="F142" s="234">
        <f>IF(F$79='Besondere Leistungen GÜ-Berater'!$N$201,'Besondere Leistungen GÜ-Berater'!$L$201,0)</f>
        <v>0</v>
      </c>
      <c r="G142" s="234">
        <f>IF(G$79='Besondere Leistungen GÜ-Berater'!$N$201,'Besondere Leistungen GÜ-Berater'!$L$201,0)</f>
        <v>0</v>
      </c>
      <c r="H142" s="234">
        <f>IF(H$79='Besondere Leistungen GÜ-Berater'!$N$201,'Besondere Leistungen GÜ-Berater'!$L$201,0)</f>
        <v>0</v>
      </c>
      <c r="I142" s="234">
        <f>IF(I$79='Besondere Leistungen GÜ-Berater'!$N$201,'Besondere Leistungen GÜ-Berater'!$L$201,0)</f>
        <v>0</v>
      </c>
      <c r="J142" s="234">
        <f>IF(J$79='Besondere Leistungen GÜ-Berater'!$N$201,'Besondere Leistungen GÜ-Berater'!$L$201,0)</f>
        <v>0</v>
      </c>
      <c r="K142" s="235">
        <f>IF(K$79='Besondere Leistungen GÜ-Berater'!$N$201,'Besondere Leistungen GÜ-Berater'!$L$201,0)</f>
        <v>0</v>
      </c>
      <c r="X142" s="14"/>
      <c r="Y142" s="13"/>
      <c r="Z142" s="15"/>
    </row>
    <row r="143" spans="2:26" ht="14.55" x14ac:dyDescent="0.3">
      <c r="B143" s="425">
        <v>65</v>
      </c>
      <c r="C143" s="233">
        <f>IF(C$79='Besondere Leistungen GÜ-Berater'!$N$204,'Besondere Leistungen GÜ-Berater'!$L$204,0)</f>
        <v>0</v>
      </c>
      <c r="D143" s="234">
        <f>IF(D$79='Besondere Leistungen GÜ-Berater'!$N$204,'Besondere Leistungen GÜ-Berater'!$L$204,0)</f>
        <v>0</v>
      </c>
      <c r="E143" s="234">
        <f>IF(E$79='Besondere Leistungen GÜ-Berater'!$N$204,'Besondere Leistungen GÜ-Berater'!$L$204,0)</f>
        <v>0</v>
      </c>
      <c r="F143" s="234">
        <f>IF(F$79='Besondere Leistungen GÜ-Berater'!$N$204,'Besondere Leistungen GÜ-Berater'!$L$204,0)</f>
        <v>0</v>
      </c>
      <c r="G143" s="234">
        <f>IF(G$79='Besondere Leistungen GÜ-Berater'!$N$204,'Besondere Leistungen GÜ-Berater'!$L$204,0)</f>
        <v>0</v>
      </c>
      <c r="H143" s="234">
        <f>IF(H$79='Besondere Leistungen GÜ-Berater'!$N$204,'Besondere Leistungen GÜ-Berater'!$L$204,0)</f>
        <v>0</v>
      </c>
      <c r="I143" s="234">
        <f>IF(I$79='Besondere Leistungen GÜ-Berater'!$N$204,'Besondere Leistungen GÜ-Berater'!$L$204,0)</f>
        <v>0</v>
      </c>
      <c r="J143" s="234">
        <f>IF(J$79='Besondere Leistungen GÜ-Berater'!$N$204,'Besondere Leistungen GÜ-Berater'!$L$204,0)</f>
        <v>0</v>
      </c>
      <c r="K143" s="235">
        <f>IF(K$79='Besondere Leistungen GÜ-Berater'!$N$204,'Besondere Leistungen GÜ-Berater'!$L$204,0)</f>
        <v>0</v>
      </c>
      <c r="X143" s="14"/>
      <c r="Y143" s="13"/>
      <c r="Z143" s="15"/>
    </row>
    <row r="144" spans="2:26" ht="15.2" thickBot="1" x14ac:dyDescent="0.35">
      <c r="B144" s="365">
        <v>66</v>
      </c>
      <c r="C144" s="236">
        <f>IF(C$79='Besondere Leistungen GÜ-Berater'!$N$207,'Besondere Leistungen GÜ-Berater'!$L$207,0)</f>
        <v>0</v>
      </c>
      <c r="D144" s="237">
        <f>IF(D$79='Besondere Leistungen GÜ-Berater'!$N$207,'Besondere Leistungen GÜ-Berater'!$L$207,0)</f>
        <v>0</v>
      </c>
      <c r="E144" s="237">
        <f>IF(E$79='Besondere Leistungen GÜ-Berater'!$N$207,'Besondere Leistungen GÜ-Berater'!$L$207,0)</f>
        <v>0</v>
      </c>
      <c r="F144" s="237">
        <f>IF(F$79='Besondere Leistungen GÜ-Berater'!$N$207,'Besondere Leistungen GÜ-Berater'!$L$207,0)</f>
        <v>0</v>
      </c>
      <c r="G144" s="237">
        <f>IF(G$79='Besondere Leistungen GÜ-Berater'!$N$207,'Besondere Leistungen GÜ-Berater'!$L$207,0)</f>
        <v>0</v>
      </c>
      <c r="H144" s="237">
        <f>IF(H$79='Besondere Leistungen GÜ-Berater'!$N$207,'Besondere Leistungen GÜ-Berater'!$L$207,0)</f>
        <v>0</v>
      </c>
      <c r="I144" s="237">
        <f>IF(I$79='Besondere Leistungen GÜ-Berater'!$N$207,'Besondere Leistungen GÜ-Berater'!$L$207,0)</f>
        <v>0</v>
      </c>
      <c r="J144" s="237">
        <f>IF(J$79='Besondere Leistungen GÜ-Berater'!$N$207,'Besondere Leistungen GÜ-Berater'!$L$207,0)</f>
        <v>0</v>
      </c>
      <c r="K144" s="238">
        <f>IF(K$79='Besondere Leistungen GÜ-Berater'!$N$207,'Besondere Leistungen GÜ-Berater'!$L$207,0)</f>
        <v>0</v>
      </c>
      <c r="X144" s="14"/>
      <c r="Y144" s="13"/>
      <c r="Z144" s="15"/>
    </row>
    <row r="145" spans="2:26" ht="15.2" thickBot="1" x14ac:dyDescent="0.35">
      <c r="B145" s="244"/>
      <c r="C145" s="239">
        <f t="shared" ref="C145:K145" si="0">SUM(C80:C144)</f>
        <v>0</v>
      </c>
      <c r="D145" s="239">
        <f t="shared" si="0"/>
        <v>0</v>
      </c>
      <c r="E145" s="239">
        <f t="shared" si="0"/>
        <v>0</v>
      </c>
      <c r="F145" s="239">
        <f t="shared" si="0"/>
        <v>0</v>
      </c>
      <c r="G145" s="239">
        <f t="shared" si="0"/>
        <v>0</v>
      </c>
      <c r="H145" s="239">
        <f t="shared" si="0"/>
        <v>0</v>
      </c>
      <c r="I145" s="239">
        <f t="shared" si="0"/>
        <v>0</v>
      </c>
      <c r="J145" s="239">
        <f t="shared" si="0"/>
        <v>0</v>
      </c>
      <c r="K145" s="239">
        <f t="shared" si="0"/>
        <v>0</v>
      </c>
      <c r="X145" s="14"/>
      <c r="Y145" s="13"/>
      <c r="Z145" s="15"/>
    </row>
    <row r="146" spans="2:26" ht="14.55" x14ac:dyDescent="0.3">
      <c r="X146" s="14"/>
      <c r="Y146" s="13"/>
      <c r="Z146" s="15"/>
    </row>
    <row r="147" spans="2:26" ht="14.55" x14ac:dyDescent="0.3">
      <c r="X147" s="14"/>
      <c r="Y147" s="13"/>
      <c r="Z147" s="15"/>
    </row>
    <row r="148" spans="2:26" ht="14.55" x14ac:dyDescent="0.3">
      <c r="X148" s="14"/>
      <c r="Y148" s="13"/>
      <c r="Z148" s="15"/>
    </row>
    <row r="149" spans="2:26" ht="14.55" x14ac:dyDescent="0.3">
      <c r="X149" s="14"/>
      <c r="Y149" s="13"/>
      <c r="Z149" s="15"/>
    </row>
    <row r="150" spans="2:26" ht="14.55" x14ac:dyDescent="0.3">
      <c r="X150" s="14"/>
      <c r="Y150" s="13"/>
      <c r="Z150" s="15"/>
    </row>
    <row r="151" spans="2:26" ht="14.55" x14ac:dyDescent="0.3">
      <c r="X151" s="14"/>
      <c r="Y151" s="13"/>
      <c r="Z151" s="15"/>
    </row>
    <row r="152" spans="2:26" ht="14.55" x14ac:dyDescent="0.3">
      <c r="X152" s="14"/>
      <c r="Y152" s="13"/>
      <c r="Z152" s="15"/>
    </row>
    <row r="153" spans="2:26" ht="14.55" x14ac:dyDescent="0.3">
      <c r="X153" s="14"/>
      <c r="Y153" s="13"/>
      <c r="Z153" s="15"/>
    </row>
    <row r="154" spans="2:26" ht="14.55" x14ac:dyDescent="0.3">
      <c r="X154" s="14"/>
      <c r="Y154" s="13"/>
      <c r="Z154" s="15"/>
    </row>
    <row r="155" spans="2:26" ht="14.55" x14ac:dyDescent="0.3">
      <c r="X155" s="14"/>
      <c r="Y155" s="13"/>
      <c r="Z155" s="15"/>
    </row>
    <row r="156" spans="2:26" ht="14.55" x14ac:dyDescent="0.3">
      <c r="X156" s="14"/>
      <c r="Y156" s="13"/>
      <c r="Z156" s="15"/>
    </row>
    <row r="157" spans="2:26" ht="14.55" x14ac:dyDescent="0.3">
      <c r="X157" s="14"/>
      <c r="Y157" s="13"/>
      <c r="Z157" s="15"/>
    </row>
    <row r="158" spans="2:26" ht="14.55" x14ac:dyDescent="0.3">
      <c r="X158" s="14"/>
      <c r="Y158" s="13"/>
      <c r="Z158" s="15"/>
    </row>
    <row r="159" spans="2:26" ht="14.55" x14ac:dyDescent="0.3">
      <c r="X159" s="14"/>
      <c r="Y159" s="13"/>
      <c r="Z159" s="15"/>
    </row>
    <row r="160" spans="2:26" ht="14.55" x14ac:dyDescent="0.3">
      <c r="X160" s="14"/>
      <c r="Y160" s="13"/>
      <c r="Z160" s="15"/>
    </row>
    <row r="161" spans="24:26" ht="14.55" x14ac:dyDescent="0.3">
      <c r="X161" s="14"/>
      <c r="Y161" s="13"/>
      <c r="Z161" s="15"/>
    </row>
    <row r="162" spans="24:26" ht="14.55" x14ac:dyDescent="0.3">
      <c r="X162" s="14"/>
      <c r="Y162" s="13"/>
      <c r="Z162" s="15"/>
    </row>
    <row r="163" spans="24:26" ht="14.55" x14ac:dyDescent="0.3">
      <c r="X163" s="14"/>
      <c r="Y163" s="13"/>
      <c r="Z163" s="15"/>
    </row>
    <row r="164" spans="24:26" ht="14.55" x14ac:dyDescent="0.3">
      <c r="X164" s="14"/>
      <c r="Y164" s="13"/>
      <c r="Z164" s="15"/>
    </row>
    <row r="165" spans="24:26" ht="14.55" x14ac:dyDescent="0.3">
      <c r="X165" s="14"/>
      <c r="Y165" s="13"/>
      <c r="Z165" s="15"/>
    </row>
    <row r="166" spans="24:26" ht="14.55" x14ac:dyDescent="0.3">
      <c r="X166" s="14"/>
      <c r="Y166" s="13"/>
      <c r="Z166" s="15"/>
    </row>
    <row r="167" spans="24:26" ht="14.55" x14ac:dyDescent="0.3">
      <c r="X167" s="14"/>
      <c r="Y167" s="13"/>
      <c r="Z167" s="15"/>
    </row>
    <row r="168" spans="24:26" ht="14.55" x14ac:dyDescent="0.3">
      <c r="X168" s="14"/>
      <c r="Y168" s="13"/>
      <c r="Z168" s="15"/>
    </row>
    <row r="169" spans="24:26" ht="14.55" x14ac:dyDescent="0.3">
      <c r="X169" s="14"/>
      <c r="Y169" s="13"/>
      <c r="Z169" s="15"/>
    </row>
    <row r="170" spans="24:26" ht="14.55" x14ac:dyDescent="0.3">
      <c r="X170" s="14"/>
      <c r="Y170" s="13"/>
      <c r="Z170" s="15"/>
    </row>
    <row r="171" spans="24:26" ht="14.55" x14ac:dyDescent="0.3">
      <c r="X171" s="14"/>
      <c r="Y171" s="13"/>
      <c r="Z171" s="15"/>
    </row>
    <row r="172" spans="24:26" ht="14.55" x14ac:dyDescent="0.3">
      <c r="X172" s="14"/>
      <c r="Y172" s="13"/>
      <c r="Z172" s="15"/>
    </row>
    <row r="173" spans="24:26" ht="14.55" x14ac:dyDescent="0.3">
      <c r="X173" s="14"/>
      <c r="Y173" s="13"/>
      <c r="Z173" s="15"/>
    </row>
    <row r="174" spans="24:26" ht="14.55" x14ac:dyDescent="0.3">
      <c r="X174" s="14"/>
      <c r="Y174" s="13"/>
      <c r="Z174" s="15"/>
    </row>
    <row r="175" spans="24:26" ht="14.55" x14ac:dyDescent="0.3">
      <c r="X175" s="14"/>
      <c r="Y175" s="13"/>
      <c r="Z175" s="15"/>
    </row>
    <row r="176" spans="24:26" ht="14.55" x14ac:dyDescent="0.3">
      <c r="X176" s="14"/>
      <c r="Y176" s="13"/>
      <c r="Z176" s="15"/>
    </row>
    <row r="177" spans="24:26" ht="14.55" x14ac:dyDescent="0.3">
      <c r="X177" s="14"/>
      <c r="Y177" s="13"/>
      <c r="Z177" s="15"/>
    </row>
    <row r="178" spans="24:26" ht="14.55" x14ac:dyDescent="0.3">
      <c r="X178" s="14"/>
      <c r="Y178" s="13"/>
      <c r="Z178" s="15"/>
    </row>
    <row r="179" spans="24:26" ht="14.55" x14ac:dyDescent="0.3">
      <c r="X179" s="14"/>
      <c r="Y179" s="13"/>
      <c r="Z179" s="15"/>
    </row>
    <row r="180" spans="24:26" ht="14.55" x14ac:dyDescent="0.3">
      <c r="X180" s="14"/>
      <c r="Y180" s="13"/>
      <c r="Z180" s="15"/>
    </row>
    <row r="181" spans="24:26" ht="14.55" x14ac:dyDescent="0.3">
      <c r="X181" s="14"/>
      <c r="Y181" s="13"/>
      <c r="Z181" s="15"/>
    </row>
    <row r="182" spans="24:26" ht="14.55" x14ac:dyDescent="0.3">
      <c r="X182" s="14"/>
      <c r="Y182" s="13"/>
      <c r="Z182" s="15"/>
    </row>
    <row r="183" spans="24:26" ht="14.55" x14ac:dyDescent="0.3">
      <c r="X183" s="14"/>
      <c r="Y183" s="13"/>
      <c r="Z183" s="15"/>
    </row>
    <row r="184" spans="24:26" ht="14.55" x14ac:dyDescent="0.3">
      <c r="X184" s="14"/>
      <c r="Y184" s="13"/>
      <c r="Z184" s="15"/>
    </row>
    <row r="185" spans="24:26" ht="14.55" x14ac:dyDescent="0.3">
      <c r="X185" s="14"/>
      <c r="Y185" s="13"/>
      <c r="Z185" s="15"/>
    </row>
    <row r="186" spans="24:26" ht="14.55" x14ac:dyDescent="0.3">
      <c r="X186" s="14"/>
      <c r="Y186" s="13"/>
      <c r="Z186" s="15"/>
    </row>
    <row r="187" spans="24:26" ht="14.55" x14ac:dyDescent="0.3">
      <c r="X187" s="14"/>
      <c r="Y187" s="13"/>
      <c r="Z187" s="15"/>
    </row>
    <row r="188" spans="24:26" ht="14.55" x14ac:dyDescent="0.3">
      <c r="X188" s="14"/>
      <c r="Y188" s="13"/>
      <c r="Z188" s="15"/>
    </row>
    <row r="189" spans="24:26" ht="14.55" x14ac:dyDescent="0.3">
      <c r="X189" s="14"/>
      <c r="Y189" s="13"/>
      <c r="Z189" s="15"/>
    </row>
    <row r="190" spans="24:26" ht="14.55" x14ac:dyDescent="0.3">
      <c r="X190" s="14"/>
      <c r="Y190" s="13"/>
      <c r="Z190" s="15"/>
    </row>
    <row r="191" spans="24:26" ht="14.55" x14ac:dyDescent="0.3">
      <c r="X191" s="14"/>
      <c r="Y191" s="13"/>
      <c r="Z191" s="15"/>
    </row>
    <row r="192" spans="24:26" ht="14.55" x14ac:dyDescent="0.3">
      <c r="X192" s="14"/>
      <c r="Y192" s="13"/>
      <c r="Z192" s="15"/>
    </row>
    <row r="193" spans="24:26" ht="14.55" x14ac:dyDescent="0.3">
      <c r="X193" s="14"/>
      <c r="Y193" s="13"/>
      <c r="Z193" s="15"/>
    </row>
    <row r="194" spans="24:26" ht="14.55" x14ac:dyDescent="0.3">
      <c r="X194" s="14"/>
      <c r="Y194" s="13"/>
      <c r="Z194" s="15"/>
    </row>
    <row r="195" spans="24:26" ht="14.55" x14ac:dyDescent="0.3">
      <c r="X195" s="14"/>
      <c r="Y195" s="13"/>
      <c r="Z195" s="15"/>
    </row>
    <row r="196" spans="24:26" ht="14.55" x14ac:dyDescent="0.3">
      <c r="X196" s="14"/>
      <c r="Y196" s="13"/>
      <c r="Z196" s="15"/>
    </row>
    <row r="197" spans="24:26" ht="14.55" x14ac:dyDescent="0.3">
      <c r="X197" s="14"/>
      <c r="Y197" s="13"/>
      <c r="Z197" s="15"/>
    </row>
    <row r="198" spans="24:26" ht="14.55" x14ac:dyDescent="0.3">
      <c r="X198" s="14"/>
      <c r="Y198" s="13"/>
      <c r="Z198" s="15"/>
    </row>
    <row r="199" spans="24:26" ht="14.55" x14ac:dyDescent="0.3">
      <c r="X199" s="14"/>
      <c r="Y199" s="13"/>
      <c r="Z199" s="15"/>
    </row>
    <row r="200" spans="24:26" ht="14.55" x14ac:dyDescent="0.3">
      <c r="X200" s="14"/>
      <c r="Y200" s="13"/>
      <c r="Z200" s="15"/>
    </row>
    <row r="201" spans="24:26" ht="14.55" x14ac:dyDescent="0.3">
      <c r="X201" s="14"/>
      <c r="Y201" s="13"/>
      <c r="Z201" s="15"/>
    </row>
    <row r="202" spans="24:26" ht="14.55" x14ac:dyDescent="0.3">
      <c r="X202" s="14"/>
      <c r="Y202" s="13"/>
      <c r="Z202" s="15"/>
    </row>
    <row r="203" spans="24:26" ht="14.55" x14ac:dyDescent="0.3">
      <c r="X203" s="14"/>
      <c r="Y203" s="13"/>
      <c r="Z203" s="15"/>
    </row>
    <row r="204" spans="24:26" ht="14.55" x14ac:dyDescent="0.3">
      <c r="X204" s="14"/>
      <c r="Y204" s="13"/>
      <c r="Z204" s="15"/>
    </row>
    <row r="205" spans="24:26" ht="14.55" x14ac:dyDescent="0.3">
      <c r="X205" s="14"/>
      <c r="Y205" s="13"/>
      <c r="Z205" s="15"/>
    </row>
    <row r="206" spans="24:26" ht="14.55" x14ac:dyDescent="0.3">
      <c r="X206" s="14"/>
      <c r="Y206" s="13"/>
      <c r="Z206" s="15"/>
    </row>
    <row r="207" spans="24:26" ht="14.55" x14ac:dyDescent="0.3">
      <c r="X207" s="14"/>
      <c r="Y207" s="13"/>
      <c r="Z207" s="15"/>
    </row>
    <row r="208" spans="24:26" ht="14.55" x14ac:dyDescent="0.3">
      <c r="X208" s="14"/>
      <c r="Y208" s="13"/>
      <c r="Z208" s="15"/>
    </row>
    <row r="209" spans="24:26" ht="14.55" x14ac:dyDescent="0.3">
      <c r="X209" s="14"/>
      <c r="Y209" s="13"/>
      <c r="Z209" s="15"/>
    </row>
    <row r="210" spans="24:26" ht="14.55" x14ac:dyDescent="0.3">
      <c r="X210" s="14"/>
      <c r="Y210" s="13"/>
      <c r="Z210" s="15"/>
    </row>
    <row r="211" spans="24:26" ht="14.55" x14ac:dyDescent="0.3">
      <c r="X211" s="14"/>
      <c r="Y211" s="13"/>
      <c r="Z211" s="15"/>
    </row>
    <row r="212" spans="24:26" ht="14.55" x14ac:dyDescent="0.3">
      <c r="X212" s="14"/>
      <c r="Y212" s="13"/>
      <c r="Z212" s="15"/>
    </row>
    <row r="213" spans="24:26" ht="14.55" x14ac:dyDescent="0.3">
      <c r="X213" s="14"/>
      <c r="Y213" s="13"/>
      <c r="Z213" s="15"/>
    </row>
    <row r="214" spans="24:26" ht="14.55" x14ac:dyDescent="0.3">
      <c r="X214" s="14"/>
      <c r="Y214" s="13"/>
      <c r="Z214" s="15"/>
    </row>
    <row r="215" spans="24:26" ht="14.55" x14ac:dyDescent="0.3">
      <c r="X215" s="14"/>
      <c r="Y215" s="13"/>
      <c r="Z215" s="15"/>
    </row>
    <row r="216" spans="24:26" ht="14.55" x14ac:dyDescent="0.3">
      <c r="X216" s="14"/>
      <c r="Y216" s="13"/>
      <c r="Z216" s="15"/>
    </row>
    <row r="217" spans="24:26" ht="14.55" x14ac:dyDescent="0.3">
      <c r="X217" s="14"/>
      <c r="Y217" s="13"/>
      <c r="Z217" s="15"/>
    </row>
    <row r="218" spans="24:26" ht="14.55" x14ac:dyDescent="0.3">
      <c r="X218" s="14"/>
      <c r="Y218" s="13"/>
      <c r="Z218" s="15"/>
    </row>
    <row r="219" spans="24:26" ht="14.55" x14ac:dyDescent="0.3">
      <c r="X219" s="14"/>
      <c r="Y219" s="13"/>
      <c r="Z219" s="15"/>
    </row>
    <row r="220" spans="24:26" ht="14.55" x14ac:dyDescent="0.3">
      <c r="X220" s="14"/>
      <c r="Y220" s="13"/>
      <c r="Z220" s="15"/>
    </row>
    <row r="221" spans="24:26" ht="14.55" x14ac:dyDescent="0.3">
      <c r="X221" s="14"/>
      <c r="Y221" s="13"/>
      <c r="Z221" s="15"/>
    </row>
    <row r="222" spans="24:26" ht="14.55" x14ac:dyDescent="0.3">
      <c r="X222" s="14"/>
      <c r="Y222" s="13"/>
      <c r="Z222" s="15"/>
    </row>
    <row r="223" spans="24:26" ht="14.55" x14ac:dyDescent="0.3">
      <c r="X223" s="14"/>
      <c r="Y223" s="13"/>
      <c r="Z223" s="15"/>
    </row>
    <row r="224" spans="24:26" ht="14.55" x14ac:dyDescent="0.3">
      <c r="X224" s="14"/>
      <c r="Y224" s="13"/>
      <c r="Z224" s="15"/>
    </row>
    <row r="225" spans="24:26" ht="14.55" x14ac:dyDescent="0.3">
      <c r="X225" s="14"/>
      <c r="Y225" s="13"/>
      <c r="Z225" s="15"/>
    </row>
    <row r="226" spans="24:26" ht="14.55" x14ac:dyDescent="0.3">
      <c r="X226" s="14"/>
      <c r="Y226" s="13"/>
      <c r="Z226" s="15"/>
    </row>
    <row r="227" spans="24:26" ht="14.55" x14ac:dyDescent="0.3">
      <c r="X227" s="14"/>
      <c r="Y227" s="13"/>
      <c r="Z227" s="15"/>
    </row>
    <row r="228" spans="24:26" ht="14.55" x14ac:dyDescent="0.3">
      <c r="X228" s="14"/>
      <c r="Y228" s="13"/>
      <c r="Z228" s="15"/>
    </row>
    <row r="229" spans="24:26" ht="14.55" x14ac:dyDescent="0.3">
      <c r="X229" s="14"/>
      <c r="Y229" s="13"/>
      <c r="Z229" s="15"/>
    </row>
    <row r="230" spans="24:26" ht="14.55" x14ac:dyDescent="0.3">
      <c r="X230" s="14"/>
      <c r="Y230" s="13"/>
      <c r="Z230" s="15"/>
    </row>
    <row r="231" spans="24:26" ht="14.55" x14ac:dyDescent="0.3">
      <c r="X231" s="14"/>
      <c r="Y231" s="13"/>
      <c r="Z231" s="15"/>
    </row>
    <row r="232" spans="24:26" ht="14.55" x14ac:dyDescent="0.3">
      <c r="X232" s="14"/>
      <c r="Y232" s="13"/>
      <c r="Z232" s="15"/>
    </row>
    <row r="233" spans="24:26" ht="14.55" x14ac:dyDescent="0.3">
      <c r="X233" s="14"/>
      <c r="Y233" s="13"/>
      <c r="Z233" s="15"/>
    </row>
    <row r="234" spans="24:26" ht="14.55" x14ac:dyDescent="0.3">
      <c r="X234" s="14"/>
      <c r="Y234" s="13"/>
      <c r="Z234" s="15"/>
    </row>
    <row r="235" spans="24:26" ht="14.55" x14ac:dyDescent="0.3">
      <c r="X235" s="14"/>
      <c r="Y235" s="13"/>
      <c r="Z235" s="15"/>
    </row>
    <row r="236" spans="24:26" ht="14.55" x14ac:dyDescent="0.3">
      <c r="X236" s="14"/>
      <c r="Y236" s="13"/>
      <c r="Z236" s="15"/>
    </row>
    <row r="237" spans="24:26" ht="14.55" x14ac:dyDescent="0.3">
      <c r="X237" s="14"/>
      <c r="Y237" s="13"/>
      <c r="Z237" s="15"/>
    </row>
    <row r="238" spans="24:26" ht="14.55" x14ac:dyDescent="0.3">
      <c r="X238" s="14"/>
      <c r="Y238" s="13"/>
      <c r="Z238" s="15"/>
    </row>
    <row r="239" spans="24:26" ht="14.55" x14ac:dyDescent="0.3">
      <c r="X239" s="14"/>
      <c r="Y239" s="13"/>
      <c r="Z239" s="15"/>
    </row>
    <row r="240" spans="24:26" ht="14.55" x14ac:dyDescent="0.3">
      <c r="X240" s="14"/>
      <c r="Y240" s="13"/>
      <c r="Z240" s="15"/>
    </row>
    <row r="241" spans="24:26" ht="14.55" x14ac:dyDescent="0.3">
      <c r="X241" s="14"/>
      <c r="Y241" s="13"/>
      <c r="Z241" s="15"/>
    </row>
    <row r="242" spans="24:26" ht="14.55" x14ac:dyDescent="0.3">
      <c r="X242" s="14"/>
      <c r="Y242" s="13"/>
      <c r="Z242" s="15"/>
    </row>
    <row r="243" spans="24:26" ht="14.55" x14ac:dyDescent="0.3">
      <c r="X243" s="14"/>
      <c r="Y243" s="13"/>
      <c r="Z243" s="15"/>
    </row>
    <row r="244" spans="24:26" ht="14.55" x14ac:dyDescent="0.3">
      <c r="X244" s="14"/>
      <c r="Y244" s="13"/>
      <c r="Z244" s="15"/>
    </row>
    <row r="245" spans="24:26" ht="14.55" x14ac:dyDescent="0.3">
      <c r="X245" s="14"/>
      <c r="Y245" s="13"/>
      <c r="Z245" s="15"/>
    </row>
    <row r="246" spans="24:26" ht="14.55" x14ac:dyDescent="0.3">
      <c r="X246" s="14"/>
      <c r="Y246" s="13"/>
      <c r="Z246" s="15"/>
    </row>
    <row r="247" spans="24:26" ht="14.55" x14ac:dyDescent="0.3">
      <c r="X247" s="14"/>
      <c r="Y247" s="13"/>
      <c r="Z247" s="15"/>
    </row>
    <row r="248" spans="24:26" ht="14.55" x14ac:dyDescent="0.3">
      <c r="X248" s="14"/>
      <c r="Y248" s="13"/>
      <c r="Z248" s="15"/>
    </row>
    <row r="249" spans="24:26" ht="14.55" x14ac:dyDescent="0.3">
      <c r="X249" s="14"/>
      <c r="Y249" s="13"/>
      <c r="Z249" s="15"/>
    </row>
    <row r="250" spans="24:26" ht="14.55" x14ac:dyDescent="0.3">
      <c r="X250" s="14"/>
      <c r="Y250" s="13"/>
      <c r="Z250" s="15"/>
    </row>
    <row r="251" spans="24:26" ht="14.55" x14ac:dyDescent="0.3">
      <c r="X251" s="14"/>
      <c r="Y251" s="13"/>
      <c r="Z251" s="15"/>
    </row>
    <row r="252" spans="24:26" ht="14.55" x14ac:dyDescent="0.3">
      <c r="X252" s="14"/>
      <c r="Y252" s="13"/>
      <c r="Z252" s="15"/>
    </row>
    <row r="253" spans="24:26" ht="14.55" x14ac:dyDescent="0.3">
      <c r="X253" s="14"/>
      <c r="Y253" s="13"/>
      <c r="Z253" s="15"/>
    </row>
    <row r="254" spans="24:26" ht="14.55" x14ac:dyDescent="0.3">
      <c r="X254" s="14"/>
      <c r="Y254" s="13"/>
      <c r="Z254" s="15"/>
    </row>
    <row r="255" spans="24:26" ht="14.55" x14ac:dyDescent="0.3">
      <c r="X255" s="14"/>
      <c r="Y255" s="13"/>
      <c r="Z255" s="15"/>
    </row>
    <row r="256" spans="24:26" ht="14.55" x14ac:dyDescent="0.3">
      <c r="X256" s="14"/>
      <c r="Y256" s="13"/>
      <c r="Z256" s="15"/>
    </row>
    <row r="257" spans="24:26" ht="14.55" x14ac:dyDescent="0.3">
      <c r="X257" s="14"/>
      <c r="Y257" s="13"/>
      <c r="Z257" s="15"/>
    </row>
    <row r="258" spans="24:26" ht="14.55" x14ac:dyDescent="0.3">
      <c r="X258" s="14"/>
      <c r="Y258" s="13"/>
      <c r="Z258" s="15"/>
    </row>
    <row r="259" spans="24:26" ht="14.55" x14ac:dyDescent="0.3">
      <c r="X259" s="14"/>
      <c r="Y259" s="13"/>
      <c r="Z259" s="15"/>
    </row>
    <row r="260" spans="24:26" ht="14.55" x14ac:dyDescent="0.3">
      <c r="X260" s="14"/>
      <c r="Y260" s="13"/>
      <c r="Z260" s="15"/>
    </row>
    <row r="261" spans="24:26" ht="14.55" x14ac:dyDescent="0.3">
      <c r="X261" s="14"/>
      <c r="Y261" s="13"/>
      <c r="Z261" s="15"/>
    </row>
    <row r="262" spans="24:26" ht="14.55" x14ac:dyDescent="0.3">
      <c r="X262" s="14"/>
      <c r="Y262" s="13"/>
      <c r="Z262" s="15"/>
    </row>
    <row r="263" spans="24:26" ht="14.55" x14ac:dyDescent="0.3">
      <c r="X263" s="14"/>
      <c r="Y263" s="13"/>
      <c r="Z263" s="15"/>
    </row>
    <row r="264" spans="24:26" ht="14.55" x14ac:dyDescent="0.3">
      <c r="X264" s="14"/>
      <c r="Y264" s="13"/>
      <c r="Z264" s="15"/>
    </row>
    <row r="265" spans="24:26" ht="14.55" x14ac:dyDescent="0.3">
      <c r="X265" s="14"/>
      <c r="Y265" s="13"/>
      <c r="Z265" s="15"/>
    </row>
    <row r="266" spans="24:26" ht="14.55" x14ac:dyDescent="0.3">
      <c r="X266" s="14"/>
      <c r="Y266" s="13"/>
      <c r="Z266" s="15"/>
    </row>
    <row r="267" spans="24:26" ht="14.55" x14ac:dyDescent="0.3">
      <c r="X267" s="14"/>
      <c r="Y267" s="13"/>
      <c r="Z267" s="15"/>
    </row>
    <row r="268" spans="24:26" ht="14.55" x14ac:dyDescent="0.3">
      <c r="X268" s="14"/>
      <c r="Y268" s="13"/>
      <c r="Z268" s="15"/>
    </row>
    <row r="269" spans="24:26" ht="14.55" x14ac:dyDescent="0.3">
      <c r="X269" s="14"/>
      <c r="Y269" s="13"/>
      <c r="Z269" s="15"/>
    </row>
    <row r="270" spans="24:26" ht="14.55" x14ac:dyDescent="0.3">
      <c r="X270" s="14"/>
      <c r="Y270" s="13"/>
      <c r="Z270" s="15"/>
    </row>
    <row r="271" spans="24:26" ht="14.55" x14ac:dyDescent="0.3">
      <c r="X271" s="14"/>
      <c r="Y271" s="13"/>
      <c r="Z271" s="15"/>
    </row>
    <row r="272" spans="24:26" ht="14.55" x14ac:dyDescent="0.3">
      <c r="X272" s="14"/>
      <c r="Y272" s="13"/>
      <c r="Z272" s="15"/>
    </row>
    <row r="273" spans="24:26" ht="14.55" x14ac:dyDescent="0.3">
      <c r="X273" s="14"/>
      <c r="Y273" s="13"/>
      <c r="Z273" s="15"/>
    </row>
    <row r="274" spans="24:26" ht="14.55" x14ac:dyDescent="0.3">
      <c r="X274" s="14"/>
      <c r="Y274" s="13"/>
      <c r="Z274" s="15"/>
    </row>
    <row r="275" spans="24:26" ht="14.55" x14ac:dyDescent="0.3">
      <c r="X275" s="14"/>
      <c r="Y275" s="13"/>
      <c r="Z275" s="15"/>
    </row>
    <row r="276" spans="24:26" ht="14.55" x14ac:dyDescent="0.3">
      <c r="X276" s="14"/>
      <c r="Y276" s="13"/>
      <c r="Z276" s="15"/>
    </row>
    <row r="277" spans="24:26" ht="14.55" x14ac:dyDescent="0.3">
      <c r="X277" s="14"/>
      <c r="Y277" s="13"/>
      <c r="Z277" s="15"/>
    </row>
    <row r="278" spans="24:26" ht="14.55" x14ac:dyDescent="0.3">
      <c r="X278" s="14"/>
      <c r="Y278" s="13"/>
      <c r="Z278" s="15"/>
    </row>
    <row r="279" spans="24:26" ht="14.55" x14ac:dyDescent="0.3">
      <c r="X279" s="14"/>
      <c r="Y279" s="13"/>
      <c r="Z279" s="15"/>
    </row>
    <row r="280" spans="24:26" ht="14.55" x14ac:dyDescent="0.3">
      <c r="X280" s="14"/>
      <c r="Y280" s="13"/>
      <c r="Z280" s="15"/>
    </row>
    <row r="281" spans="24:26" ht="14.55" x14ac:dyDescent="0.3">
      <c r="X281" s="14"/>
      <c r="Y281" s="13"/>
      <c r="Z281" s="15"/>
    </row>
    <row r="282" spans="24:26" ht="14.55" x14ac:dyDescent="0.3">
      <c r="X282" s="14"/>
      <c r="Y282" s="13"/>
      <c r="Z282" s="15"/>
    </row>
    <row r="283" spans="24:26" ht="14.55" x14ac:dyDescent="0.3">
      <c r="X283" s="14"/>
      <c r="Y283" s="13"/>
      <c r="Z283" s="15"/>
    </row>
    <row r="284" spans="24:26" ht="14.55" x14ac:dyDescent="0.3">
      <c r="X284" s="14"/>
      <c r="Y284" s="13"/>
      <c r="Z284" s="15"/>
    </row>
    <row r="285" spans="24:26" ht="14.55" x14ac:dyDescent="0.3">
      <c r="X285" s="14"/>
      <c r="Y285" s="13"/>
      <c r="Z285" s="15"/>
    </row>
    <row r="286" spans="24:26" ht="14.55" x14ac:dyDescent="0.3">
      <c r="X286" s="14"/>
      <c r="Y286" s="13"/>
      <c r="Z286" s="15"/>
    </row>
    <row r="287" spans="24:26" ht="14.55" x14ac:dyDescent="0.3">
      <c r="X287" s="14"/>
      <c r="Y287" s="13"/>
      <c r="Z287" s="15"/>
    </row>
    <row r="288" spans="24:26" ht="14.55" x14ac:dyDescent="0.3">
      <c r="X288" s="14"/>
      <c r="Y288" s="13"/>
      <c r="Z288" s="15"/>
    </row>
    <row r="289" spans="24:26" ht="14.55" x14ac:dyDescent="0.3">
      <c r="X289" s="14"/>
      <c r="Y289" s="13"/>
      <c r="Z289" s="15"/>
    </row>
    <row r="290" spans="24:26" ht="14.55" x14ac:dyDescent="0.3">
      <c r="X290" s="14"/>
      <c r="Y290" s="13"/>
      <c r="Z290" s="15"/>
    </row>
    <row r="291" spans="24:26" ht="14.55" x14ac:dyDescent="0.3">
      <c r="X291" s="14"/>
      <c r="Y291" s="13"/>
      <c r="Z291" s="15"/>
    </row>
    <row r="292" spans="24:26" ht="14.55" x14ac:dyDescent="0.3">
      <c r="X292" s="14"/>
      <c r="Y292" s="13"/>
      <c r="Z292" s="15"/>
    </row>
    <row r="293" spans="24:26" ht="14.55" x14ac:dyDescent="0.3">
      <c r="X293" s="14"/>
      <c r="Y293" s="13"/>
      <c r="Z293" s="15"/>
    </row>
    <row r="294" spans="24:26" ht="14.55" x14ac:dyDescent="0.3">
      <c r="X294" s="14"/>
      <c r="Y294" s="13"/>
      <c r="Z294" s="15"/>
    </row>
    <row r="295" spans="24:26" ht="14.55" x14ac:dyDescent="0.3">
      <c r="X295" s="14"/>
      <c r="Y295" s="13"/>
      <c r="Z295" s="15"/>
    </row>
    <row r="296" spans="24:26" ht="14.55" x14ac:dyDescent="0.3">
      <c r="X296" s="14"/>
      <c r="Y296" s="13"/>
      <c r="Z296" s="15"/>
    </row>
    <row r="297" spans="24:26" ht="14.55" x14ac:dyDescent="0.3">
      <c r="X297" s="14"/>
      <c r="Y297" s="13"/>
      <c r="Z297" s="15"/>
    </row>
    <row r="298" spans="24:26" ht="14.55" x14ac:dyDescent="0.3">
      <c r="X298" s="14"/>
      <c r="Y298" s="13"/>
      <c r="Z298" s="15"/>
    </row>
    <row r="299" spans="24:26" ht="14.55" x14ac:dyDescent="0.3">
      <c r="X299" s="14"/>
      <c r="Y299" s="13"/>
      <c r="Z299" s="15"/>
    </row>
  </sheetData>
  <sheetProtection selectLockedCells="1"/>
  <mergeCells count="118">
    <mergeCell ref="B6:C6"/>
    <mergeCell ref="E6:F6"/>
    <mergeCell ref="H6:I6"/>
    <mergeCell ref="K6:L6"/>
    <mergeCell ref="N6:O6"/>
    <mergeCell ref="Q6:R6"/>
    <mergeCell ref="B1:C5"/>
    <mergeCell ref="E1:F5"/>
    <mergeCell ref="H1:I5"/>
    <mergeCell ref="K1:L5"/>
    <mergeCell ref="N1:O5"/>
    <mergeCell ref="Q1:R5"/>
    <mergeCell ref="B8:C8"/>
    <mergeCell ref="E8:F8"/>
    <mergeCell ref="H8:I8"/>
    <mergeCell ref="K8:L8"/>
    <mergeCell ref="N8:O8"/>
    <mergeCell ref="Q8:R8"/>
    <mergeCell ref="B7:C7"/>
    <mergeCell ref="E7:F7"/>
    <mergeCell ref="H7:I7"/>
    <mergeCell ref="K7:L7"/>
    <mergeCell ref="N7:O7"/>
    <mergeCell ref="Q7:R7"/>
    <mergeCell ref="K10:L10"/>
    <mergeCell ref="N10:O10"/>
    <mergeCell ref="Q10:R10"/>
    <mergeCell ref="B9:C9"/>
    <mergeCell ref="E9:F9"/>
    <mergeCell ref="H9:I9"/>
    <mergeCell ref="K9:L9"/>
    <mergeCell ref="N9:O9"/>
    <mergeCell ref="Q9:R9"/>
    <mergeCell ref="B11:C11"/>
    <mergeCell ref="E11:F11"/>
    <mergeCell ref="B12:C12"/>
    <mergeCell ref="E12:F12"/>
    <mergeCell ref="B13:C13"/>
    <mergeCell ref="E13:F13"/>
    <mergeCell ref="B10:C10"/>
    <mergeCell ref="E10:F10"/>
    <mergeCell ref="H10:I10"/>
    <mergeCell ref="B17:C17"/>
    <mergeCell ref="E17:F17"/>
    <mergeCell ref="B18:C18"/>
    <mergeCell ref="E18:F18"/>
    <mergeCell ref="B19:C19"/>
    <mergeCell ref="E19:F19"/>
    <mergeCell ref="B14:C14"/>
    <mergeCell ref="E14:F14"/>
    <mergeCell ref="B15:C15"/>
    <mergeCell ref="E15:F15"/>
    <mergeCell ref="B16:C16"/>
    <mergeCell ref="E16:F16"/>
    <mergeCell ref="B23:C23"/>
    <mergeCell ref="B24:C24"/>
    <mergeCell ref="B25:C25"/>
    <mergeCell ref="B26:C26"/>
    <mergeCell ref="B27:C27"/>
    <mergeCell ref="B28:C28"/>
    <mergeCell ref="B20:C20"/>
    <mergeCell ref="E20:F20"/>
    <mergeCell ref="B21:C21"/>
    <mergeCell ref="E21:F21"/>
    <mergeCell ref="B22:C22"/>
    <mergeCell ref="E22:F22"/>
    <mergeCell ref="A76:J76"/>
    <mergeCell ref="B78:K78"/>
    <mergeCell ref="B29:C29"/>
    <mergeCell ref="B30:C30"/>
    <mergeCell ref="B74:C74"/>
    <mergeCell ref="E74:F74"/>
    <mergeCell ref="H74:I74"/>
    <mergeCell ref="B36:C36"/>
    <mergeCell ref="B31:C31"/>
    <mergeCell ref="B32:C32"/>
    <mergeCell ref="B33:C33"/>
    <mergeCell ref="B34:C34"/>
    <mergeCell ref="B35:C35"/>
    <mergeCell ref="K74:L74"/>
    <mergeCell ref="B37:C37"/>
    <mergeCell ref="B38:C38"/>
    <mergeCell ref="B39:C39"/>
    <mergeCell ref="B40:C40"/>
    <mergeCell ref="B41:C41"/>
    <mergeCell ref="B42:C42"/>
    <mergeCell ref="B49:C49"/>
    <mergeCell ref="B50:C50"/>
    <mergeCell ref="B43:C43"/>
    <mergeCell ref="B44:C44"/>
    <mergeCell ref="N74:O74"/>
    <mergeCell ref="Q74:R74"/>
    <mergeCell ref="B70:C70"/>
    <mergeCell ref="B71:C71"/>
    <mergeCell ref="B72:C72"/>
    <mergeCell ref="B62:C62"/>
    <mergeCell ref="B63:C63"/>
    <mergeCell ref="B64:C64"/>
    <mergeCell ref="B65:C65"/>
    <mergeCell ref="B66:C66"/>
    <mergeCell ref="B61:C61"/>
    <mergeCell ref="B69:C69"/>
    <mergeCell ref="B67:C67"/>
    <mergeCell ref="B68:C68"/>
    <mergeCell ref="B45:C45"/>
    <mergeCell ref="B46:C46"/>
    <mergeCell ref="B47:C47"/>
    <mergeCell ref="B48:C48"/>
    <mergeCell ref="B54:C54"/>
    <mergeCell ref="B51:C51"/>
    <mergeCell ref="B52:C52"/>
    <mergeCell ref="B53:C53"/>
    <mergeCell ref="B55:C55"/>
    <mergeCell ref="B56:C56"/>
    <mergeCell ref="B57:C57"/>
    <mergeCell ref="B58:C58"/>
    <mergeCell ref="B59:C59"/>
    <mergeCell ref="B60:C60"/>
  </mergeCells>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AB59-DF2A-499C-A9E2-B221BCF5AB33}">
  <sheetPr>
    <tabColor rgb="FFFF0000"/>
  </sheetPr>
  <dimension ref="A1:AS117"/>
  <sheetViews>
    <sheetView tabSelected="1" workbookViewId="0">
      <selection activeCell="B8" sqref="B8:I9"/>
    </sheetView>
  </sheetViews>
  <sheetFormatPr baseColWidth="10" defaultColWidth="11.44140625" defaultRowHeight="13.9" x14ac:dyDescent="0.25"/>
  <cols>
    <col min="1" max="1" width="7.21875" style="38" customWidth="1"/>
    <col min="2" max="8" width="9.21875" style="39" customWidth="1"/>
    <col min="9" max="9" width="14.44140625" style="39" customWidth="1"/>
    <col min="10" max="11" width="16.5546875" style="39" customWidth="1"/>
    <col min="12" max="12" width="16.5546875" style="72" customWidth="1"/>
    <col min="13" max="14" width="9.21875" style="39" customWidth="1"/>
    <col min="15" max="15" width="15.21875" style="39" bestFit="1" customWidth="1"/>
    <col min="16" max="16" width="9.21875" style="39" customWidth="1"/>
    <col min="17" max="17" width="16.5546875" style="39" bestFit="1" customWidth="1"/>
    <col min="18" max="26" width="9.21875" style="39" customWidth="1"/>
    <col min="27" max="27" width="11" style="39" customWidth="1"/>
    <col min="28" max="29" width="8.21875" style="39" bestFit="1" customWidth="1"/>
    <col min="30" max="16384" width="11.44140625" style="39"/>
  </cols>
  <sheetData>
    <row r="1" spans="1:35" x14ac:dyDescent="0.25">
      <c r="A1" s="187" t="str">
        <f>Überblick!X118</f>
        <v/>
      </c>
      <c r="B1" s="188" t="s">
        <v>916</v>
      </c>
      <c r="L1" s="963" t="str">
        <f>'Hochbauplanung '!T1</f>
        <v>Version: 27.06.2023</v>
      </c>
      <c r="M1" s="963"/>
      <c r="N1" s="72" t="s">
        <v>99</v>
      </c>
      <c r="O1" s="72"/>
      <c r="P1" s="72">
        <v>100</v>
      </c>
      <c r="Q1" s="72">
        <v>2000</v>
      </c>
      <c r="Y1" s="72" t="s">
        <v>917</v>
      </c>
      <c r="Z1" s="72"/>
      <c r="AA1" s="72"/>
      <c r="AB1" s="72"/>
      <c r="AC1" s="72"/>
      <c r="AD1" s="72"/>
      <c r="AE1" s="72"/>
    </row>
    <row r="2" spans="1:35" x14ac:dyDescent="0.25">
      <c r="A2" s="188"/>
      <c r="J2" s="535" t="s">
        <v>110</v>
      </c>
      <c r="K2" s="1389" t="str">
        <f>IF(Überblick!I2=0,"",Überblick!I2)</f>
        <v/>
      </c>
      <c r="L2" s="1389"/>
      <c r="M2" s="1389"/>
      <c r="N2" s="72"/>
      <c r="O2" s="72"/>
      <c r="P2" s="72"/>
      <c r="Q2" s="72"/>
      <c r="Y2" s="72"/>
      <c r="Z2" s="72"/>
      <c r="AA2" s="72"/>
      <c r="AB2" s="72"/>
      <c r="AC2" s="72"/>
      <c r="AD2" s="72"/>
      <c r="AE2" s="72"/>
    </row>
    <row r="3" spans="1:35" x14ac:dyDescent="0.25">
      <c r="A3" s="186" t="s">
        <v>15</v>
      </c>
      <c r="B3" s="40" t="s">
        <v>918</v>
      </c>
      <c r="J3" s="535" t="s">
        <v>24</v>
      </c>
      <c r="K3" s="1389" t="str">
        <f>IF(Überblick!G29=0,"",Überblick!G29)</f>
        <v>Breite Strasse, 10178 Berlin-Mitte, zw. Neumannsgasse und Scharrenstrasse</v>
      </c>
      <c r="L3" s="1389"/>
      <c r="M3" s="1389"/>
      <c r="N3" s="72"/>
      <c r="O3" s="72"/>
      <c r="P3" s="72"/>
      <c r="Q3" s="72"/>
      <c r="Y3" s="72"/>
      <c r="Z3" s="72"/>
      <c r="AA3" s="72"/>
      <c r="AB3" s="72"/>
      <c r="AC3" s="72"/>
      <c r="AD3" s="72"/>
      <c r="AE3" s="72"/>
    </row>
    <row r="4" spans="1:35" ht="14.55" thickBot="1" x14ac:dyDescent="0.3">
      <c r="J4" s="535" t="s">
        <v>17</v>
      </c>
      <c r="K4" s="1389" t="str">
        <f>IF(Überblick!D19=0,"",Überblick!D19)</f>
        <v/>
      </c>
      <c r="L4" s="1389"/>
      <c r="M4" s="1389"/>
      <c r="N4" s="72" t="s">
        <v>100</v>
      </c>
      <c r="Y4" s="72" t="s">
        <v>919</v>
      </c>
    </row>
    <row r="5" spans="1:35" ht="15.95" customHeight="1" x14ac:dyDescent="0.25">
      <c r="A5" s="220"/>
      <c r="B5" s="2093" t="s">
        <v>920</v>
      </c>
      <c r="C5" s="2051"/>
      <c r="D5" s="2051"/>
      <c r="E5" s="2051"/>
      <c r="F5" s="2051"/>
      <c r="G5" s="2051"/>
      <c r="H5" s="2051"/>
      <c r="I5" s="2075" t="s">
        <v>753</v>
      </c>
      <c r="J5" s="2075" t="s">
        <v>156</v>
      </c>
      <c r="K5" s="2102" t="s">
        <v>157</v>
      </c>
      <c r="O5" s="198"/>
      <c r="P5" s="114"/>
      <c r="Q5" s="114"/>
      <c r="R5" s="114"/>
      <c r="S5" s="70"/>
      <c r="T5" s="70"/>
      <c r="U5" s="70"/>
      <c r="V5" s="73"/>
      <c r="W5" s="117"/>
      <c r="X5" s="117"/>
      <c r="Y5" s="68"/>
      <c r="Z5" s="68"/>
      <c r="AA5" s="68"/>
      <c r="AB5" s="68"/>
      <c r="AC5" s="68"/>
      <c r="AD5" s="68"/>
      <c r="AE5" s="68"/>
      <c r="AF5" s="68"/>
      <c r="AG5" s="68"/>
    </row>
    <row r="6" spans="1:35" ht="15.95" customHeight="1" x14ac:dyDescent="0.25">
      <c r="A6" s="220"/>
      <c r="B6" s="2094"/>
      <c r="C6" s="2052"/>
      <c r="D6" s="2052"/>
      <c r="E6" s="2052"/>
      <c r="F6" s="2052"/>
      <c r="G6" s="2052"/>
      <c r="H6" s="2052"/>
      <c r="I6" s="2076"/>
      <c r="J6" s="2076"/>
      <c r="K6" s="2103"/>
      <c r="O6" s="198"/>
      <c r="P6" s="114"/>
      <c r="Q6" s="114"/>
      <c r="R6" s="114"/>
      <c r="S6" s="70"/>
      <c r="T6" s="70"/>
      <c r="U6" s="70"/>
      <c r="V6" s="73"/>
      <c r="W6" s="73"/>
      <c r="X6" s="81"/>
      <c r="Y6" s="68"/>
      <c r="Z6" s="68"/>
      <c r="AA6" s="68"/>
      <c r="AB6" s="68"/>
      <c r="AC6" s="68"/>
      <c r="AD6" s="68"/>
      <c r="AE6" s="68"/>
      <c r="AF6" s="68"/>
      <c r="AG6" s="68"/>
    </row>
    <row r="7" spans="1:35" ht="15" customHeight="1" x14ac:dyDescent="0.25">
      <c r="A7" s="220"/>
      <c r="B7" s="2094"/>
      <c r="C7" s="2052"/>
      <c r="D7" s="2052"/>
      <c r="E7" s="2052"/>
      <c r="F7" s="2052"/>
      <c r="G7" s="2052"/>
      <c r="H7" s="2052"/>
      <c r="I7" s="2216"/>
      <c r="J7" s="2216"/>
      <c r="K7" s="2215"/>
      <c r="O7" s="198"/>
      <c r="P7" s="114"/>
      <c r="Q7" s="114"/>
      <c r="R7" s="114"/>
      <c r="S7" s="70"/>
      <c r="T7" s="70"/>
      <c r="U7" s="70"/>
      <c r="V7" s="73"/>
      <c r="W7" s="73"/>
      <c r="X7" s="81"/>
      <c r="Y7" s="68"/>
      <c r="Z7" s="68"/>
      <c r="AA7" s="68"/>
      <c r="AB7" s="68"/>
      <c r="AC7" s="68"/>
      <c r="AD7" s="68"/>
      <c r="AE7" s="68"/>
      <c r="AF7" s="68"/>
      <c r="AG7" s="68"/>
      <c r="AH7" s="68"/>
      <c r="AI7" s="68"/>
    </row>
    <row r="8" spans="1:35" ht="15" customHeight="1" x14ac:dyDescent="0.25">
      <c r="A8" s="220"/>
      <c r="B8" s="2024"/>
      <c r="C8" s="2025"/>
      <c r="D8" s="2025"/>
      <c r="E8" s="2025"/>
      <c r="F8" s="2025"/>
      <c r="G8" s="2025"/>
      <c r="H8" s="2025"/>
      <c r="I8" s="974"/>
      <c r="J8" s="2021" t="str">
        <f>IFERROR(IF((VLOOKUP(K8,Überblick!$M$125:$N$134,2))="ja","ja","nein"),"")</f>
        <v/>
      </c>
      <c r="K8" s="2023"/>
      <c r="L8" s="72">
        <f>IF(B8&gt;0,1,0)</f>
        <v>0</v>
      </c>
      <c r="O8" s="72"/>
      <c r="P8" s="213"/>
      <c r="T8" s="214"/>
      <c r="U8" s="214"/>
      <c r="V8" s="214"/>
      <c r="W8" s="214"/>
      <c r="X8" s="214"/>
      <c r="Y8" s="214"/>
      <c r="Z8" s="214"/>
      <c r="AA8" s="68"/>
      <c r="AB8" s="68"/>
    </row>
    <row r="9" spans="1:35" ht="15.95" customHeight="1" x14ac:dyDescent="0.25">
      <c r="A9" s="220"/>
      <c r="B9" s="2024"/>
      <c r="C9" s="2025"/>
      <c r="D9" s="2025"/>
      <c r="E9" s="2025"/>
      <c r="F9" s="2025"/>
      <c r="G9" s="2025"/>
      <c r="H9" s="2025"/>
      <c r="I9" s="1619"/>
      <c r="J9" s="2033"/>
      <c r="K9" s="2036"/>
      <c r="O9" s="72"/>
      <c r="T9" s="214"/>
      <c r="U9" s="214"/>
      <c r="V9" s="214"/>
      <c r="W9" s="214"/>
      <c r="X9" s="214"/>
      <c r="Y9" s="214"/>
      <c r="Z9" s="214"/>
      <c r="AA9" s="68"/>
      <c r="AB9" s="68"/>
    </row>
    <row r="10" spans="1:35" ht="14.25" customHeight="1" x14ac:dyDescent="0.25">
      <c r="A10" s="220"/>
      <c r="B10" s="2024"/>
      <c r="C10" s="2025"/>
      <c r="D10" s="2025"/>
      <c r="E10" s="2025"/>
      <c r="F10" s="2025"/>
      <c r="G10" s="2025"/>
      <c r="H10" s="2025"/>
      <c r="I10" s="974"/>
      <c r="J10" s="2021" t="str">
        <f>IFERROR(IF((VLOOKUP(K10,Überblick!$M$125:$N$134,2))="ja","ja","nein"),"")</f>
        <v/>
      </c>
      <c r="K10" s="2023"/>
      <c r="L10" s="72">
        <f>IF(B10&gt;0,1,0)</f>
        <v>0</v>
      </c>
      <c r="O10" s="72"/>
      <c r="P10" s="213"/>
      <c r="T10" s="214"/>
      <c r="U10" s="214"/>
      <c r="V10" s="214"/>
      <c r="W10" s="214"/>
      <c r="X10" s="214"/>
      <c r="Y10" s="214"/>
      <c r="Z10" s="214"/>
      <c r="AA10" s="74"/>
      <c r="AB10" s="68"/>
    </row>
    <row r="11" spans="1:35" ht="15" customHeight="1" x14ac:dyDescent="0.25">
      <c r="A11" s="220"/>
      <c r="B11" s="2024"/>
      <c r="C11" s="2025"/>
      <c r="D11" s="2025"/>
      <c r="E11" s="2025"/>
      <c r="F11" s="2025"/>
      <c r="G11" s="2025"/>
      <c r="H11" s="2025"/>
      <c r="I11" s="1619"/>
      <c r="J11" s="2033"/>
      <c r="K11" s="2036"/>
      <c r="O11" s="72"/>
      <c r="T11" s="214"/>
      <c r="U11" s="214"/>
      <c r="V11" s="214"/>
      <c r="W11" s="214"/>
      <c r="X11" s="214"/>
      <c r="Y11" s="214"/>
      <c r="Z11" s="214"/>
      <c r="AA11" s="74"/>
      <c r="AB11" s="68"/>
    </row>
    <row r="12" spans="1:35" ht="13.6" customHeight="1" x14ac:dyDescent="0.25">
      <c r="A12" s="220"/>
      <c r="B12" s="2024"/>
      <c r="C12" s="2025"/>
      <c r="D12" s="2025"/>
      <c r="E12" s="2025"/>
      <c r="F12" s="2025"/>
      <c r="G12" s="2025"/>
      <c r="H12" s="2025"/>
      <c r="I12" s="974"/>
      <c r="J12" s="2021" t="str">
        <f>IFERROR(IF((VLOOKUP(K12,Überblick!$M$125:$N$134,2))="ja","ja","nein"),"")</f>
        <v/>
      </c>
      <c r="K12" s="2023"/>
      <c r="L12" s="72">
        <f>IF(B12&gt;0,1,0)</f>
        <v>0</v>
      </c>
      <c r="O12" s="72"/>
      <c r="P12" s="213"/>
      <c r="T12" s="214"/>
      <c r="U12" s="214"/>
      <c r="V12" s="214"/>
      <c r="W12" s="214"/>
      <c r="X12" s="214"/>
      <c r="Y12" s="214"/>
      <c r="Z12" s="214"/>
      <c r="AA12" s="74"/>
      <c r="AB12" s="68"/>
    </row>
    <row r="13" spans="1:35" ht="13.6" customHeight="1" x14ac:dyDescent="0.25">
      <c r="A13" s="220"/>
      <c r="B13" s="2024"/>
      <c r="C13" s="2025"/>
      <c r="D13" s="2025"/>
      <c r="E13" s="2025"/>
      <c r="F13" s="2025"/>
      <c r="G13" s="2025"/>
      <c r="H13" s="2025"/>
      <c r="I13" s="1619"/>
      <c r="J13" s="2033"/>
      <c r="K13" s="2036"/>
      <c r="O13" s="72"/>
      <c r="T13" s="214"/>
      <c r="U13" s="214"/>
      <c r="V13" s="214"/>
      <c r="W13" s="214"/>
      <c r="X13" s="214"/>
      <c r="Y13" s="214"/>
      <c r="Z13" s="214"/>
      <c r="AA13" s="74"/>
      <c r="AB13" s="68"/>
    </row>
    <row r="14" spans="1:35" ht="15.95" customHeight="1" x14ac:dyDescent="0.25">
      <c r="A14" s="220"/>
      <c r="B14" s="2024"/>
      <c r="C14" s="2025"/>
      <c r="D14" s="2025"/>
      <c r="E14" s="2025"/>
      <c r="F14" s="2025"/>
      <c r="G14" s="2025"/>
      <c r="H14" s="2025"/>
      <c r="I14" s="974"/>
      <c r="J14" s="2021" t="str">
        <f>IFERROR(IF((VLOOKUP(K14,Überblick!$M$125:$N$134,2))="ja","ja","nein"),"")</f>
        <v/>
      </c>
      <c r="K14" s="2023"/>
      <c r="L14" s="72">
        <f>IF(B14&gt;0,1,0)</f>
        <v>0</v>
      </c>
      <c r="O14" s="72"/>
      <c r="P14" s="213"/>
      <c r="T14" s="214"/>
      <c r="U14" s="214"/>
      <c r="V14" s="214"/>
      <c r="W14" s="214"/>
      <c r="X14" s="214"/>
      <c r="Y14" s="214"/>
      <c r="Z14" s="214"/>
      <c r="AA14" s="74"/>
      <c r="AB14" s="68"/>
    </row>
    <row r="15" spans="1:35" ht="15.95" customHeight="1" x14ac:dyDescent="0.25">
      <c r="A15" s="220"/>
      <c r="B15" s="2024"/>
      <c r="C15" s="2025"/>
      <c r="D15" s="2025"/>
      <c r="E15" s="2025"/>
      <c r="F15" s="2025"/>
      <c r="G15" s="2025"/>
      <c r="H15" s="2025"/>
      <c r="I15" s="1619"/>
      <c r="J15" s="2033"/>
      <c r="K15" s="2036"/>
      <c r="O15" s="72"/>
      <c r="T15" s="214"/>
      <c r="U15" s="214"/>
      <c r="V15" s="214"/>
      <c r="W15" s="214"/>
      <c r="X15" s="214"/>
      <c r="Y15" s="214"/>
      <c r="Z15" s="214"/>
      <c r="AA15" s="74"/>
      <c r="AB15" s="68"/>
    </row>
    <row r="16" spans="1:35" ht="14.25" customHeight="1" x14ac:dyDescent="0.25">
      <c r="A16" s="220"/>
      <c r="B16" s="2024"/>
      <c r="C16" s="2025"/>
      <c r="D16" s="2025"/>
      <c r="E16" s="2025"/>
      <c r="F16" s="2025"/>
      <c r="G16" s="2025"/>
      <c r="H16" s="2025"/>
      <c r="I16" s="974"/>
      <c r="J16" s="2021" t="str">
        <f>IFERROR(IF((VLOOKUP(K16,Überblick!$M$125:$N$134,2))="ja","ja","nein"),"")</f>
        <v/>
      </c>
      <c r="K16" s="2023"/>
      <c r="L16" s="72">
        <f>IF(B16&gt;0,1,0)</f>
        <v>0</v>
      </c>
      <c r="O16" s="72"/>
      <c r="P16" s="213"/>
      <c r="T16" s="214"/>
      <c r="U16" s="214"/>
      <c r="V16" s="214"/>
      <c r="W16" s="214"/>
      <c r="X16" s="214"/>
      <c r="Y16" s="214"/>
      <c r="Z16" s="214"/>
      <c r="AA16" s="75"/>
      <c r="AB16" s="191"/>
    </row>
    <row r="17" spans="1:28" ht="14.25" customHeight="1" x14ac:dyDescent="0.25">
      <c r="A17" s="220"/>
      <c r="B17" s="2024"/>
      <c r="C17" s="2025"/>
      <c r="D17" s="2025"/>
      <c r="E17" s="2025"/>
      <c r="F17" s="2025"/>
      <c r="G17" s="2025"/>
      <c r="H17" s="2025"/>
      <c r="I17" s="1619"/>
      <c r="J17" s="2033"/>
      <c r="K17" s="2036"/>
      <c r="O17" s="72"/>
      <c r="T17" s="214"/>
      <c r="U17" s="214"/>
      <c r="V17" s="214"/>
      <c r="W17" s="214"/>
      <c r="X17" s="214"/>
      <c r="Y17" s="214"/>
      <c r="Z17" s="214"/>
      <c r="AA17" s="74"/>
      <c r="AB17" s="68"/>
    </row>
    <row r="18" spans="1:28" ht="14.25" customHeight="1" x14ac:dyDescent="0.25">
      <c r="A18" s="220"/>
      <c r="B18" s="2024"/>
      <c r="C18" s="2025"/>
      <c r="D18" s="2025"/>
      <c r="E18" s="2025"/>
      <c r="F18" s="2025"/>
      <c r="G18" s="2025"/>
      <c r="H18" s="2025"/>
      <c r="I18" s="974"/>
      <c r="J18" s="2021" t="str">
        <f>IFERROR(IF((VLOOKUP(K18,Überblick!$M$125:$N$134,2))="ja","ja","nein"),"")</f>
        <v/>
      </c>
      <c r="K18" s="2023"/>
      <c r="L18" s="72">
        <f>IF(B18&gt;0,1,0)</f>
        <v>0</v>
      </c>
      <c r="O18" s="72"/>
      <c r="P18" s="349"/>
      <c r="T18" s="214"/>
      <c r="U18" s="214"/>
      <c r="V18" s="214"/>
      <c r="W18" s="214"/>
      <c r="X18" s="214"/>
      <c r="Y18" s="214"/>
      <c r="Z18" s="214"/>
      <c r="AA18" s="74"/>
      <c r="AB18" s="68"/>
    </row>
    <row r="19" spans="1:28" ht="14.25" customHeight="1" x14ac:dyDescent="0.25">
      <c r="A19" s="220"/>
      <c r="B19" s="2024"/>
      <c r="C19" s="2025"/>
      <c r="D19" s="2025"/>
      <c r="E19" s="2025"/>
      <c r="F19" s="2025"/>
      <c r="G19" s="2025"/>
      <c r="H19" s="2025"/>
      <c r="I19" s="1619"/>
      <c r="J19" s="2033"/>
      <c r="K19" s="2036"/>
      <c r="O19" s="72"/>
      <c r="T19" s="214"/>
      <c r="U19" s="214"/>
      <c r="V19" s="214"/>
      <c r="W19" s="214"/>
      <c r="X19" s="214"/>
      <c r="Y19" s="214"/>
      <c r="Z19" s="214"/>
      <c r="AA19" s="74"/>
      <c r="AB19" s="68"/>
    </row>
    <row r="20" spans="1:28" ht="14.25" customHeight="1" x14ac:dyDescent="0.25">
      <c r="A20" s="220"/>
      <c r="B20" s="2024"/>
      <c r="C20" s="2025"/>
      <c r="D20" s="2025"/>
      <c r="E20" s="2025"/>
      <c r="F20" s="2025"/>
      <c r="G20" s="2025"/>
      <c r="H20" s="2025"/>
      <c r="I20" s="974"/>
      <c r="J20" s="2021" t="str">
        <f>IFERROR(IF((VLOOKUP(K20,Überblick!$M$125:$N$134,2))="ja","ja","nein"),"")</f>
        <v/>
      </c>
      <c r="K20" s="2023"/>
      <c r="L20" s="72">
        <f>IF(B20&gt;0,1,0)</f>
        <v>0</v>
      </c>
      <c r="O20" s="72"/>
      <c r="P20" s="349"/>
      <c r="T20" s="214"/>
      <c r="U20" s="214"/>
      <c r="V20" s="214"/>
      <c r="W20" s="214"/>
      <c r="X20" s="214"/>
      <c r="Y20" s="214"/>
      <c r="Z20" s="214"/>
      <c r="AA20" s="74"/>
      <c r="AB20" s="68"/>
    </row>
    <row r="21" spans="1:28" ht="14.25" customHeight="1" x14ac:dyDescent="0.25">
      <c r="A21" s="220"/>
      <c r="B21" s="2024"/>
      <c r="C21" s="2025"/>
      <c r="D21" s="2025"/>
      <c r="E21" s="2025"/>
      <c r="F21" s="2025"/>
      <c r="G21" s="2025"/>
      <c r="H21" s="2025"/>
      <c r="I21" s="1619"/>
      <c r="J21" s="2033"/>
      <c r="K21" s="2036"/>
      <c r="O21" s="72"/>
      <c r="T21" s="214"/>
      <c r="U21" s="214"/>
      <c r="V21" s="214"/>
      <c r="W21" s="214"/>
      <c r="X21" s="214"/>
      <c r="Y21" s="214"/>
      <c r="Z21" s="214"/>
      <c r="AA21" s="74"/>
      <c r="AB21" s="68"/>
    </row>
    <row r="22" spans="1:28" ht="14.25" customHeight="1" x14ac:dyDescent="0.25">
      <c r="A22" s="220"/>
      <c r="B22" s="2024"/>
      <c r="C22" s="2025"/>
      <c r="D22" s="2025"/>
      <c r="E22" s="2025"/>
      <c r="F22" s="2025"/>
      <c r="G22" s="2025"/>
      <c r="H22" s="2025"/>
      <c r="I22" s="974"/>
      <c r="J22" s="2021" t="str">
        <f>IFERROR(IF((VLOOKUP(K22,Überblick!$M$125:$N$134,2))="ja","ja","nein"),"")</f>
        <v/>
      </c>
      <c r="K22" s="2023"/>
      <c r="L22" s="72">
        <f>IF(B22&gt;0,1,0)</f>
        <v>0</v>
      </c>
      <c r="O22" s="72"/>
      <c r="P22" s="349"/>
      <c r="T22" s="214"/>
      <c r="U22" s="214"/>
      <c r="V22" s="214"/>
      <c r="W22" s="214"/>
      <c r="X22" s="214"/>
      <c r="Y22" s="214"/>
      <c r="Z22" s="214"/>
      <c r="AA22" s="74"/>
      <c r="AB22" s="68"/>
    </row>
    <row r="23" spans="1:28" ht="14.25" customHeight="1" x14ac:dyDescent="0.25">
      <c r="A23" s="220"/>
      <c r="B23" s="2024"/>
      <c r="C23" s="2025"/>
      <c r="D23" s="2025"/>
      <c r="E23" s="2025"/>
      <c r="F23" s="2025"/>
      <c r="G23" s="2025"/>
      <c r="H23" s="2025"/>
      <c r="I23" s="1619"/>
      <c r="J23" s="2033"/>
      <c r="K23" s="2036"/>
      <c r="O23" s="72"/>
      <c r="T23" s="214"/>
      <c r="U23" s="214"/>
      <c r="V23" s="214"/>
      <c r="W23" s="214"/>
      <c r="X23" s="214"/>
      <c r="Y23" s="214"/>
      <c r="Z23" s="214"/>
      <c r="AA23" s="74"/>
      <c r="AB23" s="68"/>
    </row>
    <row r="24" spans="1:28" ht="14.25" customHeight="1" x14ac:dyDescent="0.25">
      <c r="A24" s="220"/>
      <c r="B24" s="2024"/>
      <c r="C24" s="2025"/>
      <c r="D24" s="2025"/>
      <c r="E24" s="2025"/>
      <c r="F24" s="2025"/>
      <c r="G24" s="2025"/>
      <c r="H24" s="2025"/>
      <c r="I24" s="974"/>
      <c r="J24" s="2021" t="str">
        <f>IFERROR(IF((VLOOKUP(K24,Überblick!$M$125:$N$134,2))="ja","ja","nein"),"")</f>
        <v/>
      </c>
      <c r="K24" s="2023"/>
      <c r="L24" s="72">
        <f>IF(B24&gt;0,1,0)</f>
        <v>0</v>
      </c>
      <c r="O24" s="72"/>
      <c r="P24" s="349"/>
      <c r="T24" s="214"/>
      <c r="U24" s="214"/>
      <c r="V24" s="214"/>
      <c r="W24" s="214"/>
      <c r="X24" s="214"/>
      <c r="Y24" s="214"/>
      <c r="Z24" s="214"/>
      <c r="AA24" s="74"/>
      <c r="AB24" s="68"/>
    </row>
    <row r="25" spans="1:28" ht="14.25" customHeight="1" x14ac:dyDescent="0.25">
      <c r="A25" s="220"/>
      <c r="B25" s="2024"/>
      <c r="C25" s="2025"/>
      <c r="D25" s="2025"/>
      <c r="E25" s="2025"/>
      <c r="F25" s="2025"/>
      <c r="G25" s="2025"/>
      <c r="H25" s="2025"/>
      <c r="I25" s="1619"/>
      <c r="J25" s="2033"/>
      <c r="K25" s="2036"/>
      <c r="O25" s="72"/>
      <c r="T25" s="214"/>
      <c r="U25" s="214"/>
      <c r="V25" s="214"/>
      <c r="W25" s="214"/>
      <c r="X25" s="214"/>
      <c r="Y25" s="214"/>
      <c r="Z25" s="214"/>
      <c r="AA25" s="74"/>
      <c r="AB25" s="68"/>
    </row>
    <row r="26" spans="1:28" ht="14.25" customHeight="1" x14ac:dyDescent="0.25">
      <c r="A26" s="220"/>
      <c r="B26" s="2024"/>
      <c r="C26" s="2025"/>
      <c r="D26" s="2025"/>
      <c r="E26" s="2025"/>
      <c r="F26" s="2025"/>
      <c r="G26" s="2025"/>
      <c r="H26" s="2025"/>
      <c r="I26" s="974"/>
      <c r="J26" s="2021" t="str">
        <f>IFERROR(IF((VLOOKUP(K26,Überblick!$M$125:$N$134,2))="ja","ja","nein"),"")</f>
        <v/>
      </c>
      <c r="K26" s="2023"/>
      <c r="L26" s="72">
        <f>IF(B26&gt;0,1,0)</f>
        <v>0</v>
      </c>
      <c r="O26" s="72"/>
      <c r="P26" s="349"/>
      <c r="T26" s="214"/>
      <c r="U26" s="214"/>
      <c r="V26" s="214"/>
      <c r="W26" s="214"/>
      <c r="X26" s="214"/>
      <c r="Y26" s="214"/>
      <c r="Z26" s="214"/>
      <c r="AA26" s="74"/>
      <c r="AB26" s="68"/>
    </row>
    <row r="27" spans="1:28" ht="14.25" customHeight="1" x14ac:dyDescent="0.25">
      <c r="A27" s="220"/>
      <c r="B27" s="2024"/>
      <c r="C27" s="2025"/>
      <c r="D27" s="2025"/>
      <c r="E27" s="2025"/>
      <c r="F27" s="2025"/>
      <c r="G27" s="2025"/>
      <c r="H27" s="2025"/>
      <c r="I27" s="1619"/>
      <c r="J27" s="2033"/>
      <c r="K27" s="2036"/>
      <c r="O27" s="72"/>
      <c r="T27" s="214"/>
      <c r="U27" s="214"/>
      <c r="V27" s="214"/>
      <c r="W27" s="214"/>
      <c r="X27" s="214"/>
      <c r="Y27" s="214"/>
      <c r="Z27" s="214"/>
      <c r="AA27" s="74"/>
      <c r="AB27" s="68"/>
    </row>
    <row r="28" spans="1:28" ht="14.25" customHeight="1" x14ac:dyDescent="0.25">
      <c r="A28" s="220"/>
      <c r="B28" s="2024"/>
      <c r="C28" s="2025"/>
      <c r="D28" s="2025"/>
      <c r="E28" s="2025"/>
      <c r="F28" s="2025"/>
      <c r="G28" s="2025"/>
      <c r="H28" s="2025"/>
      <c r="I28" s="974"/>
      <c r="J28" s="2021" t="str">
        <f>IFERROR(IF((VLOOKUP(K28,Überblick!$M$125:$N$134,2))="ja","ja","nein"),"")</f>
        <v/>
      </c>
      <c r="K28" s="2023"/>
      <c r="L28" s="72">
        <f>IF(B28&gt;0,1,0)</f>
        <v>0</v>
      </c>
      <c r="O28" s="72"/>
      <c r="P28" s="349"/>
      <c r="T28" s="214"/>
      <c r="U28" s="214"/>
      <c r="V28" s="214"/>
      <c r="W28" s="214"/>
      <c r="X28" s="214"/>
      <c r="Y28" s="214"/>
      <c r="Z28" s="214"/>
      <c r="AA28" s="74"/>
      <c r="AB28" s="68"/>
    </row>
    <row r="29" spans="1:28" ht="14.25" customHeight="1" x14ac:dyDescent="0.25">
      <c r="A29" s="220"/>
      <c r="B29" s="2024"/>
      <c r="C29" s="2025"/>
      <c r="D29" s="2025"/>
      <c r="E29" s="2025"/>
      <c r="F29" s="2025"/>
      <c r="G29" s="2025"/>
      <c r="H29" s="2025"/>
      <c r="I29" s="1619"/>
      <c r="J29" s="2033"/>
      <c r="K29" s="2036"/>
      <c r="O29" s="72"/>
      <c r="T29" s="214"/>
      <c r="U29" s="214"/>
      <c r="V29" s="214"/>
      <c r="W29" s="214"/>
      <c r="X29" s="214"/>
      <c r="Y29" s="214"/>
      <c r="Z29" s="214"/>
      <c r="AA29" s="74"/>
      <c r="AB29" s="68"/>
    </row>
    <row r="30" spans="1:28" ht="14.25" customHeight="1" x14ac:dyDescent="0.25">
      <c r="A30" s="220"/>
      <c r="B30" s="2024"/>
      <c r="C30" s="2025"/>
      <c r="D30" s="2025"/>
      <c r="E30" s="2025"/>
      <c r="F30" s="2025"/>
      <c r="G30" s="2025"/>
      <c r="H30" s="2025"/>
      <c r="I30" s="974"/>
      <c r="J30" s="2021" t="str">
        <f>IFERROR(IF((VLOOKUP(K30,Überblick!$M$125:$N$134,2))="ja","ja","nein"),"")</f>
        <v/>
      </c>
      <c r="K30" s="2023"/>
      <c r="L30" s="72">
        <f>IF(B30&gt;0,1,0)</f>
        <v>0</v>
      </c>
      <c r="O30" s="72"/>
      <c r="P30" s="349"/>
      <c r="T30" s="214"/>
      <c r="U30" s="214"/>
      <c r="V30" s="214"/>
      <c r="W30" s="214"/>
      <c r="X30" s="214"/>
      <c r="Y30" s="214"/>
      <c r="Z30" s="214"/>
      <c r="AA30" s="74"/>
      <c r="AB30" s="68"/>
    </row>
    <row r="31" spans="1:28" ht="14.25" customHeight="1" x14ac:dyDescent="0.25">
      <c r="A31" s="220"/>
      <c r="B31" s="2024"/>
      <c r="C31" s="2025"/>
      <c r="D31" s="2025"/>
      <c r="E31" s="2025"/>
      <c r="F31" s="2025"/>
      <c r="G31" s="2025"/>
      <c r="H31" s="2025"/>
      <c r="I31" s="1619"/>
      <c r="J31" s="2033"/>
      <c r="K31" s="2036"/>
      <c r="O31" s="72"/>
      <c r="T31" s="214"/>
      <c r="U31" s="214"/>
      <c r="V31" s="214"/>
      <c r="W31" s="214"/>
      <c r="X31" s="214"/>
      <c r="Y31" s="214"/>
      <c r="Z31" s="214"/>
      <c r="AA31" s="74"/>
      <c r="AB31" s="68"/>
    </row>
    <row r="32" spans="1:28" ht="14.25" customHeight="1" x14ac:dyDescent="0.25">
      <c r="A32" s="220"/>
      <c r="B32" s="2024"/>
      <c r="C32" s="2025"/>
      <c r="D32" s="2025"/>
      <c r="E32" s="2025"/>
      <c r="F32" s="2025"/>
      <c r="G32" s="2025"/>
      <c r="H32" s="2025"/>
      <c r="I32" s="974"/>
      <c r="J32" s="2021" t="str">
        <f>IFERROR(IF((VLOOKUP(K32,Überblick!$M$125:$N$134,2))="ja","ja","nein"),"")</f>
        <v/>
      </c>
      <c r="K32" s="2023"/>
      <c r="L32" s="72">
        <f>IF(B32&gt;0,1,0)</f>
        <v>0</v>
      </c>
      <c r="O32" s="72"/>
      <c r="P32" s="349"/>
      <c r="T32" s="214"/>
      <c r="U32" s="214"/>
      <c r="V32" s="214"/>
      <c r="W32" s="214"/>
      <c r="X32" s="214"/>
      <c r="Y32" s="214"/>
      <c r="Z32" s="214"/>
      <c r="AA32" s="150"/>
      <c r="AB32" s="193"/>
    </row>
    <row r="33" spans="1:45" ht="14.25" customHeight="1" x14ac:dyDescent="0.25">
      <c r="A33" s="220"/>
      <c r="B33" s="2024"/>
      <c r="C33" s="2025"/>
      <c r="D33" s="2025"/>
      <c r="E33" s="2025"/>
      <c r="F33" s="2025"/>
      <c r="G33" s="2025"/>
      <c r="H33" s="2025"/>
      <c r="I33" s="1619"/>
      <c r="J33" s="2033"/>
      <c r="K33" s="2036"/>
      <c r="O33" s="72"/>
      <c r="T33" s="214"/>
      <c r="U33" s="214"/>
      <c r="V33" s="214"/>
      <c r="W33" s="214"/>
      <c r="X33" s="214"/>
      <c r="Y33" s="214"/>
      <c r="Z33" s="214"/>
      <c r="AA33" s="74"/>
      <c r="AB33" s="68"/>
      <c r="AN33" s="68"/>
      <c r="AO33" s="68"/>
      <c r="AP33" s="68"/>
      <c r="AQ33" s="68"/>
      <c r="AR33" s="68"/>
      <c r="AS33" s="68"/>
    </row>
    <row r="34" spans="1:45" ht="15" customHeight="1" x14ac:dyDescent="0.25">
      <c r="A34" s="220"/>
      <c r="B34" s="2024"/>
      <c r="C34" s="2025"/>
      <c r="D34" s="2025"/>
      <c r="E34" s="2025"/>
      <c r="F34" s="2025"/>
      <c r="G34" s="2025"/>
      <c r="H34" s="2025"/>
      <c r="I34" s="974"/>
      <c r="J34" s="2021" t="str">
        <f>IFERROR(IF((VLOOKUP(K34,Überblick!$M$125:$N$134,2))="ja","ja","nein"),"")</f>
        <v/>
      </c>
      <c r="K34" s="2023"/>
      <c r="L34" s="72">
        <f>IF(B34&gt;0,1,0)</f>
        <v>0</v>
      </c>
      <c r="O34" s="72"/>
      <c r="P34" s="349"/>
      <c r="T34" s="214"/>
      <c r="U34" s="214"/>
      <c r="V34" s="214"/>
      <c r="W34" s="214"/>
      <c r="X34" s="214"/>
      <c r="Y34" s="214"/>
      <c r="Z34" s="214"/>
      <c r="AA34" s="74"/>
      <c r="AB34" s="68"/>
      <c r="AN34" s="68"/>
      <c r="AO34" s="68"/>
      <c r="AP34" s="68"/>
      <c r="AQ34" s="68"/>
      <c r="AR34" s="68"/>
      <c r="AS34" s="68"/>
    </row>
    <row r="35" spans="1:45" ht="14.25" customHeight="1" x14ac:dyDescent="0.25">
      <c r="A35" s="220"/>
      <c r="B35" s="2024"/>
      <c r="C35" s="2025"/>
      <c r="D35" s="2025"/>
      <c r="E35" s="2025"/>
      <c r="F35" s="2025"/>
      <c r="G35" s="2025"/>
      <c r="H35" s="2025"/>
      <c r="I35" s="1619"/>
      <c r="J35" s="2033"/>
      <c r="K35" s="2036"/>
      <c r="O35" s="72"/>
      <c r="T35" s="214"/>
      <c r="U35" s="214"/>
      <c r="V35" s="214"/>
      <c r="W35" s="214"/>
      <c r="X35" s="214"/>
      <c r="Y35" s="214"/>
      <c r="Z35" s="214"/>
      <c r="AA35" s="74"/>
      <c r="AB35" s="68"/>
      <c r="AN35" s="68"/>
      <c r="AO35" s="68"/>
      <c r="AP35" s="68"/>
      <c r="AQ35" s="68"/>
      <c r="AR35" s="68"/>
      <c r="AS35" s="68"/>
    </row>
    <row r="36" spans="1:45" ht="14.25" customHeight="1" x14ac:dyDescent="0.25">
      <c r="A36" s="220"/>
      <c r="B36" s="2024"/>
      <c r="C36" s="2025"/>
      <c r="D36" s="2025"/>
      <c r="E36" s="2025"/>
      <c r="F36" s="2025"/>
      <c r="G36" s="2025"/>
      <c r="H36" s="2025"/>
      <c r="I36" s="974"/>
      <c r="J36" s="2021" t="str">
        <f>IFERROR(IF((VLOOKUP(K36,Überblick!$M$125:$N$134,2))="ja","ja","nein"),"")</f>
        <v/>
      </c>
      <c r="K36" s="2023"/>
      <c r="L36" s="72">
        <f>IF(B36&gt;0,1,0)</f>
        <v>0</v>
      </c>
      <c r="O36" s="72"/>
      <c r="T36" s="214"/>
      <c r="U36" s="214"/>
      <c r="V36" s="214"/>
      <c r="W36" s="214"/>
      <c r="X36" s="214"/>
      <c r="Y36" s="214"/>
      <c r="Z36" s="214"/>
      <c r="AA36" s="74"/>
      <c r="AB36" s="68"/>
      <c r="AN36" s="68"/>
      <c r="AO36" s="68"/>
      <c r="AP36" s="68"/>
      <c r="AQ36" s="68"/>
      <c r="AR36" s="68"/>
      <c r="AS36" s="68"/>
    </row>
    <row r="37" spans="1:45" ht="14.25" customHeight="1" x14ac:dyDescent="0.25">
      <c r="A37" s="220"/>
      <c r="B37" s="2024"/>
      <c r="C37" s="2025"/>
      <c r="D37" s="2025"/>
      <c r="E37" s="2025"/>
      <c r="F37" s="2025"/>
      <c r="G37" s="2025"/>
      <c r="H37" s="2025"/>
      <c r="I37" s="1619"/>
      <c r="J37" s="2033"/>
      <c r="K37" s="2036"/>
      <c r="O37" s="72"/>
      <c r="T37" s="214"/>
      <c r="U37" s="214"/>
      <c r="V37" s="214"/>
      <c r="W37" s="214"/>
      <c r="X37" s="214"/>
      <c r="Y37" s="214"/>
      <c r="Z37" s="214"/>
      <c r="AA37" s="74"/>
      <c r="AB37" s="68"/>
      <c r="AN37" s="68"/>
      <c r="AO37" s="68"/>
      <c r="AP37" s="68"/>
      <c r="AQ37" s="68"/>
      <c r="AR37" s="68"/>
      <c r="AS37" s="68"/>
    </row>
    <row r="38" spans="1:45" ht="14.25" customHeight="1" x14ac:dyDescent="0.25">
      <c r="A38" s="220"/>
      <c r="B38" s="2024"/>
      <c r="C38" s="2025"/>
      <c r="D38" s="2025"/>
      <c r="E38" s="2025"/>
      <c r="F38" s="2025"/>
      <c r="G38" s="2025"/>
      <c r="H38" s="2025"/>
      <c r="I38" s="974"/>
      <c r="J38" s="2021" t="str">
        <f>IFERROR(IF((VLOOKUP(K38,Überblick!$M$125:$N$134,2))="ja","ja","nein"),"")</f>
        <v/>
      </c>
      <c r="K38" s="2023"/>
      <c r="L38" s="72">
        <f>IF(B38&gt;0,1,0)</f>
        <v>0</v>
      </c>
      <c r="O38" s="72"/>
      <c r="T38" s="214"/>
      <c r="U38" s="214"/>
      <c r="V38" s="214"/>
      <c r="W38" s="214"/>
      <c r="X38" s="214"/>
      <c r="Y38" s="214"/>
      <c r="Z38" s="214"/>
      <c r="AA38" s="74"/>
      <c r="AB38" s="68"/>
      <c r="AN38" s="68"/>
      <c r="AO38" s="68"/>
      <c r="AP38" s="68"/>
      <c r="AQ38" s="68"/>
      <c r="AR38" s="68"/>
      <c r="AS38" s="68"/>
    </row>
    <row r="39" spans="1:45" ht="14.25" customHeight="1" x14ac:dyDescent="0.25">
      <c r="A39" s="220"/>
      <c r="B39" s="2024"/>
      <c r="C39" s="2025"/>
      <c r="D39" s="2025"/>
      <c r="E39" s="2025"/>
      <c r="F39" s="2025"/>
      <c r="G39" s="2025"/>
      <c r="H39" s="2025"/>
      <c r="I39" s="1619"/>
      <c r="J39" s="2033"/>
      <c r="K39" s="2036"/>
      <c r="O39" s="72"/>
      <c r="T39" s="214"/>
      <c r="U39" s="214"/>
      <c r="V39" s="214"/>
      <c r="W39" s="214"/>
      <c r="X39" s="214"/>
      <c r="Y39" s="214"/>
      <c r="Z39" s="214"/>
      <c r="AA39" s="74"/>
      <c r="AB39" s="68"/>
      <c r="AN39" s="68"/>
      <c r="AO39" s="68"/>
      <c r="AP39" s="68"/>
      <c r="AQ39" s="68"/>
      <c r="AR39" s="68"/>
      <c r="AS39" s="68"/>
    </row>
    <row r="40" spans="1:45" ht="14.25" customHeight="1" x14ac:dyDescent="0.25">
      <c r="A40" s="220"/>
      <c r="B40" s="2024"/>
      <c r="C40" s="2025"/>
      <c r="D40" s="2025"/>
      <c r="E40" s="2025"/>
      <c r="F40" s="2025"/>
      <c r="G40" s="2025"/>
      <c r="H40" s="2025"/>
      <c r="I40" s="974"/>
      <c r="J40" s="2021" t="str">
        <f>IFERROR(IF((VLOOKUP(K40,Überblick!$M$125:$N$134,2))="ja","ja","nein"),"")</f>
        <v/>
      </c>
      <c r="K40" s="2023"/>
      <c r="L40" s="72">
        <f>IF(B40&gt;0,1,0)</f>
        <v>0</v>
      </c>
      <c r="O40" s="72"/>
      <c r="T40" s="214"/>
      <c r="U40" s="214"/>
      <c r="V40" s="214"/>
      <c r="W40" s="214"/>
      <c r="X40" s="214"/>
      <c r="Y40" s="214"/>
      <c r="Z40" s="214"/>
      <c r="AA40" s="74"/>
      <c r="AB40" s="68"/>
      <c r="AN40" s="68"/>
      <c r="AO40" s="68"/>
      <c r="AP40" s="68"/>
      <c r="AQ40" s="68"/>
      <c r="AR40" s="68"/>
      <c r="AS40" s="68"/>
    </row>
    <row r="41" spans="1:45" ht="14.25" customHeight="1" x14ac:dyDescent="0.25">
      <c r="A41" s="220"/>
      <c r="B41" s="2024"/>
      <c r="C41" s="2025"/>
      <c r="D41" s="2025"/>
      <c r="E41" s="2025"/>
      <c r="F41" s="2025"/>
      <c r="G41" s="2025"/>
      <c r="H41" s="2025"/>
      <c r="I41" s="1619"/>
      <c r="J41" s="2033"/>
      <c r="K41" s="2036"/>
      <c r="O41" s="72"/>
      <c r="T41" s="214"/>
      <c r="U41" s="214"/>
      <c r="V41" s="214"/>
      <c r="W41" s="214"/>
      <c r="X41" s="214"/>
      <c r="Y41" s="214"/>
      <c r="Z41" s="214"/>
      <c r="AA41" s="74"/>
      <c r="AB41" s="68"/>
      <c r="AN41" s="68"/>
      <c r="AO41" s="68"/>
      <c r="AP41" s="68"/>
      <c r="AQ41" s="68"/>
      <c r="AR41" s="68"/>
      <c r="AS41" s="68"/>
    </row>
    <row r="42" spans="1:45" ht="14.25" customHeight="1" x14ac:dyDescent="0.25">
      <c r="A42" s="220"/>
      <c r="B42" s="2024"/>
      <c r="C42" s="2025"/>
      <c r="D42" s="2025"/>
      <c r="E42" s="2025"/>
      <c r="F42" s="2025"/>
      <c r="G42" s="2025"/>
      <c r="H42" s="2025"/>
      <c r="I42" s="974"/>
      <c r="J42" s="2021" t="str">
        <f>IFERROR(IF((VLOOKUP(K42,Überblick!$M$125:$N$134,2))="ja","ja","nein"),"")</f>
        <v/>
      </c>
      <c r="K42" s="2023"/>
      <c r="L42" s="72">
        <f>IF(B42&gt;0,1,0)</f>
        <v>0</v>
      </c>
      <c r="O42" s="72"/>
      <c r="P42" s="349"/>
      <c r="T42" s="214"/>
      <c r="U42" s="214"/>
      <c r="V42" s="214"/>
      <c r="W42" s="214"/>
      <c r="X42" s="214"/>
      <c r="Y42" s="214"/>
      <c r="Z42" s="214"/>
      <c r="AA42" s="74"/>
      <c r="AB42" s="68"/>
      <c r="AN42" s="68"/>
      <c r="AO42" s="68"/>
      <c r="AP42" s="68"/>
      <c r="AQ42" s="68"/>
      <c r="AR42" s="68"/>
      <c r="AS42" s="68"/>
    </row>
    <row r="43" spans="1:45" ht="14.25" customHeight="1" x14ac:dyDescent="0.25">
      <c r="A43" s="220"/>
      <c r="B43" s="2024"/>
      <c r="C43" s="2025"/>
      <c r="D43" s="2025"/>
      <c r="E43" s="2025"/>
      <c r="F43" s="2025"/>
      <c r="G43" s="2025"/>
      <c r="H43" s="2025"/>
      <c r="I43" s="1619"/>
      <c r="J43" s="2033"/>
      <c r="K43" s="2036"/>
      <c r="O43" s="72"/>
      <c r="T43" s="214"/>
      <c r="U43" s="214"/>
      <c r="V43" s="214"/>
      <c r="W43" s="214"/>
      <c r="X43" s="214"/>
      <c r="Y43" s="214"/>
      <c r="Z43" s="214"/>
      <c r="AA43" s="74"/>
      <c r="AB43" s="68"/>
      <c r="AN43" s="68"/>
      <c r="AO43" s="68"/>
      <c r="AP43" s="68"/>
      <c r="AQ43" s="68"/>
      <c r="AR43" s="68"/>
      <c r="AS43" s="68"/>
    </row>
    <row r="44" spans="1:45" ht="14.25" customHeight="1" x14ac:dyDescent="0.25">
      <c r="A44" s="220"/>
      <c r="B44" s="2030"/>
      <c r="C44" s="2031"/>
      <c r="D44" s="2031"/>
      <c r="E44" s="2031"/>
      <c r="F44" s="2031"/>
      <c r="G44" s="2031"/>
      <c r="H44" s="2031"/>
      <c r="I44" s="974"/>
      <c r="J44" s="2021" t="str">
        <f>IFERROR(IF((VLOOKUP(K44,Überblick!$M$125:$N$134,2))="ja","ja","nein"),"")</f>
        <v/>
      </c>
      <c r="K44" s="2023"/>
      <c r="L44" s="72">
        <f>IF(B44&gt;0,1,0)</f>
        <v>0</v>
      </c>
      <c r="O44" s="72"/>
      <c r="P44" s="349"/>
      <c r="T44" s="214"/>
      <c r="U44" s="214"/>
      <c r="V44" s="214"/>
      <c r="W44" s="214"/>
      <c r="X44" s="214"/>
      <c r="Y44" s="214"/>
      <c r="Z44" s="214"/>
      <c r="AA44" s="214"/>
      <c r="AB44" s="214"/>
      <c r="AC44" s="214"/>
      <c r="AD44" s="214"/>
      <c r="AN44" s="68"/>
      <c r="AO44" s="68"/>
      <c r="AP44" s="68"/>
      <c r="AQ44" s="68"/>
      <c r="AR44" s="68"/>
      <c r="AS44" s="68"/>
    </row>
    <row r="45" spans="1:45" ht="14.25" customHeight="1" x14ac:dyDescent="0.25">
      <c r="A45" s="220"/>
      <c r="B45" s="2024"/>
      <c r="C45" s="2025"/>
      <c r="D45" s="2025"/>
      <c r="E45" s="2025"/>
      <c r="F45" s="2025"/>
      <c r="G45" s="2025"/>
      <c r="H45" s="2025"/>
      <c r="I45" s="1619"/>
      <c r="J45" s="2033"/>
      <c r="K45" s="2036"/>
      <c r="O45" s="72"/>
      <c r="T45" s="214"/>
      <c r="U45" s="214"/>
      <c r="V45" s="214"/>
      <c r="W45" s="214"/>
      <c r="X45" s="214"/>
      <c r="Y45" s="214"/>
      <c r="Z45" s="214"/>
      <c r="AA45" s="214"/>
      <c r="AB45" s="214"/>
      <c r="AC45" s="214"/>
      <c r="AD45" s="214"/>
      <c r="AN45" s="68"/>
      <c r="AO45" s="68"/>
      <c r="AP45" s="68"/>
      <c r="AQ45" s="68"/>
      <c r="AR45" s="68"/>
      <c r="AS45" s="68"/>
    </row>
    <row r="46" spans="1:45" ht="14.25" customHeight="1" x14ac:dyDescent="0.25">
      <c r="A46" s="220"/>
      <c r="B46" s="2024"/>
      <c r="C46" s="2025"/>
      <c r="D46" s="2025"/>
      <c r="E46" s="2025"/>
      <c r="F46" s="2025"/>
      <c r="G46" s="2025"/>
      <c r="H46" s="2025"/>
      <c r="I46" s="974"/>
      <c r="J46" s="2021" t="str">
        <f>IFERROR(IF((VLOOKUP(K46,Überblick!$M$125:$N$134,2))="ja","ja","nein"),"")</f>
        <v/>
      </c>
      <c r="K46" s="2023"/>
      <c r="L46" s="72">
        <f>IF(B46&gt;0,1,0)</f>
        <v>0</v>
      </c>
      <c r="O46" s="72"/>
      <c r="P46" s="349"/>
      <c r="T46" s="214"/>
      <c r="U46" s="214"/>
      <c r="V46" s="214"/>
      <c r="W46" s="214"/>
      <c r="X46" s="214"/>
      <c r="Y46" s="214"/>
      <c r="Z46" s="214"/>
      <c r="AA46" s="214"/>
      <c r="AB46" s="214"/>
      <c r="AC46" s="214"/>
      <c r="AD46" s="214"/>
      <c r="AN46" s="68"/>
      <c r="AO46" s="68"/>
      <c r="AP46" s="68"/>
      <c r="AQ46" s="68"/>
      <c r="AR46" s="68"/>
      <c r="AS46" s="68"/>
    </row>
    <row r="47" spans="1:45" ht="14.25" customHeight="1" x14ac:dyDescent="0.25">
      <c r="A47" s="220"/>
      <c r="B47" s="2024"/>
      <c r="C47" s="2025"/>
      <c r="D47" s="2025"/>
      <c r="E47" s="2025"/>
      <c r="F47" s="2025"/>
      <c r="G47" s="2025"/>
      <c r="H47" s="2025"/>
      <c r="I47" s="1619"/>
      <c r="J47" s="2033"/>
      <c r="K47" s="2036"/>
      <c r="O47" s="72"/>
      <c r="T47" s="214"/>
      <c r="U47" s="214"/>
      <c r="V47" s="214"/>
      <c r="W47" s="214"/>
      <c r="X47" s="214"/>
      <c r="Y47" s="214"/>
      <c r="Z47" s="214"/>
      <c r="AA47" s="214"/>
      <c r="AB47" s="214"/>
      <c r="AC47" s="214"/>
      <c r="AD47" s="214"/>
      <c r="AN47" s="68"/>
      <c r="AO47" s="68"/>
      <c r="AP47" s="68"/>
      <c r="AQ47" s="68"/>
      <c r="AR47" s="68"/>
      <c r="AS47" s="68"/>
    </row>
    <row r="48" spans="1:45" ht="14.25" customHeight="1" x14ac:dyDescent="0.25">
      <c r="A48" s="220"/>
      <c r="B48" s="2024"/>
      <c r="C48" s="2025"/>
      <c r="D48" s="2025"/>
      <c r="E48" s="2025"/>
      <c r="F48" s="2025"/>
      <c r="G48" s="2025"/>
      <c r="H48" s="2025"/>
      <c r="I48" s="974"/>
      <c r="J48" s="2021" t="str">
        <f>IFERROR(IF((VLOOKUP(K48,Überblick!$M$125:$N$134,2))="ja","ja","nein"),"")</f>
        <v/>
      </c>
      <c r="K48" s="2023"/>
      <c r="L48" s="72">
        <f>IF(B48&gt;0,1,0)</f>
        <v>0</v>
      </c>
      <c r="O48" s="72"/>
      <c r="P48" s="349"/>
      <c r="T48" s="214"/>
      <c r="U48" s="214"/>
      <c r="V48" s="214"/>
      <c r="W48" s="214"/>
      <c r="X48" s="214"/>
      <c r="Y48" s="214"/>
      <c r="Z48" s="214"/>
      <c r="AA48" s="214"/>
      <c r="AB48" s="214"/>
      <c r="AC48" s="214"/>
      <c r="AD48" s="214"/>
      <c r="AN48" s="68"/>
      <c r="AO48" s="68"/>
      <c r="AP48" s="68"/>
      <c r="AQ48" s="68"/>
      <c r="AR48" s="68"/>
      <c r="AS48" s="68"/>
    </row>
    <row r="49" spans="1:45" ht="14.25" customHeight="1" x14ac:dyDescent="0.25">
      <c r="A49" s="220"/>
      <c r="B49" s="2024"/>
      <c r="C49" s="2025"/>
      <c r="D49" s="2025"/>
      <c r="E49" s="2025"/>
      <c r="F49" s="2025"/>
      <c r="G49" s="2025"/>
      <c r="H49" s="2025"/>
      <c r="I49" s="1619"/>
      <c r="J49" s="2033"/>
      <c r="K49" s="2036"/>
      <c r="O49" s="72"/>
      <c r="T49" s="214"/>
      <c r="U49" s="214"/>
      <c r="V49" s="214"/>
      <c r="W49" s="214"/>
      <c r="X49" s="214"/>
      <c r="Y49" s="214"/>
      <c r="Z49" s="214"/>
      <c r="AA49" s="214"/>
      <c r="AB49" s="214"/>
      <c r="AC49" s="214"/>
      <c r="AD49" s="214"/>
      <c r="AN49" s="68"/>
      <c r="AO49" s="68"/>
      <c r="AP49" s="68"/>
      <c r="AQ49" s="68"/>
      <c r="AR49" s="68"/>
      <c r="AS49" s="68"/>
    </row>
    <row r="50" spans="1:45" ht="14.25" customHeight="1" x14ac:dyDescent="0.25">
      <c r="A50" s="220"/>
      <c r="B50" s="2024"/>
      <c r="C50" s="2025"/>
      <c r="D50" s="2025"/>
      <c r="E50" s="2025"/>
      <c r="F50" s="2025"/>
      <c r="G50" s="2025"/>
      <c r="H50" s="2025"/>
      <c r="I50" s="974"/>
      <c r="J50" s="2021" t="str">
        <f>IFERROR(IF((VLOOKUP(K50,Überblick!$M$125:$N$134,2))="ja","ja","nein"),"")</f>
        <v/>
      </c>
      <c r="K50" s="2023"/>
      <c r="L50" s="72">
        <f>IF(B50&gt;0,1,0)</f>
        <v>0</v>
      </c>
      <c r="O50" s="72"/>
      <c r="P50" s="349"/>
      <c r="T50" s="214"/>
      <c r="U50" s="214"/>
      <c r="V50" s="214"/>
      <c r="W50" s="214"/>
      <c r="X50" s="214"/>
      <c r="Y50" s="214"/>
      <c r="Z50" s="214"/>
      <c r="AA50" s="214"/>
      <c r="AB50" s="214"/>
      <c r="AC50" s="214"/>
      <c r="AD50" s="214"/>
      <c r="AN50" s="68"/>
      <c r="AO50" s="68"/>
      <c r="AP50" s="68"/>
      <c r="AQ50" s="68"/>
      <c r="AR50" s="68"/>
      <c r="AS50" s="68"/>
    </row>
    <row r="51" spans="1:45" ht="14.25" customHeight="1" x14ac:dyDescent="0.25">
      <c r="A51" s="220"/>
      <c r="B51" s="2024"/>
      <c r="C51" s="2025"/>
      <c r="D51" s="2025"/>
      <c r="E51" s="2025"/>
      <c r="F51" s="2025"/>
      <c r="G51" s="2025"/>
      <c r="H51" s="2025"/>
      <c r="I51" s="1619"/>
      <c r="J51" s="2033"/>
      <c r="K51" s="2036"/>
      <c r="O51" s="72"/>
      <c r="T51" s="214"/>
      <c r="U51" s="214"/>
      <c r="V51" s="214"/>
      <c r="W51" s="214"/>
      <c r="X51" s="214"/>
      <c r="Y51" s="214"/>
      <c r="Z51" s="214"/>
      <c r="AA51" s="214"/>
      <c r="AB51" s="214"/>
      <c r="AC51" s="214"/>
      <c r="AD51" s="214"/>
      <c r="AN51" s="68"/>
      <c r="AO51" s="68"/>
      <c r="AP51" s="68"/>
      <c r="AQ51" s="68"/>
      <c r="AR51" s="68"/>
      <c r="AS51" s="68"/>
    </row>
    <row r="52" spans="1:45" ht="14.25" customHeight="1" x14ac:dyDescent="0.25">
      <c r="A52" s="220"/>
      <c r="B52" s="2024"/>
      <c r="C52" s="2025"/>
      <c r="D52" s="2025"/>
      <c r="E52" s="2025"/>
      <c r="F52" s="2025"/>
      <c r="G52" s="2025"/>
      <c r="H52" s="2025"/>
      <c r="I52" s="974"/>
      <c r="J52" s="2021" t="str">
        <f>IFERROR(IF((VLOOKUP(K52,Überblick!$M$125:$N$134,2))="ja","ja","nein"),"")</f>
        <v/>
      </c>
      <c r="K52" s="2023"/>
      <c r="L52" s="72">
        <f>IF(B52&gt;0,1,0)</f>
        <v>0</v>
      </c>
      <c r="O52" s="72"/>
      <c r="P52" s="349"/>
      <c r="T52" s="214"/>
      <c r="U52" s="214"/>
      <c r="V52" s="214"/>
      <c r="W52" s="214"/>
      <c r="X52" s="214"/>
      <c r="Y52" s="214"/>
      <c r="Z52" s="214"/>
      <c r="AA52" s="214"/>
      <c r="AB52" s="214"/>
      <c r="AC52" s="214"/>
      <c r="AD52" s="214"/>
      <c r="AN52" s="68"/>
      <c r="AO52" s="68"/>
      <c r="AP52" s="68"/>
      <c r="AQ52" s="68"/>
      <c r="AR52" s="68"/>
      <c r="AS52" s="68"/>
    </row>
    <row r="53" spans="1:45" ht="14.25" customHeight="1" x14ac:dyDescent="0.25">
      <c r="A53" s="220"/>
      <c r="B53" s="2024"/>
      <c r="C53" s="2025"/>
      <c r="D53" s="2025"/>
      <c r="E53" s="2025"/>
      <c r="F53" s="2025"/>
      <c r="G53" s="2025"/>
      <c r="H53" s="2025"/>
      <c r="I53" s="1619"/>
      <c r="J53" s="2033"/>
      <c r="K53" s="2036"/>
      <c r="O53" s="72"/>
      <c r="T53" s="214"/>
      <c r="U53" s="214"/>
      <c r="V53" s="214"/>
      <c r="W53" s="214"/>
      <c r="X53" s="214"/>
      <c r="Y53" s="214"/>
      <c r="Z53" s="214"/>
      <c r="AA53" s="214"/>
      <c r="AB53" s="214"/>
      <c r="AC53" s="214"/>
      <c r="AD53" s="214"/>
      <c r="AN53" s="68"/>
      <c r="AO53" s="68"/>
      <c r="AP53" s="68"/>
      <c r="AQ53" s="68"/>
      <c r="AR53" s="68"/>
      <c r="AS53" s="68"/>
    </row>
    <row r="54" spans="1:45" ht="14.25" customHeight="1" x14ac:dyDescent="0.25">
      <c r="A54" s="220"/>
      <c r="B54" s="2024"/>
      <c r="C54" s="2025"/>
      <c r="D54" s="2025"/>
      <c r="E54" s="2025"/>
      <c r="F54" s="2025"/>
      <c r="G54" s="2025"/>
      <c r="H54" s="2025"/>
      <c r="I54" s="974"/>
      <c r="J54" s="2021" t="str">
        <f>IFERROR(IF((VLOOKUP(K54,Überblick!$M$125:$N$134,2))="ja","ja","nein"),"")</f>
        <v/>
      </c>
      <c r="K54" s="2023"/>
      <c r="L54" s="72">
        <f>IF(B54&gt;0,1,0)</f>
        <v>0</v>
      </c>
      <c r="O54" s="72"/>
      <c r="P54" s="349"/>
      <c r="T54" s="214"/>
      <c r="U54" s="214"/>
      <c r="V54" s="214"/>
      <c r="W54" s="214"/>
      <c r="X54" s="214"/>
      <c r="Y54" s="214"/>
      <c r="Z54" s="214"/>
      <c r="AA54" s="214"/>
      <c r="AB54" s="214"/>
      <c r="AC54" s="214"/>
      <c r="AD54" s="214"/>
      <c r="AN54" s="68"/>
      <c r="AO54" s="68"/>
      <c r="AP54" s="68"/>
      <c r="AQ54" s="68"/>
      <c r="AR54" s="68"/>
      <c r="AS54" s="68"/>
    </row>
    <row r="55" spans="1:45" ht="14.25" customHeight="1" x14ac:dyDescent="0.25">
      <c r="A55" s="220"/>
      <c r="B55" s="2024"/>
      <c r="C55" s="2025"/>
      <c r="D55" s="2025"/>
      <c r="E55" s="2025"/>
      <c r="F55" s="2025"/>
      <c r="G55" s="2025"/>
      <c r="H55" s="2025"/>
      <c r="I55" s="1619"/>
      <c r="J55" s="2033"/>
      <c r="K55" s="2036"/>
      <c r="O55" s="72"/>
      <c r="T55" s="214"/>
      <c r="U55" s="214"/>
      <c r="V55" s="214"/>
      <c r="W55" s="214"/>
      <c r="X55" s="214"/>
      <c r="Y55" s="214"/>
      <c r="Z55" s="214"/>
      <c r="AA55" s="214"/>
      <c r="AB55" s="214"/>
      <c r="AC55" s="214"/>
      <c r="AD55" s="214"/>
      <c r="AN55" s="68"/>
      <c r="AO55" s="68"/>
      <c r="AP55" s="68"/>
      <c r="AQ55" s="68"/>
      <c r="AR55" s="68"/>
      <c r="AS55" s="68"/>
    </row>
    <row r="56" spans="1:45" ht="14.25" customHeight="1" x14ac:dyDescent="0.25">
      <c r="A56" s="220"/>
      <c r="B56" s="2024"/>
      <c r="C56" s="2025"/>
      <c r="D56" s="2025"/>
      <c r="E56" s="2025"/>
      <c r="F56" s="2025"/>
      <c r="G56" s="2025"/>
      <c r="H56" s="2025"/>
      <c r="I56" s="974"/>
      <c r="J56" s="2021" t="str">
        <f>IFERROR(IF((VLOOKUP(K56,Überblick!$M$125:$N$134,2))="ja","ja","nein"),"")</f>
        <v/>
      </c>
      <c r="K56" s="2023"/>
      <c r="L56" s="72">
        <f>IF(B56&gt;0,1,0)</f>
        <v>0</v>
      </c>
      <c r="O56" s="72"/>
      <c r="P56" s="349"/>
      <c r="T56" s="214"/>
      <c r="U56" s="214"/>
      <c r="V56" s="214"/>
      <c r="W56" s="214"/>
      <c r="X56" s="214"/>
      <c r="Y56" s="214"/>
      <c r="Z56" s="214"/>
      <c r="AA56" s="214"/>
      <c r="AB56" s="214"/>
      <c r="AC56" s="214"/>
      <c r="AD56" s="214"/>
      <c r="AN56" s="68"/>
      <c r="AO56" s="68"/>
      <c r="AP56" s="68"/>
      <c r="AQ56" s="68"/>
      <c r="AR56" s="68"/>
      <c r="AS56" s="68"/>
    </row>
    <row r="57" spans="1:45" ht="14.25" customHeight="1" x14ac:dyDescent="0.25">
      <c r="A57" s="220"/>
      <c r="B57" s="2024"/>
      <c r="C57" s="2025"/>
      <c r="D57" s="2025"/>
      <c r="E57" s="2025"/>
      <c r="F57" s="2025"/>
      <c r="G57" s="2025"/>
      <c r="H57" s="2025"/>
      <c r="I57" s="1619"/>
      <c r="J57" s="2033"/>
      <c r="K57" s="2036"/>
      <c r="O57" s="72"/>
      <c r="T57" s="214"/>
      <c r="U57" s="214"/>
      <c r="V57" s="214"/>
      <c r="W57" s="214"/>
      <c r="X57" s="214"/>
      <c r="Y57" s="214"/>
      <c r="Z57" s="214"/>
      <c r="AA57" s="214"/>
      <c r="AB57" s="214"/>
      <c r="AC57" s="214"/>
      <c r="AD57" s="214"/>
      <c r="AN57" s="68"/>
      <c r="AO57" s="68"/>
      <c r="AP57" s="68"/>
      <c r="AQ57" s="68"/>
      <c r="AR57" s="68"/>
      <c r="AS57" s="68"/>
    </row>
    <row r="58" spans="1:45" ht="14.25" customHeight="1" x14ac:dyDescent="0.25">
      <c r="A58" s="220"/>
      <c r="B58" s="2024"/>
      <c r="C58" s="2025"/>
      <c r="D58" s="2025"/>
      <c r="E58" s="2025"/>
      <c r="F58" s="2025"/>
      <c r="G58" s="2025"/>
      <c r="H58" s="2025"/>
      <c r="I58" s="974"/>
      <c r="J58" s="2021" t="str">
        <f>IFERROR(IF((VLOOKUP(K58,Überblick!$M$125:$N$134,2))="ja","ja","nein"),"")</f>
        <v/>
      </c>
      <c r="K58" s="2023"/>
      <c r="L58" s="72">
        <f>IF(B58&gt;0,1,0)</f>
        <v>0</v>
      </c>
      <c r="O58" s="72"/>
      <c r="P58" s="349"/>
      <c r="T58" s="214"/>
      <c r="U58" s="214"/>
      <c r="V58" s="214"/>
      <c r="W58" s="214"/>
      <c r="X58" s="214"/>
      <c r="Y58" s="214"/>
      <c r="Z58" s="214"/>
      <c r="AA58" s="214"/>
      <c r="AB58" s="214"/>
      <c r="AC58" s="214"/>
      <c r="AD58" s="214"/>
      <c r="AN58" s="68"/>
      <c r="AO58" s="68"/>
      <c r="AP58" s="68"/>
      <c r="AQ58" s="68"/>
      <c r="AR58" s="68"/>
      <c r="AS58" s="68"/>
    </row>
    <row r="59" spans="1:45" ht="14.25" customHeight="1" x14ac:dyDescent="0.25">
      <c r="A59" s="220"/>
      <c r="B59" s="2024"/>
      <c r="C59" s="2025"/>
      <c r="D59" s="2025"/>
      <c r="E59" s="2025"/>
      <c r="F59" s="2025"/>
      <c r="G59" s="2025"/>
      <c r="H59" s="2025"/>
      <c r="I59" s="1619"/>
      <c r="J59" s="2033"/>
      <c r="K59" s="2036"/>
      <c r="O59" s="72"/>
      <c r="T59" s="214"/>
      <c r="U59" s="214"/>
      <c r="V59" s="214"/>
      <c r="W59" s="214"/>
      <c r="X59" s="214"/>
      <c r="Y59" s="214"/>
      <c r="Z59" s="214"/>
      <c r="AA59" s="214"/>
      <c r="AB59" s="214"/>
      <c r="AC59" s="214"/>
      <c r="AD59" s="214"/>
      <c r="AN59" s="68"/>
      <c r="AO59" s="68"/>
      <c r="AP59" s="68"/>
      <c r="AQ59" s="68"/>
      <c r="AR59" s="68"/>
      <c r="AS59" s="68"/>
    </row>
    <row r="60" spans="1:45" ht="14.25" customHeight="1" x14ac:dyDescent="0.25">
      <c r="A60" s="220"/>
      <c r="B60" s="2024"/>
      <c r="C60" s="2025"/>
      <c r="D60" s="2025"/>
      <c r="E60" s="2025"/>
      <c r="F60" s="2025"/>
      <c r="G60" s="2025"/>
      <c r="H60" s="2025"/>
      <c r="I60" s="974"/>
      <c r="J60" s="2021" t="str">
        <f>IFERROR(IF((VLOOKUP(K60,Überblick!$M$125:$N$134,2))="ja","ja","nein"),"")</f>
        <v/>
      </c>
      <c r="K60" s="2023"/>
      <c r="L60" s="72">
        <f>IF(B60&gt;0,1,0)</f>
        <v>0</v>
      </c>
      <c r="O60" s="72"/>
      <c r="P60" s="349"/>
      <c r="T60" s="214"/>
      <c r="U60" s="214"/>
      <c r="V60" s="214"/>
      <c r="W60" s="214"/>
      <c r="X60" s="214"/>
      <c r="Y60" s="214"/>
      <c r="Z60" s="214"/>
      <c r="AA60" s="214"/>
      <c r="AB60" s="214"/>
      <c r="AC60" s="214"/>
      <c r="AD60" s="214"/>
      <c r="AN60" s="68"/>
      <c r="AO60" s="68"/>
      <c r="AP60" s="68"/>
      <c r="AQ60" s="68"/>
      <c r="AR60" s="68"/>
      <c r="AS60" s="68"/>
    </row>
    <row r="61" spans="1:45" ht="14.25" customHeight="1" x14ac:dyDescent="0.25">
      <c r="A61" s="220"/>
      <c r="B61" s="2024"/>
      <c r="C61" s="2025"/>
      <c r="D61" s="2025"/>
      <c r="E61" s="2025"/>
      <c r="F61" s="2025"/>
      <c r="G61" s="2025"/>
      <c r="H61" s="2025"/>
      <c r="I61" s="1619"/>
      <c r="J61" s="2033"/>
      <c r="K61" s="2036"/>
      <c r="O61" s="72"/>
      <c r="T61" s="214"/>
      <c r="U61" s="214"/>
      <c r="V61" s="214"/>
      <c r="W61" s="214"/>
      <c r="X61" s="214"/>
      <c r="Y61" s="214"/>
      <c r="Z61" s="214"/>
      <c r="AA61" s="214"/>
      <c r="AB61" s="214"/>
      <c r="AC61" s="214"/>
      <c r="AD61" s="214"/>
      <c r="AN61" s="68"/>
      <c r="AO61" s="68"/>
      <c r="AP61" s="68"/>
      <c r="AQ61" s="68"/>
      <c r="AR61" s="68"/>
      <c r="AS61" s="68"/>
    </row>
    <row r="62" spans="1:45" ht="14.25" customHeight="1" x14ac:dyDescent="0.25">
      <c r="A62" s="220"/>
      <c r="B62" s="2024"/>
      <c r="C62" s="2025"/>
      <c r="D62" s="2025"/>
      <c r="E62" s="2025"/>
      <c r="F62" s="2025"/>
      <c r="G62" s="2025"/>
      <c r="H62" s="2025"/>
      <c r="I62" s="974"/>
      <c r="J62" s="2021" t="str">
        <f>IFERROR(IF((VLOOKUP(K62,Überblick!$M$125:$N$134,2))="ja","ja","nein"),"")</f>
        <v/>
      </c>
      <c r="K62" s="2023"/>
      <c r="L62" s="72">
        <f>IF(B62&gt;0,1,0)</f>
        <v>0</v>
      </c>
      <c r="O62" s="72"/>
      <c r="P62" s="349"/>
      <c r="T62" s="214"/>
      <c r="U62" s="214"/>
      <c r="V62" s="214"/>
      <c r="W62" s="214"/>
      <c r="X62" s="214"/>
      <c r="Y62" s="214"/>
      <c r="Z62" s="214"/>
      <c r="AA62" s="214"/>
      <c r="AB62" s="214"/>
      <c r="AC62" s="214"/>
      <c r="AD62" s="214"/>
      <c r="AN62" s="68"/>
      <c r="AO62" s="68"/>
      <c r="AP62" s="68"/>
      <c r="AQ62" s="68"/>
      <c r="AR62" s="68"/>
      <c r="AS62" s="68"/>
    </row>
    <row r="63" spans="1:45" ht="14.25" customHeight="1" x14ac:dyDescent="0.25">
      <c r="A63" s="220"/>
      <c r="B63" s="2024"/>
      <c r="C63" s="2025"/>
      <c r="D63" s="2025"/>
      <c r="E63" s="2025"/>
      <c r="F63" s="2025"/>
      <c r="G63" s="2025"/>
      <c r="H63" s="2025"/>
      <c r="I63" s="1619"/>
      <c r="J63" s="2033"/>
      <c r="K63" s="2036"/>
      <c r="O63" s="72"/>
      <c r="T63" s="214"/>
      <c r="U63" s="214"/>
      <c r="V63" s="214"/>
      <c r="W63" s="214"/>
      <c r="X63" s="214"/>
      <c r="Y63" s="214"/>
      <c r="Z63" s="214"/>
      <c r="AA63" s="214"/>
      <c r="AB63" s="214"/>
      <c r="AC63" s="214"/>
      <c r="AD63" s="214"/>
      <c r="AN63" s="68"/>
      <c r="AO63" s="68"/>
      <c r="AP63" s="68"/>
      <c r="AQ63" s="68"/>
      <c r="AR63" s="68"/>
      <c r="AS63" s="68"/>
    </row>
    <row r="64" spans="1:45" ht="14.25" customHeight="1" x14ac:dyDescent="0.25">
      <c r="A64" s="220"/>
      <c r="B64" s="2024"/>
      <c r="C64" s="2025"/>
      <c r="D64" s="2025"/>
      <c r="E64" s="2025"/>
      <c r="F64" s="2025"/>
      <c r="G64" s="2025"/>
      <c r="H64" s="2025"/>
      <c r="I64" s="974"/>
      <c r="J64" s="2021" t="str">
        <f>IFERROR(IF((VLOOKUP(K64,Überblick!$M$125:$N$134,2))="ja","ja","nein"),"")</f>
        <v/>
      </c>
      <c r="K64" s="2023"/>
      <c r="L64" s="72">
        <f>IF(B64&gt;0,1,0)</f>
        <v>0</v>
      </c>
      <c r="O64" s="72"/>
      <c r="P64" s="349"/>
      <c r="T64" s="214"/>
      <c r="U64" s="214"/>
      <c r="V64" s="214"/>
      <c r="W64" s="214"/>
      <c r="X64" s="214"/>
      <c r="Y64" s="214"/>
      <c r="Z64" s="214"/>
      <c r="AA64" s="214"/>
      <c r="AB64" s="214"/>
      <c r="AC64" s="214"/>
      <c r="AD64" s="214"/>
      <c r="AN64" s="68"/>
      <c r="AO64" s="68"/>
      <c r="AP64" s="68"/>
      <c r="AQ64" s="68"/>
      <c r="AR64" s="68"/>
      <c r="AS64" s="68"/>
    </row>
    <row r="65" spans="1:45" ht="14.25" customHeight="1" x14ac:dyDescent="0.25">
      <c r="A65" s="220"/>
      <c r="B65" s="2024"/>
      <c r="C65" s="2025"/>
      <c r="D65" s="2025"/>
      <c r="E65" s="2025"/>
      <c r="F65" s="2025"/>
      <c r="G65" s="2025"/>
      <c r="H65" s="2025"/>
      <c r="I65" s="1619"/>
      <c r="J65" s="2033"/>
      <c r="K65" s="2036"/>
      <c r="O65" s="72"/>
      <c r="T65" s="214"/>
      <c r="U65" s="214"/>
      <c r="V65" s="214"/>
      <c r="W65" s="214"/>
      <c r="X65" s="214"/>
      <c r="Y65" s="214"/>
      <c r="Z65" s="214"/>
      <c r="AA65" s="214"/>
      <c r="AB65" s="214"/>
      <c r="AC65" s="214"/>
      <c r="AD65" s="214"/>
      <c r="AN65" s="68"/>
      <c r="AO65" s="68"/>
      <c r="AP65" s="68"/>
      <c r="AQ65" s="68"/>
      <c r="AR65" s="68"/>
      <c r="AS65" s="68"/>
    </row>
    <row r="66" spans="1:45" ht="14.25" customHeight="1" x14ac:dyDescent="0.25">
      <c r="A66" s="220"/>
      <c r="B66" s="2024"/>
      <c r="C66" s="2025"/>
      <c r="D66" s="2025"/>
      <c r="E66" s="2025"/>
      <c r="F66" s="2025"/>
      <c r="G66" s="2025"/>
      <c r="H66" s="2025"/>
      <c r="I66" s="974"/>
      <c r="J66" s="2021" t="str">
        <f>IFERROR(IF((VLOOKUP(K66,Überblick!$M$125:$N$134,2))="ja","ja","nein"),"")</f>
        <v/>
      </c>
      <c r="K66" s="2023"/>
      <c r="L66" s="72">
        <f>IF(B66&gt;0,1,0)</f>
        <v>0</v>
      </c>
      <c r="O66" s="72"/>
      <c r="P66" s="349"/>
      <c r="T66" s="214"/>
      <c r="U66" s="214"/>
      <c r="V66" s="214"/>
      <c r="W66" s="214"/>
      <c r="X66" s="214"/>
      <c r="Y66" s="214"/>
      <c r="Z66" s="214"/>
      <c r="AA66" s="214"/>
      <c r="AB66" s="214"/>
      <c r="AC66" s="214"/>
      <c r="AD66" s="214"/>
      <c r="AN66" s="68"/>
      <c r="AO66" s="68"/>
      <c r="AP66" s="68"/>
      <c r="AQ66" s="68"/>
      <c r="AR66" s="68"/>
      <c r="AS66" s="68"/>
    </row>
    <row r="67" spans="1:45" ht="14.25" customHeight="1" x14ac:dyDescent="0.25">
      <c r="A67" s="220"/>
      <c r="B67" s="2024"/>
      <c r="C67" s="2025"/>
      <c r="D67" s="2025"/>
      <c r="E67" s="2025"/>
      <c r="F67" s="2025"/>
      <c r="G67" s="2025"/>
      <c r="H67" s="2025"/>
      <c r="I67" s="1619"/>
      <c r="J67" s="2033"/>
      <c r="K67" s="2036"/>
      <c r="O67" s="72"/>
      <c r="T67" s="214"/>
      <c r="U67" s="214"/>
      <c r="V67" s="214"/>
      <c r="W67" s="214"/>
      <c r="X67" s="214"/>
      <c r="Y67" s="214"/>
      <c r="Z67" s="214"/>
      <c r="AA67" s="214"/>
      <c r="AB67" s="214"/>
      <c r="AC67" s="214"/>
      <c r="AD67" s="214"/>
      <c r="AN67" s="68"/>
      <c r="AO67" s="68"/>
      <c r="AP67" s="68"/>
      <c r="AQ67" s="68"/>
      <c r="AR67" s="68"/>
      <c r="AS67" s="68"/>
    </row>
    <row r="68" spans="1:45" ht="14.25" customHeight="1" x14ac:dyDescent="0.25">
      <c r="A68" s="220"/>
      <c r="B68" s="2024"/>
      <c r="C68" s="2025"/>
      <c r="D68" s="2025"/>
      <c r="E68" s="2025"/>
      <c r="F68" s="2025"/>
      <c r="G68" s="2025"/>
      <c r="H68" s="2025"/>
      <c r="I68" s="974"/>
      <c r="J68" s="2021" t="str">
        <f>IFERROR(IF((VLOOKUP(K68,Überblick!$M$125:$N$134,2))="ja","ja","nein"),"")</f>
        <v/>
      </c>
      <c r="K68" s="2023"/>
      <c r="L68" s="72">
        <f>IF(B68&gt;0,1,0)</f>
        <v>0</v>
      </c>
      <c r="O68" s="72"/>
      <c r="P68" s="349"/>
      <c r="T68" s="214"/>
      <c r="U68" s="214"/>
      <c r="V68" s="214"/>
      <c r="W68" s="214"/>
      <c r="X68" s="214"/>
      <c r="Y68" s="214"/>
      <c r="Z68" s="214"/>
      <c r="AA68" s="214"/>
      <c r="AB68" s="214"/>
      <c r="AC68" s="214"/>
      <c r="AD68" s="214"/>
      <c r="AN68" s="68"/>
      <c r="AO68" s="68"/>
      <c r="AP68" s="68"/>
      <c r="AQ68" s="68"/>
      <c r="AR68" s="68"/>
      <c r="AS68" s="68"/>
    </row>
    <row r="69" spans="1:45" ht="14.25" customHeight="1" x14ac:dyDescent="0.25">
      <c r="A69" s="220"/>
      <c r="B69" s="2024"/>
      <c r="C69" s="2025"/>
      <c r="D69" s="2025"/>
      <c r="E69" s="2025"/>
      <c r="F69" s="2025"/>
      <c r="G69" s="2025"/>
      <c r="H69" s="2025"/>
      <c r="I69" s="1619"/>
      <c r="J69" s="2033"/>
      <c r="K69" s="2036"/>
      <c r="O69" s="72"/>
      <c r="T69" s="214"/>
      <c r="U69" s="214"/>
      <c r="V69" s="214"/>
      <c r="W69" s="214"/>
      <c r="X69" s="214"/>
      <c r="Y69" s="214"/>
      <c r="Z69" s="214"/>
      <c r="AA69" s="214"/>
      <c r="AB69" s="214"/>
      <c r="AC69" s="214"/>
      <c r="AD69" s="214"/>
      <c r="AN69" s="68"/>
      <c r="AO69" s="68"/>
      <c r="AP69" s="68"/>
      <c r="AQ69" s="68"/>
      <c r="AR69" s="68"/>
      <c r="AS69" s="68"/>
    </row>
    <row r="70" spans="1:45" ht="14.25" customHeight="1" x14ac:dyDescent="0.25">
      <c r="A70" s="220"/>
      <c r="B70" s="2024"/>
      <c r="C70" s="2025"/>
      <c r="D70" s="2025"/>
      <c r="E70" s="2025"/>
      <c r="F70" s="2025"/>
      <c r="G70" s="2025"/>
      <c r="H70" s="2025"/>
      <c r="I70" s="974"/>
      <c r="J70" s="2021" t="str">
        <f>IFERROR(IF((VLOOKUP(K70,Überblick!$M$125:$N$134,2))="ja","ja","nein"),"")</f>
        <v/>
      </c>
      <c r="K70" s="2023"/>
      <c r="L70" s="72">
        <f>IF(B70&gt;0,1,0)</f>
        <v>0</v>
      </c>
      <c r="O70" s="72"/>
      <c r="P70" s="349"/>
      <c r="T70" s="214"/>
      <c r="U70" s="214"/>
      <c r="V70" s="214"/>
      <c r="W70" s="214"/>
      <c r="X70" s="214"/>
      <c r="Y70" s="214"/>
      <c r="Z70" s="214"/>
      <c r="AA70" s="214"/>
      <c r="AB70" s="214"/>
      <c r="AC70" s="214"/>
      <c r="AD70" s="214"/>
      <c r="AN70" s="68"/>
      <c r="AO70" s="68"/>
      <c r="AP70" s="68"/>
      <c r="AQ70" s="68"/>
      <c r="AR70" s="68"/>
      <c r="AS70" s="68"/>
    </row>
    <row r="71" spans="1:45" ht="14.25" customHeight="1" x14ac:dyDescent="0.25">
      <c r="A71" s="220"/>
      <c r="B71" s="2024"/>
      <c r="C71" s="2025"/>
      <c r="D71" s="2025"/>
      <c r="E71" s="2025"/>
      <c r="F71" s="2025"/>
      <c r="G71" s="2025"/>
      <c r="H71" s="2025"/>
      <c r="I71" s="1619"/>
      <c r="J71" s="2033"/>
      <c r="K71" s="2036"/>
      <c r="O71" s="72"/>
      <c r="T71" s="214"/>
      <c r="U71" s="214"/>
      <c r="V71" s="214"/>
      <c r="W71" s="214"/>
      <c r="X71" s="214"/>
      <c r="Y71" s="214"/>
      <c r="Z71" s="214"/>
      <c r="AA71" s="214"/>
      <c r="AB71" s="214"/>
      <c r="AC71" s="214"/>
      <c r="AD71" s="214"/>
      <c r="AN71" s="68"/>
      <c r="AO71" s="68"/>
      <c r="AP71" s="68"/>
      <c r="AQ71" s="68"/>
      <c r="AR71" s="68"/>
      <c r="AS71" s="68"/>
    </row>
    <row r="72" spans="1:45" ht="14.25" customHeight="1" x14ac:dyDescent="0.25">
      <c r="A72" s="220"/>
      <c r="B72" s="2024"/>
      <c r="C72" s="2025"/>
      <c r="D72" s="2025"/>
      <c r="E72" s="2025"/>
      <c r="F72" s="2025"/>
      <c r="G72" s="2025"/>
      <c r="H72" s="2025"/>
      <c r="I72" s="974"/>
      <c r="J72" s="2021" t="str">
        <f>IFERROR(IF((VLOOKUP(K72,Überblick!$M$125:$N$134,2))="ja","ja","nein"),"")</f>
        <v/>
      </c>
      <c r="K72" s="2023"/>
      <c r="L72" s="72">
        <f>IF(B72&gt;0,1,0)</f>
        <v>0</v>
      </c>
      <c r="O72" s="72"/>
      <c r="P72" s="349"/>
      <c r="T72" s="214"/>
      <c r="U72" s="214"/>
      <c r="V72" s="214"/>
      <c r="W72" s="214"/>
      <c r="X72" s="214"/>
      <c r="Y72" s="214"/>
      <c r="Z72" s="214"/>
      <c r="AA72" s="214"/>
      <c r="AB72" s="214"/>
      <c r="AC72" s="214"/>
      <c r="AD72" s="214"/>
      <c r="AN72" s="68"/>
      <c r="AO72" s="68"/>
      <c r="AP72" s="68"/>
      <c r="AQ72" s="68"/>
      <c r="AR72" s="68"/>
      <c r="AS72" s="68"/>
    </row>
    <row r="73" spans="1:45" ht="14.25" customHeight="1" x14ac:dyDescent="0.25">
      <c r="A73" s="220"/>
      <c r="B73" s="2024"/>
      <c r="C73" s="2025"/>
      <c r="D73" s="2025"/>
      <c r="E73" s="2025"/>
      <c r="F73" s="2025"/>
      <c r="G73" s="2025"/>
      <c r="H73" s="2025"/>
      <c r="I73" s="1619"/>
      <c r="J73" s="2033"/>
      <c r="K73" s="2036"/>
      <c r="O73" s="72"/>
      <c r="T73" s="214"/>
      <c r="U73" s="214"/>
      <c r="V73" s="214"/>
      <c r="W73" s="214"/>
      <c r="X73" s="214"/>
      <c r="Y73" s="214"/>
      <c r="Z73" s="214"/>
      <c r="AA73" s="214"/>
      <c r="AB73" s="214"/>
      <c r="AC73" s="214"/>
      <c r="AD73" s="214"/>
      <c r="AN73" s="68"/>
      <c r="AO73" s="68"/>
      <c r="AP73" s="68"/>
      <c r="AQ73" s="68"/>
      <c r="AR73" s="68"/>
      <c r="AS73" s="68"/>
    </row>
    <row r="74" spans="1:45" ht="14.25" customHeight="1" x14ac:dyDescent="0.25">
      <c r="A74" s="220"/>
      <c r="B74" s="2024"/>
      <c r="C74" s="2025"/>
      <c r="D74" s="2025"/>
      <c r="E74" s="2025"/>
      <c r="F74" s="2025"/>
      <c r="G74" s="2025"/>
      <c r="H74" s="2025"/>
      <c r="I74" s="974"/>
      <c r="J74" s="2021" t="str">
        <f>IFERROR(IF((VLOOKUP(K74,Überblick!$M$125:$N$134,2))="ja","ja","nein"),"")</f>
        <v/>
      </c>
      <c r="K74" s="2023"/>
      <c r="L74" s="72">
        <f>IF(B74&gt;0,1,0)</f>
        <v>0</v>
      </c>
      <c r="O74" s="72"/>
      <c r="P74" s="349"/>
      <c r="T74" s="214"/>
      <c r="U74" s="214"/>
      <c r="V74" s="214"/>
      <c r="W74" s="214"/>
      <c r="X74" s="214"/>
      <c r="Y74" s="214"/>
      <c r="Z74" s="214"/>
      <c r="AA74" s="214"/>
      <c r="AB74" s="214"/>
      <c r="AC74" s="214"/>
      <c r="AD74" s="214"/>
      <c r="AN74" s="68"/>
      <c r="AO74" s="68"/>
      <c r="AP74" s="68"/>
      <c r="AQ74" s="68"/>
      <c r="AR74" s="68"/>
      <c r="AS74" s="68"/>
    </row>
    <row r="75" spans="1:45" ht="14.25" customHeight="1" thickBot="1" x14ac:dyDescent="0.3">
      <c r="A75" s="220"/>
      <c r="B75" s="2042"/>
      <c r="C75" s="2043"/>
      <c r="D75" s="2043"/>
      <c r="E75" s="2043"/>
      <c r="F75" s="2043"/>
      <c r="G75" s="2043"/>
      <c r="H75" s="2043"/>
      <c r="I75" s="2219"/>
      <c r="J75" s="2068"/>
      <c r="K75" s="2127"/>
      <c r="O75" s="72"/>
      <c r="T75" s="214"/>
      <c r="U75" s="214"/>
      <c r="V75" s="214"/>
      <c r="W75" s="214"/>
      <c r="X75" s="214"/>
      <c r="Y75" s="214"/>
      <c r="Z75" s="214"/>
      <c r="AA75" s="214"/>
      <c r="AB75" s="214"/>
      <c r="AC75" s="214"/>
      <c r="AD75" s="214"/>
      <c r="AN75" s="68"/>
      <c r="AO75" s="68"/>
      <c r="AP75" s="68"/>
      <c r="AQ75" s="68"/>
      <c r="AR75" s="68"/>
      <c r="AS75" s="68"/>
    </row>
    <row r="76" spans="1:45" ht="14.25" customHeight="1" x14ac:dyDescent="0.25">
      <c r="A76" s="220"/>
      <c r="B76" s="215"/>
      <c r="C76" s="215"/>
      <c r="D76" s="215"/>
      <c r="E76" s="215"/>
      <c r="F76" s="215"/>
      <c r="G76" s="215"/>
      <c r="H76" s="215"/>
      <c r="I76" s="288">
        <f>SUM(I8:I75)</f>
        <v>0</v>
      </c>
      <c r="J76" s="199"/>
      <c r="K76" s="199"/>
      <c r="L76" s="72">
        <f>IF(SUM(L8:L75)&gt;0,1,0)</f>
        <v>0</v>
      </c>
      <c r="M76" s="78"/>
      <c r="N76" s="149"/>
      <c r="O76" s="72"/>
      <c r="Z76" s="74"/>
      <c r="AA76" s="74"/>
      <c r="AB76" s="68"/>
      <c r="AN76" s="68"/>
      <c r="AO76" s="68"/>
      <c r="AP76" s="68"/>
      <c r="AQ76" s="68"/>
      <c r="AR76" s="68"/>
      <c r="AS76" s="68"/>
    </row>
    <row r="77" spans="1:45" ht="14.25" customHeight="1" x14ac:dyDescent="0.25">
      <c r="A77" s="221"/>
      <c r="B77" s="215"/>
      <c r="C77" s="215"/>
      <c r="D77" s="215"/>
      <c r="E77" s="215"/>
      <c r="F77" s="215"/>
      <c r="G77" s="215"/>
      <c r="H77" s="218"/>
      <c r="I77" s="216"/>
      <c r="J77" s="199"/>
      <c r="K77" s="199"/>
      <c r="M77" s="216"/>
      <c r="N77" s="171"/>
      <c r="Q77" s="48"/>
      <c r="Z77" s="74" t="e">
        <f>IF(#REF!="ja",AA77,0)</f>
        <v>#REF!</v>
      </c>
      <c r="AA77" s="74">
        <v>7.4999999999999997E-2</v>
      </c>
      <c r="AB77" s="192"/>
    </row>
    <row r="78" spans="1:45" ht="15" customHeight="1" x14ac:dyDescent="0.25">
      <c r="B78" s="327"/>
      <c r="C78" s="327"/>
      <c r="D78" s="327"/>
      <c r="E78" s="327"/>
      <c r="F78" s="327"/>
      <c r="G78" s="327"/>
      <c r="H78" s="327"/>
      <c r="I78" s="327"/>
      <c r="J78" s="327"/>
      <c r="K78" s="327"/>
      <c r="L78" s="503"/>
      <c r="M78" s="327"/>
      <c r="N78" s="327"/>
      <c r="O78" s="327"/>
      <c r="P78" s="327"/>
      <c r="Q78" s="327"/>
      <c r="R78" s="327"/>
      <c r="S78" s="327"/>
      <c r="T78" s="327"/>
      <c r="U78" s="327"/>
      <c r="V78" s="79"/>
      <c r="W78" s="80"/>
      <c r="X78" s="80"/>
    </row>
    <row r="79" spans="1:45" x14ac:dyDescent="0.25">
      <c r="A79" s="38" t="s">
        <v>139</v>
      </c>
      <c r="B79" s="40" t="str">
        <f>IF(B1=Y4,"Honorarvereinbarung für die zunächst beauftragten und für die optionalen Leistungen ","Honorarangebot für die zunächst beauftragten und für die optionalen Leistungen")</f>
        <v>Honorarangebot für die zunächst beauftragten und für die optionalen Leistungen</v>
      </c>
      <c r="T79" s="40"/>
      <c r="AD79" s="40"/>
    </row>
    <row r="80" spans="1:45" ht="14.55" thickBot="1" x14ac:dyDescent="0.3"/>
    <row r="81" spans="1:29" x14ac:dyDescent="0.25">
      <c r="B81" s="103"/>
      <c r="C81" s="104"/>
      <c r="D81" s="104"/>
      <c r="E81" s="104"/>
      <c r="F81" s="201"/>
      <c r="G81" s="259"/>
      <c r="H81" s="103"/>
      <c r="I81" s="46"/>
      <c r="J81" s="105"/>
    </row>
    <row r="82" spans="1:29" x14ac:dyDescent="0.25">
      <c r="B82" s="926" t="s">
        <v>819</v>
      </c>
      <c r="C82" s="927"/>
      <c r="D82" s="927"/>
      <c r="E82" s="927"/>
      <c r="F82" s="928"/>
      <c r="G82" s="260"/>
      <c r="H82" s="2085">
        <f>I76</f>
        <v>0</v>
      </c>
      <c r="I82" s="954"/>
      <c r="J82" s="955"/>
      <c r="K82" s="48"/>
      <c r="L82" s="96"/>
      <c r="M82" s="48"/>
    </row>
    <row r="83" spans="1:29" ht="14.55" thickBot="1" x14ac:dyDescent="0.3">
      <c r="B83" s="296"/>
      <c r="C83" s="297"/>
      <c r="D83" s="297"/>
      <c r="E83" s="297"/>
      <c r="F83" s="298"/>
      <c r="G83" s="261"/>
      <c r="H83" s="296"/>
      <c r="I83" s="202"/>
      <c r="J83" s="203"/>
    </row>
    <row r="84" spans="1:29" x14ac:dyDescent="0.25">
      <c r="B84" s="320"/>
      <c r="C84" s="321"/>
      <c r="D84" s="321"/>
      <c r="E84" s="321"/>
      <c r="F84" s="322"/>
      <c r="G84" s="262"/>
      <c r="H84" s="320"/>
      <c r="I84" s="46"/>
      <c r="J84" s="273"/>
      <c r="K84" s="268"/>
      <c r="L84" s="490"/>
      <c r="M84" s="268"/>
    </row>
    <row r="85" spans="1:29" ht="15" customHeight="1" x14ac:dyDescent="0.25">
      <c r="B85" s="255"/>
      <c r="C85" s="256"/>
      <c r="D85" s="256"/>
      <c r="E85" s="2217" t="s">
        <v>94</v>
      </c>
      <c r="F85" s="2218"/>
      <c r="G85" s="263">
        <f>Überblick!$G$98</f>
        <v>0.19</v>
      </c>
      <c r="H85" s="2086">
        <f>H82*G85</f>
        <v>0</v>
      </c>
      <c r="I85" s="2087"/>
      <c r="J85" s="2088"/>
      <c r="K85" s="48"/>
      <c r="L85" s="96"/>
      <c r="M85" s="48"/>
    </row>
    <row r="86" spans="1:29" ht="14.55" thickBot="1" x14ac:dyDescent="0.3">
      <c r="B86" s="305"/>
      <c r="C86" s="306"/>
      <c r="D86" s="306"/>
      <c r="E86" s="306"/>
      <c r="F86" s="307"/>
      <c r="G86" s="264"/>
      <c r="H86" s="323"/>
      <c r="I86" s="267"/>
      <c r="J86" s="300"/>
      <c r="K86" s="303"/>
      <c r="L86" s="807"/>
      <c r="M86" s="303"/>
    </row>
    <row r="87" spans="1:29" ht="15" customHeight="1" x14ac:dyDescent="0.25">
      <c r="B87" s="920" t="s">
        <v>281</v>
      </c>
      <c r="C87" s="921"/>
      <c r="D87" s="921"/>
      <c r="E87" s="921"/>
      <c r="F87" s="922"/>
      <c r="G87" s="265"/>
      <c r="H87" s="257"/>
      <c r="I87" s="258"/>
      <c r="J87" s="272"/>
      <c r="K87" s="271"/>
      <c r="L87" s="504"/>
      <c r="M87" s="269"/>
    </row>
    <row r="88" spans="1:29" ht="14.55" thickBot="1" x14ac:dyDescent="0.3">
      <c r="B88" s="923"/>
      <c r="C88" s="924"/>
      <c r="D88" s="924"/>
      <c r="E88" s="924"/>
      <c r="F88" s="925"/>
      <c r="G88" s="266"/>
      <c r="H88" s="2089">
        <f>H82+H85</f>
        <v>0</v>
      </c>
      <c r="I88" s="2090"/>
      <c r="J88" s="2091"/>
      <c r="K88" s="269"/>
      <c r="L88" s="505"/>
      <c r="M88" s="269"/>
    </row>
    <row r="90" spans="1:29" x14ac:dyDescent="0.25">
      <c r="A90" s="38" t="s">
        <v>144</v>
      </c>
      <c r="B90" s="60" t="str">
        <f>IF(B1=Y4,"Honorarvereinbarung für die zunächst beauftragenden Leistungen","Honorangebot für die zunächst beauftragenden Leistungen ")</f>
        <v xml:space="preserve">Honorangebot für die zunächst beauftragenden Leistungen </v>
      </c>
      <c r="C90" s="60"/>
      <c r="D90" s="60"/>
      <c r="E90" s="60"/>
      <c r="F90" s="65"/>
      <c r="G90" s="65"/>
      <c r="H90" s="65"/>
      <c r="I90" s="65"/>
      <c r="J90" s="65"/>
      <c r="K90" s="66"/>
      <c r="L90" s="399"/>
      <c r="M90" s="66"/>
      <c r="N90" s="66"/>
      <c r="O90" s="66"/>
      <c r="P90" s="66"/>
      <c r="Q90" s="66"/>
      <c r="R90" s="66"/>
      <c r="S90" s="67"/>
      <c r="T90" s="60"/>
      <c r="U90" s="67"/>
      <c r="V90" s="67"/>
      <c r="W90" s="67"/>
      <c r="X90" s="67"/>
      <c r="AC90" s="60"/>
    </row>
    <row r="91" spans="1:29" ht="14.55" thickBot="1" x14ac:dyDescent="0.3">
      <c r="B91" s="60"/>
      <c r="C91" s="60"/>
      <c r="D91" s="60"/>
      <c r="E91" s="60"/>
      <c r="F91" s="65"/>
      <c r="G91" s="65"/>
      <c r="H91" s="65"/>
      <c r="I91" s="65"/>
      <c r="J91" s="65"/>
      <c r="K91" s="66"/>
      <c r="L91" s="399"/>
      <c r="M91" s="66"/>
      <c r="N91" s="66"/>
      <c r="O91" s="66"/>
      <c r="P91" s="66"/>
      <c r="Q91" s="66"/>
      <c r="R91" s="66"/>
      <c r="S91" s="67"/>
      <c r="T91" s="67"/>
      <c r="U91" s="67"/>
      <c r="V91" s="67"/>
      <c r="W91" s="67"/>
      <c r="X91" s="67"/>
    </row>
    <row r="92" spans="1:29" x14ac:dyDescent="0.25">
      <c r="B92" s="103"/>
      <c r="C92" s="104"/>
      <c r="D92" s="104"/>
      <c r="E92" s="104"/>
      <c r="F92" s="201"/>
      <c r="G92" s="259"/>
      <c r="H92" s="103"/>
      <c r="I92" s="46"/>
      <c r="J92" s="105"/>
      <c r="K92" s="270"/>
      <c r="L92" s="96"/>
      <c r="M92" s="48"/>
      <c r="N92" s="66"/>
      <c r="O92" s="66"/>
      <c r="P92" s="66"/>
      <c r="Q92" s="66"/>
      <c r="R92" s="66"/>
      <c r="S92" s="67"/>
      <c r="T92" s="67"/>
      <c r="U92" s="67"/>
      <c r="V92" s="67"/>
      <c r="W92" s="67"/>
      <c r="X92" s="67"/>
    </row>
    <row r="93" spans="1:29" x14ac:dyDescent="0.25">
      <c r="B93" s="926" t="s">
        <v>819</v>
      </c>
      <c r="C93" s="927"/>
      <c r="D93" s="927"/>
      <c r="E93" s="927"/>
      <c r="F93" s="928"/>
      <c r="G93" s="274"/>
      <c r="H93" s="2085">
        <f>'Berechnung Auftragsänderung'!H25</f>
        <v>0</v>
      </c>
      <c r="I93" s="954"/>
      <c r="J93" s="955"/>
      <c r="K93" s="270"/>
      <c r="L93" s="96"/>
      <c r="M93" s="48"/>
      <c r="N93" s="66"/>
      <c r="O93" s="66"/>
      <c r="P93" s="66"/>
      <c r="Q93" s="66"/>
      <c r="R93" s="66"/>
      <c r="S93" s="67"/>
      <c r="T93" s="67"/>
      <c r="U93" s="67"/>
      <c r="V93" s="67"/>
      <c r="W93" s="67"/>
      <c r="X93" s="67"/>
    </row>
    <row r="94" spans="1:29" ht="14.55" thickBot="1" x14ac:dyDescent="0.3">
      <c r="B94" s="291"/>
      <c r="C94" s="202"/>
      <c r="D94" s="202"/>
      <c r="E94" s="202"/>
      <c r="F94" s="203"/>
      <c r="G94" s="275"/>
      <c r="H94" s="296"/>
      <c r="I94" s="202"/>
      <c r="J94" s="203"/>
      <c r="K94" s="270"/>
      <c r="L94" s="96"/>
      <c r="M94" s="48"/>
      <c r="N94" s="66"/>
      <c r="O94" s="66"/>
      <c r="P94" s="66"/>
      <c r="Q94" s="66"/>
      <c r="R94" s="66"/>
      <c r="S94" s="67"/>
      <c r="T94" s="67"/>
      <c r="U94" s="67"/>
      <c r="V94" s="67"/>
      <c r="W94" s="67"/>
      <c r="X94" s="67"/>
    </row>
    <row r="95" spans="1:29" x14ac:dyDescent="0.25">
      <c r="B95" s="90"/>
      <c r="C95" s="91"/>
      <c r="D95" s="91"/>
      <c r="E95" s="91"/>
      <c r="F95" s="92"/>
      <c r="G95" s="274"/>
      <c r="H95" s="320"/>
      <c r="I95" s="46"/>
      <c r="J95" s="273"/>
      <c r="K95" s="270"/>
      <c r="L95" s="96"/>
      <c r="M95" s="48"/>
      <c r="N95" s="66"/>
      <c r="O95" s="66"/>
      <c r="P95" s="66"/>
      <c r="Q95" s="66"/>
      <c r="R95" s="66"/>
      <c r="S95" s="67"/>
      <c r="T95" s="67"/>
      <c r="U95" s="67"/>
      <c r="V95" s="67"/>
      <c r="W95" s="67"/>
      <c r="X95" s="67"/>
    </row>
    <row r="96" spans="1:29" x14ac:dyDescent="0.25">
      <c r="B96" s="917" t="s">
        <v>94</v>
      </c>
      <c r="C96" s="918"/>
      <c r="D96" s="918"/>
      <c r="E96" s="918"/>
      <c r="F96" s="919"/>
      <c r="G96" s="276">
        <f>G85</f>
        <v>0.19</v>
      </c>
      <c r="H96" s="2086">
        <f>H93*G96</f>
        <v>0</v>
      </c>
      <c r="I96" s="2087"/>
      <c r="J96" s="2088"/>
      <c r="K96" s="270"/>
      <c r="L96" s="96"/>
      <c r="M96" s="48"/>
      <c r="N96" s="66"/>
      <c r="O96" s="66"/>
      <c r="P96" s="66"/>
      <c r="Q96" s="66"/>
      <c r="R96" s="66"/>
      <c r="S96" s="67"/>
      <c r="T96" s="67"/>
      <c r="U96" s="67"/>
      <c r="V96" s="67"/>
      <c r="W96" s="67"/>
      <c r="X96" s="67"/>
    </row>
    <row r="97" spans="1:24" ht="14.55" thickBot="1" x14ac:dyDescent="0.3">
      <c r="B97" s="305"/>
      <c r="C97" s="306"/>
      <c r="D97" s="306"/>
      <c r="E97" s="306"/>
      <c r="F97" s="307"/>
      <c r="G97" s="264"/>
      <c r="H97" s="323"/>
      <c r="I97" s="267"/>
      <c r="J97" s="300"/>
      <c r="K97" s="270"/>
      <c r="L97" s="96"/>
      <c r="M97" s="48"/>
      <c r="N97" s="66"/>
      <c r="O97" s="66"/>
      <c r="P97" s="66"/>
      <c r="Q97" s="66"/>
      <c r="R97" s="66"/>
      <c r="S97" s="67"/>
      <c r="T97" s="67"/>
      <c r="U97" s="67"/>
      <c r="V97" s="67"/>
      <c r="W97" s="67"/>
      <c r="X97" s="67"/>
    </row>
    <row r="98" spans="1:24" x14ac:dyDescent="0.25">
      <c r="B98" s="920" t="s">
        <v>98</v>
      </c>
      <c r="C98" s="921"/>
      <c r="D98" s="921"/>
      <c r="E98" s="921"/>
      <c r="F98" s="922"/>
      <c r="G98" s="277"/>
      <c r="H98" s="257"/>
      <c r="I98" s="258"/>
      <c r="J98" s="272"/>
      <c r="K98" s="270"/>
      <c r="L98" s="96"/>
      <c r="M98" s="48"/>
      <c r="N98" s="66"/>
      <c r="O98" s="66"/>
      <c r="P98" s="66"/>
      <c r="Q98" s="66"/>
      <c r="R98" s="66"/>
      <c r="S98" s="67"/>
      <c r="T98" s="67"/>
      <c r="U98" s="67"/>
      <c r="V98" s="67"/>
      <c r="W98" s="67"/>
      <c r="X98" s="67"/>
    </row>
    <row r="99" spans="1:24" ht="14.55" thickBot="1" x14ac:dyDescent="0.3">
      <c r="B99" s="923"/>
      <c r="C99" s="924"/>
      <c r="D99" s="924"/>
      <c r="E99" s="924"/>
      <c r="F99" s="925"/>
      <c r="G99" s="278"/>
      <c r="H99" s="2089">
        <f>H93+H96</f>
        <v>0</v>
      </c>
      <c r="I99" s="2090"/>
      <c r="J99" s="2091"/>
      <c r="K99" s="270"/>
      <c r="L99" s="96"/>
      <c r="M99" s="48"/>
      <c r="N99" s="66"/>
      <c r="O99" s="66"/>
      <c r="P99" s="66"/>
      <c r="Q99" s="66"/>
      <c r="R99" s="66"/>
      <c r="S99" s="67"/>
      <c r="T99" s="67"/>
      <c r="U99" s="67"/>
      <c r="V99" s="67"/>
      <c r="W99" s="67"/>
      <c r="X99" s="67"/>
    </row>
    <row r="100" spans="1:24" x14ac:dyDescent="0.25">
      <c r="B100" s="60"/>
      <c r="C100" s="60"/>
      <c r="D100" s="60"/>
      <c r="E100" s="60"/>
      <c r="F100" s="65"/>
      <c r="G100" s="65"/>
      <c r="H100" s="65"/>
      <c r="I100" s="65"/>
      <c r="J100" s="65"/>
      <c r="K100" s="66"/>
      <c r="L100" s="399"/>
      <c r="M100" s="66"/>
      <c r="N100" s="66"/>
      <c r="O100" s="66"/>
      <c r="P100" s="66"/>
      <c r="Q100" s="66"/>
      <c r="R100" s="66"/>
      <c r="S100" s="67"/>
      <c r="T100" s="67"/>
      <c r="U100" s="67"/>
      <c r="V100" s="67"/>
      <c r="W100" s="67"/>
      <c r="X100" s="67"/>
    </row>
    <row r="101" spans="1:24" x14ac:dyDescent="0.25">
      <c r="A101" s="38" t="s">
        <v>279</v>
      </c>
      <c r="B101" s="40" t="str">
        <f>IF(B1=Y4,"Gemäß der Honorarvereinbarung werden die Stufen wie folgt vergütet (netto): ","Gemäß des Honorarangebotes werden die Stufen wie folgt vergütet (netto): ")</f>
        <v xml:space="preserve">Gemäß des Honorarangebotes werden die Stufen wie folgt vergütet (netto): </v>
      </c>
      <c r="C101" s="40"/>
      <c r="D101" s="40"/>
      <c r="E101" s="40"/>
      <c r="F101" s="40"/>
      <c r="G101" s="40"/>
      <c r="H101" s="40"/>
      <c r="I101" s="40"/>
      <c r="J101" s="40"/>
      <c r="K101" s="40"/>
      <c r="L101" s="151"/>
      <c r="M101" s="40"/>
      <c r="N101" s="40"/>
      <c r="O101" s="60"/>
      <c r="P101" s="66"/>
      <c r="Q101" s="66"/>
      <c r="R101" s="40"/>
      <c r="S101" s="67"/>
      <c r="T101" s="67"/>
      <c r="U101" s="67"/>
      <c r="V101" s="67"/>
      <c r="W101" s="67"/>
      <c r="X101" s="67"/>
    </row>
    <row r="102" spans="1:24" ht="14.55" thickBot="1" x14ac:dyDescent="0.3">
      <c r="B102" s="60"/>
      <c r="C102" s="60"/>
      <c r="D102" s="60"/>
      <c r="E102" s="60"/>
      <c r="F102" s="65"/>
      <c r="G102" s="65"/>
      <c r="H102" s="65"/>
      <c r="I102" s="65"/>
      <c r="J102" s="65"/>
      <c r="K102" s="66"/>
      <c r="L102" s="399"/>
      <c r="M102" s="66"/>
      <c r="N102" s="66"/>
      <c r="O102" s="66"/>
      <c r="P102" s="66"/>
      <c r="Q102" s="66"/>
      <c r="R102" s="40"/>
      <c r="S102" s="67"/>
      <c r="T102" s="67"/>
      <c r="U102" s="67"/>
      <c r="V102" s="67"/>
      <c r="W102" s="67"/>
      <c r="X102" s="67"/>
    </row>
    <row r="103" spans="1:24" x14ac:dyDescent="0.25">
      <c r="B103" s="1707" t="s">
        <v>105</v>
      </c>
      <c r="C103" s="2081" t="s">
        <v>459</v>
      </c>
      <c r="D103" s="1715"/>
      <c r="E103" s="60"/>
      <c r="F103" s="65"/>
      <c r="G103" s="65"/>
      <c r="H103" s="65"/>
      <c r="I103" s="65"/>
      <c r="J103" s="65"/>
      <c r="K103" s="66"/>
      <c r="L103" s="399"/>
      <c r="M103" s="66"/>
      <c r="N103" s="66"/>
      <c r="O103" s="66"/>
      <c r="P103" s="66"/>
      <c r="Q103" s="66"/>
      <c r="R103" s="40"/>
      <c r="S103" s="67"/>
      <c r="T103" s="67"/>
      <c r="U103" s="67"/>
      <c r="V103" s="67"/>
      <c r="W103" s="67"/>
      <c r="X103" s="67"/>
    </row>
    <row r="104" spans="1:24" ht="15.95" customHeight="1" thickBot="1" x14ac:dyDescent="0.3">
      <c r="B104" s="1711"/>
      <c r="C104" s="2082"/>
      <c r="D104" s="1718"/>
      <c r="E104" s="247"/>
      <c r="F104" s="247"/>
      <c r="G104" s="247"/>
      <c r="H104" s="247"/>
      <c r="I104" s="248"/>
      <c r="J104" s="248"/>
      <c r="K104" s="204"/>
      <c r="L104" s="462"/>
      <c r="M104" s="204"/>
      <c r="N104" s="204"/>
      <c r="O104" s="204"/>
      <c r="P104" s="204"/>
      <c r="Q104" s="204"/>
      <c r="R104" s="204"/>
      <c r="S104" s="205"/>
      <c r="T104" s="67"/>
      <c r="U104" s="67"/>
      <c r="V104" s="67"/>
      <c r="W104" s="67"/>
      <c r="X104" s="67"/>
    </row>
    <row r="105" spans="1:24" x14ac:dyDescent="0.25">
      <c r="A105" s="42"/>
      <c r="B105" s="173" t="str">
        <f>IF(Überblick!$H$53&gt;=1,"1:",0)</f>
        <v>1:</v>
      </c>
      <c r="C105" s="2080">
        <f>'Berechnung Auftragsänderung'!M72</f>
        <v>0</v>
      </c>
      <c r="D105" s="2080"/>
      <c r="E105" s="177"/>
      <c r="F105" s="177"/>
      <c r="G105" s="177"/>
      <c r="H105" s="177"/>
      <c r="I105" s="177"/>
      <c r="J105" s="177"/>
      <c r="K105" s="177"/>
      <c r="L105" s="177"/>
      <c r="M105" s="177"/>
      <c r="N105" s="177"/>
      <c r="O105" s="177"/>
      <c r="P105" s="177"/>
      <c r="Q105" s="177"/>
      <c r="R105" s="177"/>
      <c r="S105" s="177"/>
      <c r="T105" s="96">
        <f>SUM(C105:S105)</f>
        <v>0</v>
      </c>
      <c r="V105" s="63"/>
      <c r="W105" s="63"/>
      <c r="X105" s="63"/>
    </row>
    <row r="106" spans="1:24" ht="15.95" customHeight="1" x14ac:dyDescent="0.25">
      <c r="A106" s="42"/>
      <c r="B106" s="173" t="str">
        <f>IF(Überblick!$H$53&gt;=2,"2:",0)</f>
        <v>2:</v>
      </c>
      <c r="C106" s="2080">
        <f>'Berechnung Auftragsänderung'!M73</f>
        <v>0</v>
      </c>
      <c r="D106" s="2080"/>
      <c r="E106" s="177"/>
      <c r="F106" s="177"/>
      <c r="G106" s="177"/>
      <c r="H106" s="177"/>
      <c r="I106" s="177"/>
      <c r="J106" s="177"/>
      <c r="K106" s="177"/>
      <c r="L106" s="177"/>
      <c r="M106" s="177"/>
      <c r="N106" s="177"/>
      <c r="O106" s="177"/>
      <c r="P106" s="177"/>
      <c r="Q106" s="177"/>
      <c r="R106" s="177"/>
      <c r="S106" s="177"/>
      <c r="T106" s="96">
        <f t="shared" ref="T106:T112" si="0">SUM(C106:S106)</f>
        <v>0</v>
      </c>
    </row>
    <row r="107" spans="1:24" x14ac:dyDescent="0.25">
      <c r="A107" s="40"/>
      <c r="B107" s="173" t="str">
        <f>IF(Überblick!$H$53&gt;=3,"3:",0)</f>
        <v>3:</v>
      </c>
      <c r="C107" s="2080">
        <f>'Berechnung Auftragsänderung'!M74</f>
        <v>0</v>
      </c>
      <c r="D107" s="2080"/>
      <c r="E107" s="177"/>
      <c r="F107" s="177"/>
      <c r="G107" s="177"/>
      <c r="H107" s="177"/>
      <c r="I107" s="177"/>
      <c r="J107" s="177"/>
      <c r="K107" s="177"/>
      <c r="L107" s="177"/>
      <c r="M107" s="177"/>
      <c r="N107" s="177"/>
      <c r="O107" s="177"/>
      <c r="P107" s="177"/>
      <c r="Q107" s="177"/>
      <c r="R107" s="177"/>
      <c r="S107" s="177"/>
      <c r="T107" s="96">
        <f t="shared" si="0"/>
        <v>0</v>
      </c>
    </row>
    <row r="108" spans="1:24" x14ac:dyDescent="0.25">
      <c r="B108" s="173" t="str">
        <f>IF(Überblick!$H$53&gt;=4,"4:",0)</f>
        <v>4:</v>
      </c>
      <c r="C108" s="2080">
        <f>'Berechnung Auftragsänderung'!M75</f>
        <v>0</v>
      </c>
      <c r="D108" s="2080"/>
      <c r="E108" s="177"/>
      <c r="F108" s="177"/>
      <c r="G108" s="177"/>
      <c r="H108" s="177"/>
      <c r="I108" s="177"/>
      <c r="J108" s="177"/>
      <c r="K108" s="177"/>
      <c r="L108" s="177"/>
      <c r="M108" s="177"/>
      <c r="N108" s="177"/>
      <c r="O108" s="177"/>
      <c r="P108" s="177"/>
      <c r="Q108" s="177"/>
      <c r="R108" s="177"/>
      <c r="S108" s="177"/>
      <c r="T108" s="96">
        <f t="shared" si="0"/>
        <v>0</v>
      </c>
    </row>
    <row r="109" spans="1:24" x14ac:dyDescent="0.25">
      <c r="B109" s="173" t="str">
        <f>IF(Überblick!$H$53&gt;=5,"5:",0)</f>
        <v>5:</v>
      </c>
      <c r="C109" s="2080">
        <f>'Berechnung Auftragsänderung'!M76</f>
        <v>0</v>
      </c>
      <c r="D109" s="2080"/>
      <c r="E109" s="177"/>
      <c r="F109" s="177"/>
      <c r="G109" s="177"/>
      <c r="H109" s="177"/>
      <c r="I109" s="177"/>
      <c r="J109" s="177"/>
      <c r="K109" s="177"/>
      <c r="L109" s="177"/>
      <c r="M109" s="177"/>
      <c r="N109" s="177"/>
      <c r="O109" s="177"/>
      <c r="P109" s="177"/>
      <c r="Q109" s="177"/>
      <c r="R109" s="177"/>
      <c r="S109" s="177"/>
      <c r="T109" s="96">
        <f t="shared" si="0"/>
        <v>0</v>
      </c>
    </row>
    <row r="110" spans="1:24" ht="15.95" customHeight="1" x14ac:dyDescent="0.25">
      <c r="B110" s="173" t="str">
        <f>IF(Überblick!$H$53&gt;=6,"6:",0)</f>
        <v>6:</v>
      </c>
      <c r="C110" s="2080">
        <f>'Berechnung Auftragsänderung'!M77</f>
        <v>0</v>
      </c>
      <c r="D110" s="2080"/>
      <c r="E110" s="177"/>
      <c r="F110" s="177"/>
      <c r="G110" s="177"/>
      <c r="H110" s="177"/>
      <c r="I110" s="177"/>
      <c r="J110" s="177"/>
      <c r="K110" s="177"/>
      <c r="L110" s="177"/>
      <c r="M110" s="177"/>
      <c r="N110" s="177"/>
      <c r="O110" s="177"/>
      <c r="P110" s="177"/>
      <c r="Q110" s="177"/>
      <c r="R110" s="177"/>
      <c r="S110" s="177"/>
      <c r="T110" s="96">
        <f t="shared" si="0"/>
        <v>0</v>
      </c>
    </row>
    <row r="111" spans="1:24" x14ac:dyDescent="0.25">
      <c r="B111" s="173">
        <f>IF(Überblick!$H$53&gt;=7,"7:",0)</f>
        <v>0</v>
      </c>
      <c r="C111" s="2080">
        <f>'Berechnung Auftragsänderung'!M78</f>
        <v>0</v>
      </c>
      <c r="D111" s="2080"/>
      <c r="E111" s="177"/>
      <c r="F111" s="177"/>
      <c r="G111" s="177"/>
      <c r="H111" s="177"/>
      <c r="I111" s="177"/>
      <c r="J111" s="177"/>
      <c r="K111" s="177"/>
      <c r="L111" s="177"/>
      <c r="M111" s="177"/>
      <c r="N111" s="177"/>
      <c r="O111" s="177"/>
      <c r="P111" s="177"/>
      <c r="Q111" s="177"/>
      <c r="R111" s="177"/>
      <c r="S111" s="177"/>
      <c r="T111" s="96">
        <f t="shared" si="0"/>
        <v>0</v>
      </c>
    </row>
    <row r="112" spans="1:24" ht="15" customHeight="1" x14ac:dyDescent="0.25">
      <c r="B112" s="173">
        <f>IF(Überblick!$H$53&gt;=8,"8:",0)</f>
        <v>0</v>
      </c>
      <c r="C112" s="2080">
        <f>'Berechnung Auftragsänderung'!M79</f>
        <v>0</v>
      </c>
      <c r="D112" s="2080"/>
      <c r="E112" s="177"/>
      <c r="F112" s="177"/>
      <c r="G112" s="177"/>
      <c r="H112" s="177"/>
      <c r="I112" s="177"/>
      <c r="J112" s="177"/>
      <c r="K112" s="177"/>
      <c r="L112" s="177"/>
      <c r="M112" s="177"/>
      <c r="N112" s="177"/>
      <c r="O112" s="177"/>
      <c r="P112" s="177"/>
      <c r="Q112" s="177"/>
      <c r="R112" s="177"/>
      <c r="S112" s="177"/>
      <c r="T112" s="96">
        <f t="shared" si="0"/>
        <v>0</v>
      </c>
    </row>
    <row r="113" spans="2:20" x14ac:dyDescent="0.25">
      <c r="B113" s="173">
        <f>IF(Überblick!$H$53&gt;=9,"9:",0)</f>
        <v>0</v>
      </c>
      <c r="C113" s="2080">
        <f>'Berechnung Auftragsänderung'!M80</f>
        <v>0</v>
      </c>
      <c r="D113" s="2080"/>
      <c r="T113" s="96"/>
    </row>
    <row r="114" spans="2:20" ht="14.25" customHeight="1" x14ac:dyDescent="0.25">
      <c r="T114" s="96"/>
    </row>
    <row r="115" spans="2:20" x14ac:dyDescent="0.25">
      <c r="T115" s="96"/>
    </row>
    <row r="116" spans="2:20" x14ac:dyDescent="0.25">
      <c r="T116" s="96"/>
    </row>
    <row r="117" spans="2:20" x14ac:dyDescent="0.25">
      <c r="T117" s="96"/>
    </row>
  </sheetData>
  <sheetProtection algorithmName="SHA-512" hashValue="zSl4kPBKUYRI1MmxBCJ8WQSTvIIyFJBcQajtTxYHFB5/mbL3eVaEzTiVt05NZNpg2AVnZg3gYXuehP3t/jZGSw==" saltValue="IAiBjtosWAJMysfOhBiYgA==" spinCount="100000" sheet="1" objects="1" scenarios="1"/>
  <mergeCells count="167">
    <mergeCell ref="K2:M2"/>
    <mergeCell ref="K3:M3"/>
    <mergeCell ref="K4:M4"/>
    <mergeCell ref="L1:M1"/>
    <mergeCell ref="B93:F93"/>
    <mergeCell ref="H93:J93"/>
    <mergeCell ref="B96:F96"/>
    <mergeCell ref="H96:J96"/>
    <mergeCell ref="B98:F99"/>
    <mergeCell ref="H99:J99"/>
    <mergeCell ref="B82:F82"/>
    <mergeCell ref="H82:J82"/>
    <mergeCell ref="E85:F85"/>
    <mergeCell ref="H85:J85"/>
    <mergeCell ref="B87:F88"/>
    <mergeCell ref="H88:J88"/>
    <mergeCell ref="K72:K73"/>
    <mergeCell ref="B74:H75"/>
    <mergeCell ref="I74:I75"/>
    <mergeCell ref="J74:J75"/>
    <mergeCell ref="K74:K75"/>
    <mergeCell ref="B72:H73"/>
    <mergeCell ref="K68:K69"/>
    <mergeCell ref="B70:H71"/>
    <mergeCell ref="C110:D110"/>
    <mergeCell ref="C111:D111"/>
    <mergeCell ref="C112:D112"/>
    <mergeCell ref="B103:B104"/>
    <mergeCell ref="C103:D104"/>
    <mergeCell ref="C105:D105"/>
    <mergeCell ref="C106:D106"/>
    <mergeCell ref="C107:D107"/>
    <mergeCell ref="C108:D108"/>
    <mergeCell ref="C109:D109"/>
    <mergeCell ref="J68:J69"/>
    <mergeCell ref="I68:I69"/>
    <mergeCell ref="B68:H69"/>
    <mergeCell ref="J72:J73"/>
    <mergeCell ref="I72:I73"/>
    <mergeCell ref="K64:K65"/>
    <mergeCell ref="B66:H67"/>
    <mergeCell ref="I66:I67"/>
    <mergeCell ref="J66:J67"/>
    <mergeCell ref="K66:K67"/>
    <mergeCell ref="B64:H65"/>
    <mergeCell ref="I70:I71"/>
    <mergeCell ref="J70:J71"/>
    <mergeCell ref="K70:K71"/>
    <mergeCell ref="K60:K61"/>
    <mergeCell ref="B62:H63"/>
    <mergeCell ref="I62:I63"/>
    <mergeCell ref="J62:J63"/>
    <mergeCell ref="K62:K63"/>
    <mergeCell ref="J60:J61"/>
    <mergeCell ref="I60:I61"/>
    <mergeCell ref="B60:H61"/>
    <mergeCell ref="J64:J65"/>
    <mergeCell ref="I64:I65"/>
    <mergeCell ref="K56:K57"/>
    <mergeCell ref="B58:H59"/>
    <mergeCell ref="I58:I59"/>
    <mergeCell ref="J58:J59"/>
    <mergeCell ref="K58:K59"/>
    <mergeCell ref="B56:H57"/>
    <mergeCell ref="K52:K53"/>
    <mergeCell ref="B54:H55"/>
    <mergeCell ref="I54:I55"/>
    <mergeCell ref="J54:J55"/>
    <mergeCell ref="K54:K55"/>
    <mergeCell ref="J52:J53"/>
    <mergeCell ref="I52:I53"/>
    <mergeCell ref="B52:H53"/>
    <mergeCell ref="J56:J57"/>
    <mergeCell ref="I56:I57"/>
    <mergeCell ref="K48:K49"/>
    <mergeCell ref="B50:H51"/>
    <mergeCell ref="I50:I51"/>
    <mergeCell ref="J50:J51"/>
    <mergeCell ref="K50:K51"/>
    <mergeCell ref="B48:H49"/>
    <mergeCell ref="K44:K45"/>
    <mergeCell ref="B46:H47"/>
    <mergeCell ref="I46:I47"/>
    <mergeCell ref="J46:J47"/>
    <mergeCell ref="K46:K47"/>
    <mergeCell ref="J44:J45"/>
    <mergeCell ref="I44:I45"/>
    <mergeCell ref="B44:H45"/>
    <mergeCell ref="J48:J49"/>
    <mergeCell ref="I48:I49"/>
    <mergeCell ref="K42:K43"/>
    <mergeCell ref="B42:H43"/>
    <mergeCell ref="K38:K39"/>
    <mergeCell ref="B40:H41"/>
    <mergeCell ref="I40:I41"/>
    <mergeCell ref="J40:J41"/>
    <mergeCell ref="K40:K41"/>
    <mergeCell ref="J38:J39"/>
    <mergeCell ref="I38:I39"/>
    <mergeCell ref="B38:H39"/>
    <mergeCell ref="J42:J43"/>
    <mergeCell ref="I42:I43"/>
    <mergeCell ref="K34:K35"/>
    <mergeCell ref="B36:H37"/>
    <mergeCell ref="I36:I37"/>
    <mergeCell ref="J36:J37"/>
    <mergeCell ref="K36:K37"/>
    <mergeCell ref="B34:H35"/>
    <mergeCell ref="K30:K31"/>
    <mergeCell ref="B32:H33"/>
    <mergeCell ref="I32:I33"/>
    <mergeCell ref="J32:J33"/>
    <mergeCell ref="K32:K33"/>
    <mergeCell ref="J30:J31"/>
    <mergeCell ref="I30:I31"/>
    <mergeCell ref="B30:H31"/>
    <mergeCell ref="J34:J35"/>
    <mergeCell ref="I34:I35"/>
    <mergeCell ref="K26:K27"/>
    <mergeCell ref="B28:H29"/>
    <mergeCell ref="I28:I29"/>
    <mergeCell ref="J28:J29"/>
    <mergeCell ref="K28:K29"/>
    <mergeCell ref="B26:H27"/>
    <mergeCell ref="K22:K23"/>
    <mergeCell ref="B24:H25"/>
    <mergeCell ref="I24:I25"/>
    <mergeCell ref="J24:J25"/>
    <mergeCell ref="K24:K25"/>
    <mergeCell ref="J22:J23"/>
    <mergeCell ref="I22:I23"/>
    <mergeCell ref="B22:H23"/>
    <mergeCell ref="J26:J27"/>
    <mergeCell ref="I26:I27"/>
    <mergeCell ref="B16:H17"/>
    <mergeCell ref="I16:I17"/>
    <mergeCell ref="J16:J17"/>
    <mergeCell ref="K16:K17"/>
    <mergeCell ref="J14:J15"/>
    <mergeCell ref="I14:I15"/>
    <mergeCell ref="B14:H15"/>
    <mergeCell ref="J18:J19"/>
    <mergeCell ref="I18:I19"/>
    <mergeCell ref="C113:D113"/>
    <mergeCell ref="K10:K11"/>
    <mergeCell ref="B12:H13"/>
    <mergeCell ref="I12:I13"/>
    <mergeCell ref="J12:J13"/>
    <mergeCell ref="K12:K13"/>
    <mergeCell ref="B10:H11"/>
    <mergeCell ref="K5:K7"/>
    <mergeCell ref="B8:H9"/>
    <mergeCell ref="I8:I9"/>
    <mergeCell ref="J8:J9"/>
    <mergeCell ref="K8:K9"/>
    <mergeCell ref="J5:J7"/>
    <mergeCell ref="I5:I7"/>
    <mergeCell ref="B5:H7"/>
    <mergeCell ref="J10:J11"/>
    <mergeCell ref="I10:I11"/>
    <mergeCell ref="K18:K19"/>
    <mergeCell ref="B20:H21"/>
    <mergeCell ref="I20:I21"/>
    <mergeCell ref="J20:J21"/>
    <mergeCell ref="K20:K21"/>
    <mergeCell ref="B18:H19"/>
    <mergeCell ref="K14:K15"/>
  </mergeCells>
  <conditionalFormatting sqref="M76">
    <cfRule type="cellIs" dxfId="8" priority="139" operator="equal">
      <formula>"ja"</formula>
    </cfRule>
  </conditionalFormatting>
  <conditionalFormatting sqref="M77">
    <cfRule type="cellIs" dxfId="7" priority="137" operator="equal">
      <formula>#REF!</formula>
    </cfRule>
  </conditionalFormatting>
  <conditionalFormatting sqref="J10 J12 J14 J16 J18 J20 J22 J24 J26 J28 J30 J32 J34 J36 J38 J40 J42 J44 J46 J48 J50 J52 J54 J56 J58 J60 J62 J64 J66 J68 J70 J72 J74">
    <cfRule type="expression" dxfId="6" priority="140">
      <formula>J10="JA"</formula>
    </cfRule>
  </conditionalFormatting>
  <conditionalFormatting sqref="B105:B113">
    <cfRule type="cellIs" dxfId="5" priority="136" operator="greaterThan">
      <formula>0</formula>
    </cfRule>
  </conditionalFormatting>
  <conditionalFormatting sqref="C105:D113">
    <cfRule type="cellIs" dxfId="4" priority="134" operator="greaterThan">
      <formula>0</formula>
    </cfRule>
    <cfRule type="expression" dxfId="3" priority="135">
      <formula>$B105&gt;=1</formula>
    </cfRule>
  </conditionalFormatting>
  <conditionalFormatting sqref="J76">
    <cfRule type="expression" dxfId="2" priority="133">
      <formula>I76="ja"</formula>
    </cfRule>
  </conditionalFormatting>
  <conditionalFormatting sqref="J8">
    <cfRule type="expression" dxfId="1" priority="1">
      <formula>J8="JA"</formula>
    </cfRule>
  </conditionalFormatting>
  <dataValidations count="1">
    <dataValidation type="list" allowBlank="1" showInputMessage="1" showErrorMessage="1" sqref="M76:M77" xr:uid="{B8DF874C-ED9C-47C6-ABFB-6D3FD6AD3E73}">
      <formula1>#REF!</formula1>
    </dataValidation>
  </dataValidations>
  <pageMargins left="0.25" right="0.25" top="0.75" bottom="0.75" header="0.3" footer="0.3"/>
  <pageSetup paperSize="9" scale="50" fitToHeight="0" orientation="portrait" r:id="rId1"/>
  <headerFooter>
    <oddFooter>&amp;LVersions-Nr.: 29.08.2016&amp;CDruckdatum: &amp;D&amp;RSeite &amp;P von &amp;N</oddFooter>
  </headerFooter>
  <rowBreaks count="1" manualBreakCount="1">
    <brk id="10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5E31FFC-222F-4BBA-B8A0-EC4AA060F497}">
          <x14:formula1>
            <xm:f>'Berechnung - Hochbau'!$B$131:$B$138</xm:f>
          </x14:formula1>
          <xm:sqref>N76:N77</xm:sqref>
        </x14:dataValidation>
        <x14:dataValidation type="list" allowBlank="1" showInputMessage="1" showErrorMessage="1" xr:uid="{9DAC13B0-9B16-423F-89C0-AC737519F31A}">
          <x14:formula1>
            <xm:f>'Berechnung - Hochbau'!$B$131:$B$140</xm:f>
          </x14:formula1>
          <xm:sqref>K8:K75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B050"/>
  </sheetPr>
  <dimension ref="A2:XFD606"/>
  <sheetViews>
    <sheetView workbookViewId="0"/>
  </sheetViews>
  <sheetFormatPr baseColWidth="10" defaultColWidth="11.44140625" defaultRowHeight="13.9" x14ac:dyDescent="0.25"/>
  <cols>
    <col min="1" max="1" width="3.21875" style="641" customWidth="1"/>
    <col min="2" max="2" width="30.44140625" style="641" customWidth="1"/>
    <col min="3" max="3" width="14.21875" style="641" bestFit="1" customWidth="1"/>
    <col min="4" max="5" width="15.77734375" style="641" customWidth="1"/>
    <col min="6" max="6" width="11.77734375" style="641" bestFit="1" customWidth="1"/>
    <col min="7" max="7" width="17" style="641" customWidth="1"/>
    <col min="8" max="8" width="15.77734375" style="641" customWidth="1"/>
    <col min="9" max="9" width="15.77734375" style="641" bestFit="1" customWidth="1"/>
    <col min="10" max="11" width="15.77734375" style="641" customWidth="1"/>
    <col min="12" max="12" width="13" style="641" bestFit="1" customWidth="1"/>
    <col min="13" max="13" width="18.77734375" style="641" customWidth="1"/>
    <col min="14" max="14" width="15.77734375" style="641" customWidth="1"/>
    <col min="15" max="15" width="11.77734375" style="641" bestFit="1" customWidth="1"/>
    <col min="16" max="17" width="15.77734375" style="641" customWidth="1"/>
    <col min="18" max="19" width="11.44140625" style="641"/>
    <col min="20" max="20" width="49" style="641" bestFit="1" customWidth="1"/>
    <col min="21" max="21" width="27.44140625" style="641" bestFit="1" customWidth="1"/>
    <col min="22" max="22" width="98.77734375" style="641" customWidth="1"/>
    <col min="23" max="16384" width="11.44140625" style="641"/>
  </cols>
  <sheetData>
    <row r="2" spans="1:17" x14ac:dyDescent="0.25">
      <c r="B2" s="630" t="s">
        <v>299</v>
      </c>
    </row>
    <row r="3" spans="1:17" ht="14.55" thickBot="1" x14ac:dyDescent="0.3"/>
    <row r="4" spans="1:17" ht="14.55" x14ac:dyDescent="0.25">
      <c r="A4" s="651"/>
      <c r="B4" s="1443" t="s">
        <v>300</v>
      </c>
      <c r="C4" s="593"/>
      <c r="D4" s="1448" t="s">
        <v>301</v>
      </c>
      <c r="E4" s="1449"/>
      <c r="F4" s="593"/>
      <c r="G4" s="1448" t="s">
        <v>302</v>
      </c>
      <c r="H4" s="1449"/>
      <c r="I4" s="593"/>
      <c r="J4" s="1448" t="s">
        <v>303</v>
      </c>
      <c r="K4" s="1449"/>
      <c r="L4" s="593"/>
      <c r="M4" s="1448" t="s">
        <v>304</v>
      </c>
      <c r="N4" s="1449"/>
      <c r="O4" s="593"/>
      <c r="P4" s="1448" t="s">
        <v>305</v>
      </c>
      <c r="Q4" s="1449"/>
    </row>
    <row r="5" spans="1:17" ht="14.55" x14ac:dyDescent="0.25">
      <c r="A5" s="651"/>
      <c r="B5" s="1444"/>
      <c r="C5" s="593"/>
      <c r="D5" s="1450" t="s">
        <v>306</v>
      </c>
      <c r="E5" s="1451"/>
      <c r="F5" s="593"/>
      <c r="G5" s="1450" t="s">
        <v>307</v>
      </c>
      <c r="H5" s="1451"/>
      <c r="I5" s="593"/>
      <c r="J5" s="1450" t="s">
        <v>308</v>
      </c>
      <c r="K5" s="1451"/>
      <c r="L5" s="593"/>
      <c r="M5" s="1450" t="s">
        <v>309</v>
      </c>
      <c r="N5" s="1451"/>
      <c r="O5" s="593"/>
      <c r="P5" s="1450" t="s">
        <v>310</v>
      </c>
      <c r="Q5" s="1451"/>
    </row>
    <row r="6" spans="1:17" ht="14.55" x14ac:dyDescent="0.25">
      <c r="A6" s="651"/>
      <c r="B6" s="1444"/>
      <c r="C6" s="593"/>
      <c r="D6" s="595" t="s">
        <v>311</v>
      </c>
      <c r="E6" s="596" t="s">
        <v>312</v>
      </c>
      <c r="F6" s="593"/>
      <c r="G6" s="595" t="s">
        <v>311</v>
      </c>
      <c r="H6" s="596" t="s">
        <v>312</v>
      </c>
      <c r="I6" s="593"/>
      <c r="J6" s="595" t="s">
        <v>311</v>
      </c>
      <c r="K6" s="596" t="s">
        <v>312</v>
      </c>
      <c r="L6" s="593"/>
      <c r="M6" s="595" t="s">
        <v>311</v>
      </c>
      <c r="N6" s="596" t="s">
        <v>312</v>
      </c>
      <c r="O6" s="593"/>
      <c r="P6" s="595" t="s">
        <v>311</v>
      </c>
      <c r="Q6" s="596" t="s">
        <v>312</v>
      </c>
    </row>
    <row r="7" spans="1:17" ht="15.2" thickBot="1" x14ac:dyDescent="0.3">
      <c r="A7" s="651"/>
      <c r="B7" s="1445"/>
      <c r="C7" s="593"/>
      <c r="D7" s="1446" t="s">
        <v>3</v>
      </c>
      <c r="E7" s="1447"/>
      <c r="F7" s="593"/>
      <c r="G7" s="1446" t="s">
        <v>3</v>
      </c>
      <c r="H7" s="1447"/>
      <c r="I7" s="593"/>
      <c r="J7" s="1446" t="s">
        <v>3</v>
      </c>
      <c r="K7" s="1447"/>
      <c r="L7" s="593"/>
      <c r="M7" s="1446" t="s">
        <v>3</v>
      </c>
      <c r="N7" s="1447"/>
      <c r="O7" s="593"/>
      <c r="P7" s="1441" t="s">
        <v>3</v>
      </c>
      <c r="Q7" s="1442"/>
    </row>
    <row r="8" spans="1:17" ht="14.55" x14ac:dyDescent="0.25">
      <c r="A8" s="651"/>
      <c r="B8" s="713">
        <v>25000</v>
      </c>
      <c r="C8" s="564"/>
      <c r="D8" s="565">
        <v>3120</v>
      </c>
      <c r="E8" s="566">
        <v>3657</v>
      </c>
      <c r="F8" s="564"/>
      <c r="G8" s="565">
        <v>3657</v>
      </c>
      <c r="H8" s="566">
        <v>4339</v>
      </c>
      <c r="I8" s="564"/>
      <c r="J8" s="565">
        <v>4339</v>
      </c>
      <c r="K8" s="566">
        <v>5412</v>
      </c>
      <c r="L8" s="564"/>
      <c r="M8" s="565">
        <v>5412</v>
      </c>
      <c r="N8" s="566">
        <v>6094</v>
      </c>
      <c r="O8" s="564"/>
      <c r="P8" s="565">
        <v>6094</v>
      </c>
      <c r="Q8" s="566">
        <v>6631</v>
      </c>
    </row>
    <row r="9" spans="1:17" ht="14.55" x14ac:dyDescent="0.25">
      <c r="A9" s="651"/>
      <c r="B9" s="571">
        <v>35000</v>
      </c>
      <c r="C9" s="564"/>
      <c r="D9" s="569">
        <v>4217</v>
      </c>
      <c r="E9" s="570">
        <v>4942</v>
      </c>
      <c r="F9" s="564"/>
      <c r="G9" s="569">
        <v>4942</v>
      </c>
      <c r="H9" s="570">
        <v>5865</v>
      </c>
      <c r="I9" s="564"/>
      <c r="J9" s="569">
        <v>5865</v>
      </c>
      <c r="K9" s="570">
        <v>7315</v>
      </c>
      <c r="L9" s="564"/>
      <c r="M9" s="569">
        <v>7315</v>
      </c>
      <c r="N9" s="570">
        <v>8237</v>
      </c>
      <c r="O9" s="564"/>
      <c r="P9" s="569">
        <v>8237</v>
      </c>
      <c r="Q9" s="570">
        <v>8962</v>
      </c>
    </row>
    <row r="10" spans="1:17" ht="14.55" x14ac:dyDescent="0.25">
      <c r="A10" s="651"/>
      <c r="B10" s="571">
        <v>50000</v>
      </c>
      <c r="C10" s="564"/>
      <c r="D10" s="569">
        <v>5804</v>
      </c>
      <c r="E10" s="570">
        <v>6801</v>
      </c>
      <c r="F10" s="564"/>
      <c r="G10" s="569">
        <v>6801</v>
      </c>
      <c r="H10" s="570">
        <v>8071</v>
      </c>
      <c r="I10" s="564"/>
      <c r="J10" s="569">
        <v>8071</v>
      </c>
      <c r="K10" s="570">
        <v>10066</v>
      </c>
      <c r="L10" s="564"/>
      <c r="M10" s="569">
        <v>10066</v>
      </c>
      <c r="N10" s="570">
        <v>11336</v>
      </c>
      <c r="O10" s="564"/>
      <c r="P10" s="569">
        <v>11336</v>
      </c>
      <c r="Q10" s="570">
        <v>12333</v>
      </c>
    </row>
    <row r="11" spans="1:17" ht="14.55" x14ac:dyDescent="0.25">
      <c r="A11" s="651"/>
      <c r="B11" s="571">
        <v>75000</v>
      </c>
      <c r="C11" s="564"/>
      <c r="D11" s="569">
        <v>8342</v>
      </c>
      <c r="E11" s="570">
        <v>9776</v>
      </c>
      <c r="F11" s="564"/>
      <c r="G11" s="569">
        <v>9776</v>
      </c>
      <c r="H11" s="570">
        <v>11601</v>
      </c>
      <c r="I11" s="564"/>
      <c r="J11" s="569">
        <v>11601</v>
      </c>
      <c r="K11" s="570">
        <v>14469</v>
      </c>
      <c r="L11" s="564"/>
      <c r="M11" s="569">
        <v>14469</v>
      </c>
      <c r="N11" s="570">
        <v>16293</v>
      </c>
      <c r="O11" s="564"/>
      <c r="P11" s="569">
        <v>16293</v>
      </c>
      <c r="Q11" s="570">
        <v>17727</v>
      </c>
    </row>
    <row r="12" spans="1:17" ht="14.55" x14ac:dyDescent="0.25">
      <c r="A12" s="651"/>
      <c r="B12" s="571">
        <v>100000</v>
      </c>
      <c r="C12" s="564"/>
      <c r="D12" s="569">
        <v>10790</v>
      </c>
      <c r="E12" s="570">
        <v>12644</v>
      </c>
      <c r="F12" s="564"/>
      <c r="G12" s="569">
        <v>12644</v>
      </c>
      <c r="H12" s="570">
        <v>15005</v>
      </c>
      <c r="I12" s="564"/>
      <c r="J12" s="569">
        <v>15005</v>
      </c>
      <c r="K12" s="570">
        <v>18713</v>
      </c>
      <c r="L12" s="564"/>
      <c r="M12" s="569">
        <v>18713</v>
      </c>
      <c r="N12" s="570">
        <v>21074</v>
      </c>
      <c r="O12" s="564"/>
      <c r="P12" s="569">
        <v>21074</v>
      </c>
      <c r="Q12" s="570">
        <v>22928</v>
      </c>
    </row>
    <row r="13" spans="1:17" ht="14.55" x14ac:dyDescent="0.25">
      <c r="A13" s="651"/>
      <c r="B13" s="571">
        <v>150000</v>
      </c>
      <c r="C13" s="564"/>
      <c r="D13" s="569">
        <v>15500</v>
      </c>
      <c r="E13" s="570">
        <v>18164</v>
      </c>
      <c r="F13" s="564"/>
      <c r="G13" s="569">
        <v>18164</v>
      </c>
      <c r="H13" s="570">
        <v>21555</v>
      </c>
      <c r="I13" s="564"/>
      <c r="J13" s="569">
        <v>21555</v>
      </c>
      <c r="K13" s="570">
        <v>26883</v>
      </c>
      <c r="L13" s="564"/>
      <c r="M13" s="569">
        <v>26883</v>
      </c>
      <c r="N13" s="570">
        <v>30274</v>
      </c>
      <c r="O13" s="564"/>
      <c r="P13" s="569">
        <v>30274</v>
      </c>
      <c r="Q13" s="570">
        <v>32938</v>
      </c>
    </row>
    <row r="14" spans="1:17" ht="14.55" x14ac:dyDescent="0.25">
      <c r="A14" s="651"/>
      <c r="B14" s="571">
        <v>200000</v>
      </c>
      <c r="C14" s="564"/>
      <c r="D14" s="569">
        <v>20037</v>
      </c>
      <c r="E14" s="570">
        <v>23480</v>
      </c>
      <c r="F14" s="564"/>
      <c r="G14" s="569">
        <v>23480</v>
      </c>
      <c r="H14" s="570">
        <v>27863</v>
      </c>
      <c r="I14" s="564"/>
      <c r="J14" s="569">
        <v>27863</v>
      </c>
      <c r="K14" s="570">
        <v>34751</v>
      </c>
      <c r="L14" s="564"/>
      <c r="M14" s="569">
        <v>34751</v>
      </c>
      <c r="N14" s="570">
        <v>39134</v>
      </c>
      <c r="O14" s="564"/>
      <c r="P14" s="569">
        <v>39134</v>
      </c>
      <c r="Q14" s="570">
        <v>42578</v>
      </c>
    </row>
    <row r="15" spans="1:17" ht="14.55" x14ac:dyDescent="0.25">
      <c r="A15" s="651"/>
      <c r="B15" s="571">
        <v>300000</v>
      </c>
      <c r="C15" s="564"/>
      <c r="D15" s="569">
        <v>28750</v>
      </c>
      <c r="E15" s="570">
        <v>33692</v>
      </c>
      <c r="F15" s="564"/>
      <c r="G15" s="569">
        <v>33692</v>
      </c>
      <c r="H15" s="570">
        <v>39981</v>
      </c>
      <c r="I15" s="564"/>
      <c r="J15" s="569">
        <v>39981</v>
      </c>
      <c r="K15" s="570">
        <v>49864</v>
      </c>
      <c r="L15" s="564"/>
      <c r="M15" s="569">
        <v>49864</v>
      </c>
      <c r="N15" s="570">
        <v>56153</v>
      </c>
      <c r="O15" s="564"/>
      <c r="P15" s="569">
        <v>56153</v>
      </c>
      <c r="Q15" s="570">
        <v>61095</v>
      </c>
    </row>
    <row r="16" spans="1:17" ht="14.55" x14ac:dyDescent="0.25">
      <c r="A16" s="651"/>
      <c r="B16" s="571">
        <v>500000</v>
      </c>
      <c r="C16" s="564"/>
      <c r="D16" s="569">
        <v>45232</v>
      </c>
      <c r="E16" s="570">
        <v>53006</v>
      </c>
      <c r="F16" s="564"/>
      <c r="G16" s="569">
        <v>53006</v>
      </c>
      <c r="H16" s="570">
        <v>62900</v>
      </c>
      <c r="I16" s="564"/>
      <c r="J16" s="569">
        <v>62900</v>
      </c>
      <c r="K16" s="570">
        <v>78449</v>
      </c>
      <c r="L16" s="564"/>
      <c r="M16" s="569">
        <v>78449</v>
      </c>
      <c r="N16" s="570">
        <v>88343</v>
      </c>
      <c r="O16" s="564"/>
      <c r="P16" s="569">
        <v>88343</v>
      </c>
      <c r="Q16" s="570">
        <v>96118</v>
      </c>
    </row>
    <row r="17" spans="1:19" ht="14.55" x14ac:dyDescent="0.25">
      <c r="A17" s="651"/>
      <c r="B17" s="571">
        <v>750000</v>
      </c>
      <c r="C17" s="564"/>
      <c r="D17" s="569">
        <v>64666</v>
      </c>
      <c r="E17" s="570">
        <v>75781</v>
      </c>
      <c r="F17" s="564"/>
      <c r="G17" s="569">
        <v>75781</v>
      </c>
      <c r="H17" s="570">
        <v>89927</v>
      </c>
      <c r="I17" s="564"/>
      <c r="J17" s="569">
        <v>89927</v>
      </c>
      <c r="K17" s="570">
        <v>112156</v>
      </c>
      <c r="L17" s="564"/>
      <c r="M17" s="569">
        <v>112156</v>
      </c>
      <c r="N17" s="570">
        <v>126301</v>
      </c>
      <c r="O17" s="564"/>
      <c r="P17" s="569">
        <v>126301</v>
      </c>
      <c r="Q17" s="570">
        <v>137416</v>
      </c>
    </row>
    <row r="18" spans="1:19" ht="14.55" x14ac:dyDescent="0.25">
      <c r="A18" s="651"/>
      <c r="B18" s="571">
        <v>1000000</v>
      </c>
      <c r="C18" s="564"/>
      <c r="D18" s="569">
        <v>83182</v>
      </c>
      <c r="E18" s="570">
        <v>97479</v>
      </c>
      <c r="F18" s="564"/>
      <c r="G18" s="569">
        <v>97479</v>
      </c>
      <c r="H18" s="570">
        <v>115675</v>
      </c>
      <c r="I18" s="564"/>
      <c r="J18" s="569">
        <v>115675</v>
      </c>
      <c r="K18" s="570">
        <v>144268</v>
      </c>
      <c r="L18" s="564"/>
      <c r="M18" s="569">
        <v>144268</v>
      </c>
      <c r="N18" s="570">
        <v>162464</v>
      </c>
      <c r="O18" s="564"/>
      <c r="P18" s="569">
        <v>162464</v>
      </c>
      <c r="Q18" s="570">
        <v>176761</v>
      </c>
    </row>
    <row r="19" spans="1:19" ht="14.55" x14ac:dyDescent="0.25">
      <c r="A19" s="651"/>
      <c r="B19" s="571">
        <v>1500000</v>
      </c>
      <c r="C19" s="564"/>
      <c r="D19" s="569">
        <v>119307</v>
      </c>
      <c r="E19" s="570">
        <v>139813</v>
      </c>
      <c r="F19" s="564"/>
      <c r="G19" s="569">
        <v>139813</v>
      </c>
      <c r="H19" s="570">
        <v>165911</v>
      </c>
      <c r="I19" s="564"/>
      <c r="J19" s="569">
        <v>165911</v>
      </c>
      <c r="K19" s="570">
        <v>206923</v>
      </c>
      <c r="L19" s="564"/>
      <c r="M19" s="569">
        <v>206923</v>
      </c>
      <c r="N19" s="570">
        <v>233022</v>
      </c>
      <c r="O19" s="564"/>
      <c r="P19" s="569">
        <v>233022</v>
      </c>
      <c r="Q19" s="570">
        <v>253527</v>
      </c>
    </row>
    <row r="20" spans="1:19" ht="14.55" x14ac:dyDescent="0.25">
      <c r="A20" s="651"/>
      <c r="B20" s="571">
        <v>2000000</v>
      </c>
      <c r="C20" s="564"/>
      <c r="D20" s="569">
        <v>153965</v>
      </c>
      <c r="E20" s="570">
        <v>180428</v>
      </c>
      <c r="F20" s="564"/>
      <c r="G20" s="569">
        <v>180428</v>
      </c>
      <c r="H20" s="570">
        <v>214108</v>
      </c>
      <c r="I20" s="564"/>
      <c r="J20" s="569">
        <v>214108</v>
      </c>
      <c r="K20" s="570">
        <v>267034</v>
      </c>
      <c r="L20" s="564"/>
      <c r="M20" s="569">
        <v>267034</v>
      </c>
      <c r="N20" s="570">
        <v>300714</v>
      </c>
      <c r="O20" s="564"/>
      <c r="P20" s="569">
        <v>300714</v>
      </c>
      <c r="Q20" s="570">
        <v>327177</v>
      </c>
    </row>
    <row r="21" spans="1:19" ht="14.55" x14ac:dyDescent="0.25">
      <c r="A21" s="651"/>
      <c r="B21" s="571">
        <v>3000000</v>
      </c>
      <c r="C21" s="564"/>
      <c r="D21" s="569">
        <v>220161</v>
      </c>
      <c r="E21" s="570">
        <v>258002</v>
      </c>
      <c r="F21" s="564"/>
      <c r="G21" s="569">
        <v>258002</v>
      </c>
      <c r="H21" s="570">
        <v>306162</v>
      </c>
      <c r="I21" s="564"/>
      <c r="J21" s="569">
        <v>306162</v>
      </c>
      <c r="K21" s="570">
        <v>381843</v>
      </c>
      <c r="L21" s="564"/>
      <c r="M21" s="569">
        <v>381843</v>
      </c>
      <c r="N21" s="570">
        <v>430003</v>
      </c>
      <c r="O21" s="564"/>
      <c r="P21" s="569">
        <v>430003</v>
      </c>
      <c r="Q21" s="570">
        <v>467843</v>
      </c>
    </row>
    <row r="22" spans="1:19" ht="14.55" x14ac:dyDescent="0.25">
      <c r="A22" s="651"/>
      <c r="B22" s="571">
        <v>5000000</v>
      </c>
      <c r="C22" s="564"/>
      <c r="D22" s="569">
        <v>343879</v>
      </c>
      <c r="E22" s="570">
        <v>402984</v>
      </c>
      <c r="F22" s="564"/>
      <c r="G22" s="569">
        <v>402984</v>
      </c>
      <c r="H22" s="570">
        <v>478207</v>
      </c>
      <c r="I22" s="564"/>
      <c r="J22" s="569">
        <v>478207</v>
      </c>
      <c r="K22" s="570">
        <v>596416</v>
      </c>
      <c r="L22" s="564"/>
      <c r="M22" s="569">
        <v>596416</v>
      </c>
      <c r="N22" s="570">
        <v>671640</v>
      </c>
      <c r="O22" s="564"/>
      <c r="P22" s="569">
        <v>671640</v>
      </c>
      <c r="Q22" s="570">
        <v>730744</v>
      </c>
    </row>
    <row r="23" spans="1:19" ht="14.55" x14ac:dyDescent="0.25">
      <c r="A23" s="651"/>
      <c r="B23" s="571">
        <v>7500000</v>
      </c>
      <c r="C23" s="564"/>
      <c r="D23" s="569">
        <v>493923</v>
      </c>
      <c r="E23" s="570">
        <v>578816</v>
      </c>
      <c r="F23" s="564"/>
      <c r="G23" s="569">
        <v>578816</v>
      </c>
      <c r="H23" s="570">
        <v>686862</v>
      </c>
      <c r="I23" s="564"/>
      <c r="J23" s="569">
        <v>686862</v>
      </c>
      <c r="K23" s="570">
        <v>856648</v>
      </c>
      <c r="L23" s="564"/>
      <c r="M23" s="569">
        <v>856648</v>
      </c>
      <c r="N23" s="570">
        <v>964694</v>
      </c>
      <c r="O23" s="564"/>
      <c r="P23" s="569">
        <v>964694</v>
      </c>
      <c r="Q23" s="570">
        <v>1049587</v>
      </c>
    </row>
    <row r="24" spans="1:19" ht="14.55" x14ac:dyDescent="0.25">
      <c r="A24" s="651"/>
      <c r="B24" s="571">
        <v>10000000</v>
      </c>
      <c r="C24" s="564"/>
      <c r="D24" s="569">
        <v>638277</v>
      </c>
      <c r="E24" s="570">
        <v>747981</v>
      </c>
      <c r="F24" s="564"/>
      <c r="G24" s="569">
        <v>747981</v>
      </c>
      <c r="H24" s="570">
        <v>887604</v>
      </c>
      <c r="I24" s="564"/>
      <c r="J24" s="569">
        <v>887604</v>
      </c>
      <c r="K24" s="570">
        <v>1107012</v>
      </c>
      <c r="L24" s="564"/>
      <c r="M24" s="569">
        <v>1107012</v>
      </c>
      <c r="N24" s="570">
        <v>1246635</v>
      </c>
      <c r="O24" s="564"/>
      <c r="P24" s="569">
        <v>1246635</v>
      </c>
      <c r="Q24" s="570">
        <v>1356339</v>
      </c>
    </row>
    <row r="25" spans="1:19" ht="14.55" x14ac:dyDescent="0.25">
      <c r="A25" s="651"/>
      <c r="B25" s="571">
        <v>15000000</v>
      </c>
      <c r="C25" s="564"/>
      <c r="D25" s="569">
        <v>915129</v>
      </c>
      <c r="E25" s="570">
        <v>1072416</v>
      </c>
      <c r="F25" s="564"/>
      <c r="G25" s="569">
        <v>1072416</v>
      </c>
      <c r="H25" s="570">
        <v>1272601</v>
      </c>
      <c r="I25" s="564"/>
      <c r="J25" s="569">
        <v>1272601</v>
      </c>
      <c r="K25" s="570">
        <v>1587176</v>
      </c>
      <c r="L25" s="564"/>
      <c r="M25" s="569">
        <v>1587176</v>
      </c>
      <c r="N25" s="570">
        <v>1787360</v>
      </c>
      <c r="O25" s="564"/>
      <c r="P25" s="569">
        <v>1787360</v>
      </c>
      <c r="Q25" s="570">
        <v>1944648</v>
      </c>
    </row>
    <row r="26" spans="1:19" ht="14.55" x14ac:dyDescent="0.25">
      <c r="A26" s="651"/>
      <c r="B26" s="571">
        <v>20000000</v>
      </c>
      <c r="C26" s="564"/>
      <c r="D26" s="569">
        <v>1180414</v>
      </c>
      <c r="E26" s="570">
        <v>1383298</v>
      </c>
      <c r="F26" s="564"/>
      <c r="G26" s="569">
        <v>1383298</v>
      </c>
      <c r="H26" s="570">
        <v>1641513</v>
      </c>
      <c r="I26" s="564"/>
      <c r="J26" s="569">
        <v>1641513</v>
      </c>
      <c r="K26" s="570">
        <v>2047281</v>
      </c>
      <c r="L26" s="564"/>
      <c r="M26" s="569">
        <v>2047281</v>
      </c>
      <c r="N26" s="570">
        <v>2305496</v>
      </c>
      <c r="O26" s="564"/>
      <c r="P26" s="569">
        <v>2305496</v>
      </c>
      <c r="Q26" s="570">
        <v>2508380</v>
      </c>
    </row>
    <row r="27" spans="1:19" ht="15.2" thickBot="1" x14ac:dyDescent="0.3">
      <c r="A27" s="651"/>
      <c r="B27" s="714">
        <v>25000000</v>
      </c>
      <c r="C27" s="715"/>
      <c r="D27" s="574">
        <v>1436874</v>
      </c>
      <c r="E27" s="575">
        <v>1683837</v>
      </c>
      <c r="F27" s="564"/>
      <c r="G27" s="574">
        <v>1683837</v>
      </c>
      <c r="H27" s="575">
        <v>1998153</v>
      </c>
      <c r="I27" s="564"/>
      <c r="J27" s="574">
        <v>1998153</v>
      </c>
      <c r="K27" s="575">
        <v>2492079</v>
      </c>
      <c r="L27" s="564"/>
      <c r="M27" s="574">
        <v>2492079</v>
      </c>
      <c r="N27" s="575">
        <v>2806395</v>
      </c>
      <c r="O27" s="564"/>
      <c r="P27" s="574">
        <v>2806395</v>
      </c>
      <c r="Q27" s="575">
        <v>3053358</v>
      </c>
    </row>
    <row r="28" spans="1:19" ht="15" customHeight="1" x14ac:dyDescent="0.25">
      <c r="A28" s="651"/>
      <c r="B28" s="580">
        <v>30000000</v>
      </c>
      <c r="C28" s="1453" t="s">
        <v>313</v>
      </c>
      <c r="D28" s="465">
        <v>1688900</v>
      </c>
      <c r="E28" s="464">
        <v>1979179</v>
      </c>
      <c r="F28" s="1453" t="s">
        <v>313</v>
      </c>
      <c r="G28" s="465">
        <f>E28</f>
        <v>1979179</v>
      </c>
      <c r="H28" s="464">
        <v>2348626</v>
      </c>
      <c r="I28" s="1453" t="s">
        <v>313</v>
      </c>
      <c r="J28" s="465">
        <f>H28</f>
        <v>2348626</v>
      </c>
      <c r="K28" s="464">
        <v>2929185</v>
      </c>
      <c r="L28" s="1453" t="s">
        <v>313</v>
      </c>
      <c r="M28" s="465">
        <f>K28</f>
        <v>2929185</v>
      </c>
      <c r="N28" s="464">
        <v>3298632</v>
      </c>
      <c r="O28" s="1453" t="s">
        <v>313</v>
      </c>
      <c r="P28" s="465">
        <f>N28</f>
        <v>3298632</v>
      </c>
      <c r="Q28" s="464">
        <v>3588912</v>
      </c>
      <c r="S28" s="716"/>
    </row>
    <row r="29" spans="1:19" ht="14.55" x14ac:dyDescent="0.25">
      <c r="A29" s="651"/>
      <c r="B29" s="712">
        <v>35000000</v>
      </c>
      <c r="C29" s="1454"/>
      <c r="D29" s="711">
        <v>1936172</v>
      </c>
      <c r="E29" s="570">
        <v>2268951</v>
      </c>
      <c r="F29" s="1454"/>
      <c r="G29" s="711">
        <f t="shared" ref="G29:G46" si="0">E29</f>
        <v>2268951</v>
      </c>
      <c r="H29" s="570">
        <v>2692489</v>
      </c>
      <c r="I29" s="1456"/>
      <c r="J29" s="711">
        <f t="shared" ref="J29:J46" si="1">H29</f>
        <v>2692489</v>
      </c>
      <c r="K29" s="570">
        <v>3358048</v>
      </c>
      <c r="L29" s="1456"/>
      <c r="M29" s="711">
        <f t="shared" ref="M29:M46" si="2">K29</f>
        <v>3358048</v>
      </c>
      <c r="N29" s="570">
        <v>3781585</v>
      </c>
      <c r="O29" s="1456"/>
      <c r="P29" s="711">
        <f>N29</f>
        <v>3781585</v>
      </c>
      <c r="Q29" s="570">
        <v>4114365</v>
      </c>
      <c r="S29" s="716"/>
    </row>
    <row r="30" spans="1:19" ht="14.55" x14ac:dyDescent="0.25">
      <c r="A30" s="651"/>
      <c r="B30" s="712">
        <v>40000000</v>
      </c>
      <c r="C30" s="1454"/>
      <c r="D30" s="711">
        <v>2179446</v>
      </c>
      <c r="E30" s="570">
        <v>2554038</v>
      </c>
      <c r="F30" s="1454"/>
      <c r="G30" s="711">
        <f t="shared" si="0"/>
        <v>2554038</v>
      </c>
      <c r="H30" s="570">
        <v>3030792</v>
      </c>
      <c r="I30" s="1456"/>
      <c r="J30" s="711">
        <f t="shared" si="1"/>
        <v>3030792</v>
      </c>
      <c r="K30" s="570">
        <v>3779977</v>
      </c>
      <c r="L30" s="1456"/>
      <c r="M30" s="711">
        <f t="shared" si="2"/>
        <v>3779977</v>
      </c>
      <c r="N30" s="570">
        <v>4256731</v>
      </c>
      <c r="O30" s="1456"/>
      <c r="P30" s="711">
        <f t="shared" ref="P30:P46" si="3">N30</f>
        <v>4256731</v>
      </c>
      <c r="Q30" s="570">
        <v>4631323</v>
      </c>
      <c r="S30" s="716"/>
    </row>
    <row r="31" spans="1:19" ht="14.55" x14ac:dyDescent="0.25">
      <c r="A31" s="651"/>
      <c r="B31" s="712">
        <v>45000000</v>
      </c>
      <c r="C31" s="1454"/>
      <c r="D31" s="711">
        <v>2419278</v>
      </c>
      <c r="E31" s="570">
        <v>2835092</v>
      </c>
      <c r="F31" s="1454"/>
      <c r="G31" s="711">
        <f t="shared" si="0"/>
        <v>2835092</v>
      </c>
      <c r="H31" s="570">
        <v>3364309</v>
      </c>
      <c r="I31" s="1456"/>
      <c r="J31" s="711">
        <f t="shared" si="1"/>
        <v>3364309</v>
      </c>
      <c r="K31" s="570">
        <v>4195936</v>
      </c>
      <c r="L31" s="1456"/>
      <c r="M31" s="711">
        <f t="shared" si="2"/>
        <v>4195936</v>
      </c>
      <c r="N31" s="570">
        <v>4725153</v>
      </c>
      <c r="O31" s="1456"/>
      <c r="P31" s="711">
        <f t="shared" si="3"/>
        <v>4725153</v>
      </c>
      <c r="Q31" s="570">
        <v>5140966</v>
      </c>
      <c r="S31" s="716"/>
    </row>
    <row r="32" spans="1:19" ht="14.55" x14ac:dyDescent="0.25">
      <c r="A32" s="651"/>
      <c r="B32" s="712">
        <v>50000000</v>
      </c>
      <c r="C32" s="1454"/>
      <c r="D32" s="711">
        <v>2656093</v>
      </c>
      <c r="E32" s="570">
        <v>3112609</v>
      </c>
      <c r="F32" s="1454"/>
      <c r="G32" s="711">
        <f t="shared" si="0"/>
        <v>3112609</v>
      </c>
      <c r="H32" s="570">
        <v>3693630</v>
      </c>
      <c r="I32" s="1456"/>
      <c r="J32" s="711">
        <f t="shared" si="1"/>
        <v>3693630</v>
      </c>
      <c r="K32" s="570">
        <v>4606662</v>
      </c>
      <c r="L32" s="1456"/>
      <c r="M32" s="711">
        <f t="shared" si="2"/>
        <v>4606662</v>
      </c>
      <c r="N32" s="570">
        <v>5187682</v>
      </c>
      <c r="O32" s="1456"/>
      <c r="P32" s="711">
        <f t="shared" si="3"/>
        <v>5187682</v>
      </c>
      <c r="Q32" s="570">
        <v>5644198</v>
      </c>
      <c r="S32" s="716"/>
    </row>
    <row r="33" spans="1:19 16384:16384" ht="14.55" x14ac:dyDescent="0.25">
      <c r="A33" s="651"/>
      <c r="B33" s="712">
        <v>60000000</v>
      </c>
      <c r="C33" s="1454"/>
      <c r="D33" s="711">
        <v>3121948</v>
      </c>
      <c r="E33" s="570">
        <v>3658533</v>
      </c>
      <c r="F33" s="1454"/>
      <c r="G33" s="711">
        <f t="shared" si="0"/>
        <v>3658533</v>
      </c>
      <c r="H33" s="570">
        <v>4341459</v>
      </c>
      <c r="I33" s="1456"/>
      <c r="J33" s="711">
        <f t="shared" si="1"/>
        <v>4341459</v>
      </c>
      <c r="K33" s="570">
        <v>5414628</v>
      </c>
      <c r="L33" s="1456"/>
      <c r="M33" s="711">
        <f t="shared" si="2"/>
        <v>5414628</v>
      </c>
      <c r="N33" s="570">
        <v>6097554</v>
      </c>
      <c r="O33" s="1456"/>
      <c r="P33" s="711">
        <f t="shared" si="3"/>
        <v>6097554</v>
      </c>
      <c r="Q33" s="570">
        <v>6634139</v>
      </c>
      <c r="S33" s="716"/>
    </row>
    <row r="34" spans="1:19 16384:16384" ht="14.55" x14ac:dyDescent="0.25">
      <c r="A34" s="651"/>
      <c r="B34" s="712">
        <v>70000000</v>
      </c>
      <c r="C34" s="1454"/>
      <c r="D34" s="711">
        <v>3579014</v>
      </c>
      <c r="E34" s="570">
        <v>4194157</v>
      </c>
      <c r="F34" s="1454"/>
      <c r="G34" s="711">
        <f t="shared" si="0"/>
        <v>4194157</v>
      </c>
      <c r="H34" s="570">
        <v>4977066</v>
      </c>
      <c r="I34" s="1456"/>
      <c r="J34" s="711">
        <f t="shared" si="1"/>
        <v>4977066</v>
      </c>
      <c r="K34" s="570">
        <v>6207352</v>
      </c>
      <c r="L34" s="1456"/>
      <c r="M34" s="711">
        <f t="shared" si="2"/>
        <v>6207352</v>
      </c>
      <c r="N34" s="570">
        <v>6990261</v>
      </c>
      <c r="O34" s="1456"/>
      <c r="P34" s="711">
        <f t="shared" si="3"/>
        <v>6990261</v>
      </c>
      <c r="Q34" s="570">
        <v>7605404</v>
      </c>
      <c r="S34" s="716"/>
    </row>
    <row r="35" spans="1:19 16384:16384" ht="14.55" x14ac:dyDescent="0.25">
      <c r="A35" s="651"/>
      <c r="B35" s="712">
        <v>80000000</v>
      </c>
      <c r="C35" s="1454"/>
      <c r="D35" s="711">
        <v>4028687</v>
      </c>
      <c r="E35" s="570">
        <v>4721118</v>
      </c>
      <c r="F35" s="1454"/>
      <c r="G35" s="711">
        <f t="shared" si="0"/>
        <v>4721118</v>
      </c>
      <c r="H35" s="570">
        <v>5602393</v>
      </c>
      <c r="I35" s="1456"/>
      <c r="J35" s="711">
        <f t="shared" si="1"/>
        <v>5602393</v>
      </c>
      <c r="K35" s="570">
        <v>6987255</v>
      </c>
      <c r="L35" s="1456"/>
      <c r="M35" s="711">
        <f t="shared" si="2"/>
        <v>6987255</v>
      </c>
      <c r="N35" s="570">
        <v>7868530</v>
      </c>
      <c r="O35" s="1456"/>
      <c r="P35" s="711">
        <f t="shared" si="3"/>
        <v>7868530</v>
      </c>
      <c r="Q35" s="570">
        <v>8560961</v>
      </c>
      <c r="S35" s="716"/>
    </row>
    <row r="36" spans="1:19 16384:16384" ht="14.55" x14ac:dyDescent="0.25">
      <c r="A36" s="651"/>
      <c r="B36" s="712">
        <v>90000000</v>
      </c>
      <c r="C36" s="1454"/>
      <c r="D36" s="711">
        <v>4471996</v>
      </c>
      <c r="E36" s="570">
        <v>5240621</v>
      </c>
      <c r="F36" s="1454"/>
      <c r="G36" s="711">
        <f t="shared" si="0"/>
        <v>5240621</v>
      </c>
      <c r="H36" s="570">
        <v>6218870</v>
      </c>
      <c r="I36" s="1456"/>
      <c r="J36" s="711">
        <f t="shared" si="1"/>
        <v>6218870</v>
      </c>
      <c r="K36" s="570">
        <v>7756119</v>
      </c>
      <c r="L36" s="1456"/>
      <c r="M36" s="711">
        <f t="shared" si="2"/>
        <v>7756119</v>
      </c>
      <c r="N36" s="570">
        <v>8734368</v>
      </c>
      <c r="O36" s="1456"/>
      <c r="P36" s="711">
        <f t="shared" si="3"/>
        <v>8734368</v>
      </c>
      <c r="Q36" s="570">
        <v>9502992</v>
      </c>
      <c r="S36" s="716"/>
    </row>
    <row r="37" spans="1:19 16384:16384" ht="14.55" x14ac:dyDescent="0.25">
      <c r="A37" s="651"/>
      <c r="B37" s="712">
        <v>100000000</v>
      </c>
      <c r="C37" s="1454"/>
      <c r="D37" s="711">
        <v>4909726</v>
      </c>
      <c r="E37" s="570">
        <v>5753585</v>
      </c>
      <c r="F37" s="1454"/>
      <c r="G37" s="711">
        <f t="shared" si="0"/>
        <v>5753585</v>
      </c>
      <c r="H37" s="570">
        <v>6827588</v>
      </c>
      <c r="I37" s="1456"/>
      <c r="J37" s="711">
        <f t="shared" si="1"/>
        <v>6827588</v>
      </c>
      <c r="K37" s="570">
        <v>8515306</v>
      </c>
      <c r="L37" s="1456"/>
      <c r="M37" s="711">
        <f t="shared" si="2"/>
        <v>8515306</v>
      </c>
      <c r="N37" s="570">
        <v>9589309</v>
      </c>
      <c r="O37" s="1456"/>
      <c r="P37" s="711">
        <f t="shared" si="3"/>
        <v>9589309</v>
      </c>
      <c r="Q37" s="570">
        <v>10433168</v>
      </c>
      <c r="S37" s="716"/>
    </row>
    <row r="38" spans="1:19 16384:16384" ht="14.55" x14ac:dyDescent="0.25">
      <c r="A38" s="651"/>
      <c r="B38" s="712">
        <v>125000000</v>
      </c>
      <c r="C38" s="1454"/>
      <c r="D38" s="711">
        <v>5983424</v>
      </c>
      <c r="E38" s="570">
        <v>7011825</v>
      </c>
      <c r="F38" s="1454"/>
      <c r="G38" s="711">
        <f t="shared" si="0"/>
        <v>7011825</v>
      </c>
      <c r="H38" s="570">
        <v>8320699</v>
      </c>
      <c r="I38" s="1456"/>
      <c r="J38" s="711">
        <f t="shared" si="1"/>
        <v>8320699</v>
      </c>
      <c r="K38" s="570">
        <v>10377501</v>
      </c>
      <c r="L38" s="1456"/>
      <c r="M38" s="711">
        <f t="shared" si="2"/>
        <v>10377501</v>
      </c>
      <c r="N38" s="570">
        <v>11686375</v>
      </c>
      <c r="O38" s="1456"/>
      <c r="P38" s="711">
        <f t="shared" si="3"/>
        <v>11686375</v>
      </c>
      <c r="Q38" s="570">
        <v>12714776</v>
      </c>
      <c r="S38" s="716"/>
    </row>
    <row r="39" spans="1:19 16384:16384" ht="14.55" x14ac:dyDescent="0.25">
      <c r="A39" s="651"/>
      <c r="B39" s="712">
        <v>150000000</v>
      </c>
      <c r="C39" s="1454"/>
      <c r="D39" s="711">
        <v>7032799</v>
      </c>
      <c r="E39" s="570">
        <v>8241561</v>
      </c>
      <c r="F39" s="1454"/>
      <c r="G39" s="711">
        <f t="shared" si="0"/>
        <v>8241561</v>
      </c>
      <c r="H39" s="570">
        <v>9779986</v>
      </c>
      <c r="I39" s="1456"/>
      <c r="J39" s="711">
        <f t="shared" si="1"/>
        <v>9779986</v>
      </c>
      <c r="K39" s="570">
        <v>12197510</v>
      </c>
      <c r="L39" s="1456"/>
      <c r="M39" s="711">
        <f t="shared" si="2"/>
        <v>12197510</v>
      </c>
      <c r="N39" s="570">
        <v>13735935</v>
      </c>
      <c r="O39" s="1456"/>
      <c r="P39" s="711">
        <f t="shared" si="3"/>
        <v>13735935</v>
      </c>
      <c r="Q39" s="570">
        <v>14944697</v>
      </c>
      <c r="S39" s="716"/>
    </row>
    <row r="40" spans="1:19 16384:16384" ht="14.55" x14ac:dyDescent="0.25">
      <c r="A40" s="651"/>
      <c r="B40" s="712">
        <v>200000000</v>
      </c>
      <c r="C40" s="1454"/>
      <c r="D40" s="711">
        <v>9075275</v>
      </c>
      <c r="E40" s="570">
        <v>10635088</v>
      </c>
      <c r="F40" s="1454"/>
      <c r="G40" s="711">
        <f t="shared" si="0"/>
        <v>10635088</v>
      </c>
      <c r="H40" s="570">
        <v>12620304</v>
      </c>
      <c r="I40" s="1456"/>
      <c r="J40" s="711">
        <f t="shared" si="1"/>
        <v>12620304</v>
      </c>
      <c r="K40" s="570">
        <v>15739930</v>
      </c>
      <c r="L40" s="1456"/>
      <c r="M40" s="711">
        <f t="shared" si="2"/>
        <v>15739930</v>
      </c>
      <c r="N40" s="570">
        <v>17725146</v>
      </c>
      <c r="O40" s="1456"/>
      <c r="P40" s="711">
        <f t="shared" si="3"/>
        <v>17725146</v>
      </c>
      <c r="Q40" s="570">
        <v>19284959</v>
      </c>
      <c r="S40" s="716"/>
    </row>
    <row r="41" spans="1:19 16384:16384" ht="14.55" x14ac:dyDescent="0.25">
      <c r="A41" s="651"/>
      <c r="B41" s="712">
        <v>250000000</v>
      </c>
      <c r="C41" s="1454"/>
      <c r="D41" s="711">
        <v>11059829</v>
      </c>
      <c r="E41" s="570">
        <v>12960737</v>
      </c>
      <c r="F41" s="1454"/>
      <c r="G41" s="711">
        <f t="shared" si="0"/>
        <v>12960737</v>
      </c>
      <c r="H41" s="570">
        <v>15380075</v>
      </c>
      <c r="I41" s="1456"/>
      <c r="J41" s="711">
        <f t="shared" si="1"/>
        <v>15380075</v>
      </c>
      <c r="K41" s="570">
        <v>19181891</v>
      </c>
      <c r="L41" s="1456"/>
      <c r="M41" s="711">
        <f t="shared" si="2"/>
        <v>19181891</v>
      </c>
      <c r="N41" s="570">
        <v>21601229</v>
      </c>
      <c r="O41" s="1456"/>
      <c r="P41" s="711">
        <f t="shared" si="3"/>
        <v>21601229</v>
      </c>
      <c r="Q41" s="570">
        <v>23502137</v>
      </c>
      <c r="S41" s="716"/>
    </row>
    <row r="42" spans="1:19 16384:16384" ht="14.55" x14ac:dyDescent="0.25">
      <c r="A42" s="651"/>
      <c r="B42" s="571">
        <v>300000000</v>
      </c>
      <c r="C42" s="1454"/>
      <c r="D42" s="711">
        <v>12999408</v>
      </c>
      <c r="E42" s="570">
        <v>15233681</v>
      </c>
      <c r="F42" s="1454"/>
      <c r="G42" s="711">
        <f t="shared" si="0"/>
        <v>15233681</v>
      </c>
      <c r="H42" s="570">
        <v>18077302</v>
      </c>
      <c r="I42" s="1456"/>
      <c r="J42" s="711">
        <f t="shared" si="1"/>
        <v>18077302</v>
      </c>
      <c r="K42" s="570">
        <v>22545848</v>
      </c>
      <c r="L42" s="1456"/>
      <c r="M42" s="711">
        <f t="shared" si="2"/>
        <v>22545848</v>
      </c>
      <c r="N42" s="570">
        <v>25389468</v>
      </c>
      <c r="O42" s="1456"/>
      <c r="P42" s="711">
        <f t="shared" si="3"/>
        <v>25389468</v>
      </c>
      <c r="Q42" s="570">
        <v>27623742</v>
      </c>
      <c r="S42" s="716"/>
    </row>
    <row r="43" spans="1:19 16384:16384" ht="14.55" x14ac:dyDescent="0.25">
      <c r="A43" s="651"/>
      <c r="B43" s="571">
        <v>350000000</v>
      </c>
      <c r="C43" s="1454"/>
      <c r="D43" s="711">
        <v>14902362</v>
      </c>
      <c r="E43" s="570">
        <v>17463706</v>
      </c>
      <c r="F43" s="1454"/>
      <c r="G43" s="711">
        <f t="shared" si="0"/>
        <v>17463706</v>
      </c>
      <c r="H43" s="570">
        <v>20723598</v>
      </c>
      <c r="I43" s="1456"/>
      <c r="J43" s="711">
        <f t="shared" si="1"/>
        <v>20723598</v>
      </c>
      <c r="K43" s="570">
        <v>25846285</v>
      </c>
      <c r="L43" s="1456"/>
      <c r="M43" s="711">
        <f t="shared" si="2"/>
        <v>25846285</v>
      </c>
      <c r="N43" s="570">
        <v>29106176</v>
      </c>
      <c r="O43" s="1456"/>
      <c r="P43" s="711">
        <f t="shared" si="3"/>
        <v>29106176</v>
      </c>
      <c r="Q43" s="570">
        <v>31667520</v>
      </c>
      <c r="S43" s="716"/>
    </row>
    <row r="44" spans="1:19 16384:16384" ht="14.55" x14ac:dyDescent="0.25">
      <c r="A44" s="651"/>
      <c r="B44" s="571">
        <v>400000000</v>
      </c>
      <c r="C44" s="1454"/>
      <c r="D44" s="466">
        <v>16774513</v>
      </c>
      <c r="E44" s="468">
        <v>19657632</v>
      </c>
      <c r="F44" s="1454"/>
      <c r="G44" s="466">
        <f t="shared" si="0"/>
        <v>19657632</v>
      </c>
      <c r="H44" s="468">
        <v>23327057</v>
      </c>
      <c r="I44" s="1456"/>
      <c r="J44" s="466">
        <f t="shared" si="1"/>
        <v>23327057</v>
      </c>
      <c r="K44" s="468">
        <v>29093296</v>
      </c>
      <c r="L44" s="1456"/>
      <c r="M44" s="466">
        <f t="shared" si="2"/>
        <v>29093296</v>
      </c>
      <c r="N44" s="468">
        <v>32762720</v>
      </c>
      <c r="O44" s="1456"/>
      <c r="P44" s="466">
        <f t="shared" si="3"/>
        <v>32762720</v>
      </c>
      <c r="Q44" s="468">
        <v>35645840</v>
      </c>
      <c r="S44" s="716"/>
    </row>
    <row r="45" spans="1:19 16384:16384" ht="14.55" x14ac:dyDescent="0.25">
      <c r="A45" s="651"/>
      <c r="B45" s="571">
        <v>450000000</v>
      </c>
      <c r="C45" s="1454"/>
      <c r="D45" s="466">
        <v>18620139</v>
      </c>
      <c r="E45" s="468">
        <v>21820476</v>
      </c>
      <c r="F45" s="1454"/>
      <c r="G45" s="466">
        <f t="shared" si="0"/>
        <v>21820476</v>
      </c>
      <c r="H45" s="468">
        <v>25893631</v>
      </c>
      <c r="I45" s="1456"/>
      <c r="J45" s="466">
        <f t="shared" si="1"/>
        <v>25893631</v>
      </c>
      <c r="K45" s="468">
        <v>32294304</v>
      </c>
      <c r="L45" s="1456"/>
      <c r="M45" s="466">
        <f t="shared" si="2"/>
        <v>32294304</v>
      </c>
      <c r="N45" s="468">
        <v>36367460</v>
      </c>
      <c r="O45" s="1456"/>
      <c r="P45" s="466">
        <f t="shared" si="3"/>
        <v>36367460</v>
      </c>
      <c r="Q45" s="468">
        <v>39567796</v>
      </c>
      <c r="S45" s="716"/>
    </row>
    <row r="46" spans="1:19 16384:16384" ht="15.2" thickBot="1" x14ac:dyDescent="0.3">
      <c r="A46" s="651"/>
      <c r="B46" s="578">
        <v>500000000</v>
      </c>
      <c r="C46" s="1455"/>
      <c r="D46" s="467">
        <v>20442516</v>
      </c>
      <c r="E46" s="469">
        <v>23956074</v>
      </c>
      <c r="F46" s="1455"/>
      <c r="G46" s="467">
        <f t="shared" si="0"/>
        <v>23956074</v>
      </c>
      <c r="H46" s="469">
        <v>28427874</v>
      </c>
      <c r="I46" s="1457"/>
      <c r="J46" s="467">
        <f t="shared" si="1"/>
        <v>28427874</v>
      </c>
      <c r="K46" s="469">
        <v>35454989</v>
      </c>
      <c r="L46" s="1457"/>
      <c r="M46" s="467">
        <f t="shared" si="2"/>
        <v>35454989</v>
      </c>
      <c r="N46" s="469">
        <v>39926790</v>
      </c>
      <c r="O46" s="1457"/>
      <c r="P46" s="467">
        <f t="shared" si="3"/>
        <v>39926790</v>
      </c>
      <c r="Q46" s="469">
        <v>43440347</v>
      </c>
      <c r="S46" s="716"/>
    </row>
    <row r="47" spans="1:19 16384:16384" ht="14.55" x14ac:dyDescent="0.25">
      <c r="A47" s="603"/>
      <c r="B47" s="646"/>
      <c r="C47" s="603"/>
      <c r="D47" s="646"/>
      <c r="E47" s="646"/>
      <c r="F47" s="603"/>
      <c r="G47" s="646"/>
      <c r="H47" s="646"/>
      <c r="I47" s="603"/>
      <c r="J47" s="646"/>
      <c r="K47" s="646"/>
      <c r="L47" s="603"/>
      <c r="M47" s="646"/>
      <c r="N47" s="646"/>
      <c r="O47" s="603"/>
      <c r="P47" s="646"/>
      <c r="Q47" s="646"/>
      <c r="XFD47" s="646"/>
    </row>
    <row r="48" spans="1:19 16384:16384" ht="14.55" x14ac:dyDescent="0.25">
      <c r="A48" s="603"/>
      <c r="B48" s="633" t="s">
        <v>314</v>
      </c>
      <c r="C48" s="603"/>
      <c r="D48" s="603"/>
      <c r="E48" s="631"/>
      <c r="F48" s="603"/>
      <c r="G48" s="603"/>
      <c r="H48" s="631"/>
      <c r="I48" s="603"/>
      <c r="J48" s="603"/>
      <c r="K48" s="603"/>
      <c r="L48" s="603"/>
      <c r="M48" s="603"/>
      <c r="N48" s="603"/>
      <c r="O48" s="603"/>
      <c r="P48" s="603"/>
      <c r="Q48" s="603"/>
    </row>
    <row r="49" spans="1:17" ht="14.55" x14ac:dyDescent="0.25">
      <c r="A49" s="603"/>
      <c r="B49" s="603"/>
      <c r="C49" s="603"/>
      <c r="D49" s="603"/>
      <c r="E49" s="631"/>
      <c r="F49" s="603"/>
      <c r="G49" s="603"/>
      <c r="H49" s="631"/>
      <c r="I49" s="603"/>
      <c r="J49" s="603"/>
      <c r="K49" s="603"/>
      <c r="L49" s="603"/>
      <c r="M49" s="603"/>
      <c r="N49" s="603"/>
      <c r="O49" s="603"/>
      <c r="P49" s="603"/>
      <c r="Q49" s="603"/>
    </row>
    <row r="50" spans="1:17" ht="14.55" x14ac:dyDescent="0.25">
      <c r="A50" s="603"/>
      <c r="B50" s="603"/>
      <c r="C50" s="603"/>
      <c r="D50" s="1452" t="s">
        <v>315</v>
      </c>
      <c r="E50" s="1452"/>
      <c r="F50" s="1452"/>
      <c r="G50" s="1452"/>
      <c r="H50" s="1452"/>
      <c r="I50" s="717"/>
      <c r="J50" s="635"/>
      <c r="K50" s="635"/>
      <c r="L50" s="635"/>
      <c r="M50" s="635"/>
      <c r="N50" s="635"/>
      <c r="O50" s="603"/>
      <c r="P50" s="603"/>
      <c r="Q50" s="603"/>
    </row>
    <row r="51" spans="1:17" ht="14.55" x14ac:dyDescent="0.25">
      <c r="A51" s="603"/>
      <c r="B51" s="603"/>
      <c r="C51" s="603"/>
      <c r="D51" s="603"/>
      <c r="E51" s="631"/>
      <c r="F51" s="603"/>
      <c r="G51" s="603"/>
      <c r="H51" s="631"/>
      <c r="I51" s="603"/>
      <c r="J51" s="603"/>
      <c r="K51" s="603"/>
      <c r="L51" s="603"/>
      <c r="M51" s="603"/>
      <c r="N51" s="603"/>
      <c r="O51" s="603"/>
      <c r="P51" s="603"/>
      <c r="Q51" s="603"/>
    </row>
    <row r="52" spans="1:17" ht="14.55" x14ac:dyDescent="0.25">
      <c r="A52" s="603"/>
      <c r="B52" s="603"/>
      <c r="C52" s="555"/>
      <c r="D52" s="1417" t="s">
        <v>316</v>
      </c>
      <c r="E52" s="597">
        <v>1</v>
      </c>
      <c r="F52" s="555"/>
      <c r="G52" s="1417" t="s">
        <v>317</v>
      </c>
      <c r="H52" s="597" t="s">
        <v>135</v>
      </c>
      <c r="I52" s="555"/>
      <c r="J52" s="603"/>
      <c r="K52" s="638"/>
      <c r="L52" s="555"/>
      <c r="M52" s="603"/>
      <c r="N52" s="638"/>
      <c r="O52" s="586"/>
      <c r="P52" s="651"/>
      <c r="Q52" s="651"/>
    </row>
    <row r="53" spans="1:17" ht="14.55" x14ac:dyDescent="0.25">
      <c r="A53" s="603"/>
      <c r="B53" s="603"/>
      <c r="C53" s="555"/>
      <c r="D53" s="1417"/>
      <c r="E53" s="597">
        <v>2</v>
      </c>
      <c r="F53" s="555"/>
      <c r="G53" s="1417"/>
      <c r="H53" s="597" t="s">
        <v>318</v>
      </c>
      <c r="I53" s="555"/>
      <c r="J53" s="603"/>
      <c r="K53" s="638"/>
      <c r="L53" s="555"/>
      <c r="M53" s="603"/>
      <c r="N53" s="638"/>
      <c r="O53" s="586"/>
      <c r="P53" s="651"/>
      <c r="Q53" s="651"/>
    </row>
    <row r="54" spans="1:17" ht="14.55" x14ac:dyDescent="0.25">
      <c r="A54" s="603"/>
      <c r="B54" s="603"/>
      <c r="C54" s="603"/>
      <c r="D54" s="1417"/>
      <c r="E54" s="597">
        <v>3</v>
      </c>
      <c r="F54" s="603"/>
      <c r="G54" s="1417"/>
      <c r="H54" s="597" t="s">
        <v>319</v>
      </c>
      <c r="I54" s="603"/>
      <c r="J54" s="603"/>
      <c r="K54" s="638"/>
      <c r="L54" s="603"/>
      <c r="M54" s="603"/>
      <c r="N54" s="638"/>
      <c r="O54" s="603"/>
      <c r="P54" s="603"/>
      <c r="Q54" s="603"/>
    </row>
    <row r="55" spans="1:17" ht="14.55" x14ac:dyDescent="0.25">
      <c r="A55" s="603"/>
      <c r="B55" s="603"/>
      <c r="C55" s="603"/>
      <c r="D55" s="1417"/>
      <c r="E55" s="597">
        <v>4</v>
      </c>
      <c r="F55" s="603"/>
      <c r="G55" s="1417"/>
      <c r="H55" s="597" t="s">
        <v>320</v>
      </c>
      <c r="I55" s="603"/>
      <c r="J55" s="603"/>
      <c r="K55" s="638"/>
      <c r="L55" s="603"/>
      <c r="M55" s="603"/>
      <c r="N55" s="638"/>
      <c r="O55" s="603"/>
      <c r="P55" s="603"/>
      <c r="Q55" s="603"/>
    </row>
    <row r="56" spans="1:17" ht="14.55" x14ac:dyDescent="0.25">
      <c r="A56" s="603"/>
      <c r="B56" s="603"/>
      <c r="C56" s="603"/>
      <c r="D56" s="1417"/>
      <c r="E56" s="597">
        <v>5</v>
      </c>
      <c r="F56" s="603"/>
      <c r="G56" s="1417"/>
      <c r="H56" s="597" t="s">
        <v>321</v>
      </c>
      <c r="I56" s="603"/>
      <c r="J56" s="603"/>
      <c r="K56" s="638"/>
      <c r="L56" s="603"/>
      <c r="M56" s="603"/>
      <c r="N56" s="638"/>
      <c r="O56" s="603"/>
      <c r="P56" s="603"/>
      <c r="Q56" s="603"/>
    </row>
    <row r="57" spans="1:17" ht="15.2" thickBot="1" x14ac:dyDescent="0.35">
      <c r="B57" s="594"/>
      <c r="C57" s="594"/>
      <c r="D57" s="594"/>
      <c r="E57" s="594"/>
      <c r="F57" s="594"/>
      <c r="G57" s="1418" t="s">
        <v>322</v>
      </c>
      <c r="H57" s="1418"/>
      <c r="I57" s="1414" t="s">
        <v>323</v>
      </c>
      <c r="J57" s="1414"/>
      <c r="K57" s="1414" t="s">
        <v>324</v>
      </c>
      <c r="L57" s="1414"/>
      <c r="M57" s="594"/>
    </row>
    <row r="58" spans="1:17" ht="15.2" thickBot="1" x14ac:dyDescent="0.3">
      <c r="B58" s="1405" t="s">
        <v>325</v>
      </c>
      <c r="C58" s="1406"/>
      <c r="D58" s="1406"/>
      <c r="E58" s="1407"/>
      <c r="F58" s="603"/>
      <c r="G58" s="1400">
        <f>'Hochbauplanung '!H23</f>
        <v>0</v>
      </c>
      <c r="H58" s="1401"/>
      <c r="I58" s="1400">
        <f>'Hochbauplanung '!L23</f>
        <v>0</v>
      </c>
      <c r="J58" s="1401"/>
      <c r="K58" s="1400">
        <f>'Hochbauplanung '!P23</f>
        <v>0</v>
      </c>
      <c r="L58" s="1401"/>
      <c r="M58" s="718"/>
      <c r="N58" s="718"/>
    </row>
    <row r="59" spans="1:17" ht="14.55" x14ac:dyDescent="0.3">
      <c r="B59" s="603"/>
      <c r="C59" s="603"/>
      <c r="D59" s="603"/>
      <c r="E59" s="603"/>
      <c r="F59" s="603"/>
      <c r="G59" s="603"/>
      <c r="H59" s="603"/>
      <c r="I59" s="594"/>
      <c r="J59" s="594"/>
      <c r="K59" s="594"/>
      <c r="L59" s="594"/>
      <c r="M59" s="603"/>
      <c r="N59" s="603"/>
    </row>
    <row r="60" spans="1:17" ht="14.55" x14ac:dyDescent="0.3">
      <c r="B60" s="633"/>
      <c r="C60" s="603"/>
      <c r="D60" s="603"/>
      <c r="E60" s="603"/>
      <c r="F60" s="603"/>
      <c r="G60" s="603"/>
      <c r="H60" s="603"/>
      <c r="I60" s="594"/>
      <c r="J60" s="594"/>
      <c r="K60" s="594"/>
      <c r="L60" s="594"/>
      <c r="M60" s="603"/>
      <c r="N60" s="603"/>
    </row>
    <row r="61" spans="1:17" ht="14.55" x14ac:dyDescent="0.3">
      <c r="B61" s="603"/>
      <c r="C61" s="603"/>
      <c r="D61" s="603"/>
      <c r="E61" s="603"/>
      <c r="F61" s="603"/>
      <c r="G61" s="603"/>
      <c r="H61" s="603"/>
      <c r="I61" s="594"/>
      <c r="J61" s="594"/>
      <c r="K61" s="594"/>
      <c r="L61" s="594"/>
      <c r="M61" s="603"/>
      <c r="N61" s="603"/>
    </row>
    <row r="62" spans="1:17" ht="14.55" x14ac:dyDescent="0.3">
      <c r="B62" s="1422" t="s">
        <v>316</v>
      </c>
      <c r="C62" s="1423"/>
      <c r="D62" s="1423"/>
      <c r="E62" s="1424"/>
      <c r="F62" s="644"/>
      <c r="G62" s="1462">
        <f>'Hochbauplanung '!F28</f>
        <v>4</v>
      </c>
      <c r="H62" s="1463"/>
      <c r="I62" s="594"/>
      <c r="J62" s="594"/>
      <c r="K62" s="719"/>
      <c r="L62" s="594"/>
      <c r="M62" s="645"/>
      <c r="N62" s="645"/>
    </row>
    <row r="63" spans="1:17" ht="14.55" x14ac:dyDescent="0.3">
      <c r="B63" s="1422" t="s">
        <v>317</v>
      </c>
      <c r="C63" s="1423"/>
      <c r="D63" s="1423"/>
      <c r="E63" s="1424"/>
      <c r="F63" s="644"/>
      <c r="G63" s="1462" t="str">
        <f>'Hochbauplanung '!F29</f>
        <v>Basishonorarsatz</v>
      </c>
      <c r="H63" s="1463"/>
      <c r="I63" s="594"/>
      <c r="J63" s="594"/>
      <c r="K63" s="594"/>
      <c r="L63" s="594"/>
      <c r="M63" s="645"/>
      <c r="N63" s="645"/>
    </row>
    <row r="64" spans="1:17" ht="14.55" x14ac:dyDescent="0.3">
      <c r="B64" s="603"/>
      <c r="C64" s="603"/>
      <c r="D64" s="603"/>
      <c r="E64" s="603"/>
      <c r="F64" s="603"/>
      <c r="G64" s="603"/>
      <c r="H64" s="603"/>
      <c r="I64" s="594"/>
      <c r="J64" s="594"/>
      <c r="K64" s="594"/>
      <c r="L64" s="594"/>
      <c r="M64" s="594"/>
    </row>
    <row r="65" spans="2:14" ht="14.55" x14ac:dyDescent="0.3">
      <c r="B65" s="603"/>
      <c r="C65" s="603"/>
      <c r="D65" s="603"/>
      <c r="E65" s="603"/>
      <c r="F65" s="603"/>
      <c r="G65" s="603"/>
      <c r="H65" s="603"/>
      <c r="I65" s="594"/>
      <c r="J65" s="594"/>
      <c r="K65" s="594"/>
      <c r="L65" s="594"/>
      <c r="M65" s="594"/>
    </row>
    <row r="66" spans="2:14" ht="14.55" x14ac:dyDescent="0.3">
      <c r="B66" s="633" t="s">
        <v>326</v>
      </c>
      <c r="C66" s="603"/>
      <c r="D66" s="603"/>
      <c r="E66" s="603"/>
      <c r="F66" s="603"/>
      <c r="G66" s="603"/>
      <c r="H66" s="603"/>
      <c r="I66" s="594"/>
      <c r="J66" s="594"/>
      <c r="K66" s="594"/>
      <c r="L66" s="594"/>
      <c r="M66" s="594"/>
    </row>
    <row r="67" spans="2:14" ht="14.55" x14ac:dyDescent="0.3">
      <c r="B67" s="603"/>
      <c r="C67" s="603"/>
      <c r="D67" s="603"/>
      <c r="E67" s="603"/>
      <c r="F67" s="603"/>
      <c r="G67" s="1418" t="s">
        <v>322</v>
      </c>
      <c r="H67" s="1418"/>
      <c r="I67" s="1414" t="s">
        <v>323</v>
      </c>
      <c r="J67" s="1414"/>
      <c r="K67" s="1466" t="s">
        <v>324</v>
      </c>
      <c r="L67" s="1466"/>
      <c r="M67" s="1466"/>
    </row>
    <row r="68" spans="2:14" ht="14.55" x14ac:dyDescent="0.25">
      <c r="C68" s="709"/>
      <c r="D68" s="1397" t="s">
        <v>327</v>
      </c>
      <c r="E68" s="1425" t="s">
        <v>316</v>
      </c>
      <c r="F68" s="646"/>
      <c r="G68" s="720" t="s">
        <v>328</v>
      </c>
      <c r="H68" s="721">
        <f>IF($G$58&lt;$B$8,0,IF($G$58&gt;$B$46,0,VLOOKUP($G$58,$B$8:$B$46,1)))</f>
        <v>0</v>
      </c>
      <c r="I68" s="720" t="s">
        <v>328</v>
      </c>
      <c r="J68" s="721">
        <f>IF($I$58&lt;$B$8,0,IF($I$58&gt;$B$46,0,VLOOKUP($I$58,$B$8:$B$46,1)))</f>
        <v>0</v>
      </c>
      <c r="K68" s="720" t="s">
        <v>328</v>
      </c>
      <c r="L68" s="1458">
        <f>IF($K$58&lt;$B$8,0,IF($K$58&gt;$B$46,0,VLOOKUP(K58,B8:B46,1)))</f>
        <v>0</v>
      </c>
      <c r="M68" s="1459"/>
      <c r="N68" s="646"/>
    </row>
    <row r="69" spans="2:14" ht="14.55" x14ac:dyDescent="0.25">
      <c r="B69" s="709"/>
      <c r="C69" s="709"/>
      <c r="D69" s="1398"/>
      <c r="E69" s="1426"/>
      <c r="F69" s="603"/>
      <c r="G69" s="649" t="s">
        <v>135</v>
      </c>
      <c r="H69" s="650" t="s">
        <v>321</v>
      </c>
      <c r="I69" s="649" t="s">
        <v>135</v>
      </c>
      <c r="J69" s="650" t="s">
        <v>321</v>
      </c>
      <c r="K69" s="649" t="s">
        <v>135</v>
      </c>
      <c r="L69" s="1460" t="s">
        <v>321</v>
      </c>
      <c r="M69" s="1461"/>
      <c r="N69" s="651"/>
    </row>
    <row r="70" spans="2:14" ht="14.55" x14ac:dyDescent="0.25">
      <c r="B70" s="709"/>
      <c r="C70" s="709"/>
      <c r="D70" s="1398"/>
      <c r="E70" s="759">
        <v>1</v>
      </c>
      <c r="F70" s="603"/>
      <c r="G70" s="648">
        <f>IF($G$58&lt;$B$8,0,IF($G$58&gt;$B$46,0,VLOOKUP($H$68,$B$8:$R$46,3)))</f>
        <v>0</v>
      </c>
      <c r="H70" s="648">
        <f>IF($G$58&lt;$B$8,0,IF($G$58&gt;$B$46,0,VLOOKUP(G70,$D$8:$E$46,2)))</f>
        <v>0</v>
      </c>
      <c r="I70" s="648">
        <f>IF($I$58&lt;$B$8,0,IF($I$58&gt;$B$46,0,VLOOKUP($J$68,$B$8:$Q$46,3)))</f>
        <v>0</v>
      </c>
      <c r="J70" s="648">
        <f>IF($I$58&lt;$B$8,0,IF($I$58&gt;$B$46,0,VLOOKUP(I70,$D$8:$E$46,2)))</f>
        <v>0</v>
      </c>
      <c r="K70" s="648">
        <f>IF($K$58&lt;$B$8,0,IF($K$58&gt;$B$46,0,VLOOKUP($L$68,$B$8:$Q$46,3)))</f>
        <v>0</v>
      </c>
      <c r="L70" s="1472">
        <f>IF($K$58&lt;$B$8,0,IF($K$58&gt;$B$46,0,VLOOKUP(K70,$D$8:$E$46,2)))</f>
        <v>0</v>
      </c>
      <c r="M70" s="1473"/>
      <c r="N70" s="646"/>
    </row>
    <row r="71" spans="2:14" ht="14.55" x14ac:dyDescent="0.25">
      <c r="B71" s="709"/>
      <c r="C71" s="709"/>
      <c r="D71" s="1398"/>
      <c r="E71" s="759">
        <v>2</v>
      </c>
      <c r="F71" s="603"/>
      <c r="G71" s="648">
        <f>IF($G$58&lt;$B$8,0,IF($G$58&gt;$B$46,0,VLOOKUP($H$68,$B$8:$Q$46,6)))</f>
        <v>0</v>
      </c>
      <c r="H71" s="648">
        <f>IF($G$58&lt;$B$8,0,IF($G$58&gt;$B$46,0,VLOOKUP(G71,$G$8:$H$46,2)))</f>
        <v>0</v>
      </c>
      <c r="I71" s="648">
        <f>IF($I$58&lt;$B$8,0,IF($I$58&gt;$B$46,0,VLOOKUP($J$68,$B$8:$Q$46,6)))</f>
        <v>0</v>
      </c>
      <c r="J71" s="648">
        <f>IF($I$58&lt;$B$8,0,IF($I$58&gt;$B$46,0,VLOOKUP(I71,$G$8:$H$46,2)))</f>
        <v>0</v>
      </c>
      <c r="K71" s="648">
        <f>IF($K$58&lt;$B$8,0,IF($K$58&gt;$B$46,0,VLOOKUP($L$68,$B$8:$Q$46,6)))</f>
        <v>0</v>
      </c>
      <c r="L71" s="1472">
        <f>IF($K$58&lt;$B$8,0,IF($K$58&gt;$B$46,0,VLOOKUP(K71,$G$8:$H$46,2)))</f>
        <v>0</v>
      </c>
      <c r="M71" s="1473"/>
      <c r="N71" s="646"/>
    </row>
    <row r="72" spans="2:14" ht="14.55" x14ac:dyDescent="0.25">
      <c r="B72" s="709"/>
      <c r="C72" s="709"/>
      <c r="D72" s="1398"/>
      <c r="E72" s="759">
        <v>3</v>
      </c>
      <c r="F72" s="603"/>
      <c r="G72" s="648">
        <f>IF($G$58&lt;$B$8,0,IF($G$58&gt;$B$46,0,VLOOKUP($H$68,$B$8:$Q$46,9)))</f>
        <v>0</v>
      </c>
      <c r="H72" s="648">
        <f>IF($G$58&lt;$B$8,0,IF($G$58&gt;$B$46,0,VLOOKUP(G72,$J$8:$K$46,2)))</f>
        <v>0</v>
      </c>
      <c r="I72" s="648">
        <f>IF($I$58&lt;$B$8,0,IF($I$58&gt;$B$46,0,VLOOKUP($J$68,$B$8:$Q$46,9)))</f>
        <v>0</v>
      </c>
      <c r="J72" s="648">
        <f>IF($I$58&lt;$B$8,0,IF($I$58&gt;$B$46,0,VLOOKUP(I72,$J$8:$K$46,2)))</f>
        <v>0</v>
      </c>
      <c r="K72" s="648">
        <f>IF($K$58&lt;$B$8,0,IF($K$58&gt;$B$46,0,VLOOKUP($L$68,$B$8:$Q$46,9)))</f>
        <v>0</v>
      </c>
      <c r="L72" s="1472">
        <f>IF($K$58&lt;$B$8,0,IF($K$58&gt;$B$46,0,VLOOKUP(K72,$J$8:$K$46,2)))</f>
        <v>0</v>
      </c>
      <c r="M72" s="1473"/>
      <c r="N72" s="646"/>
    </row>
    <row r="73" spans="2:14" ht="14.55" x14ac:dyDescent="0.25">
      <c r="B73" s="709"/>
      <c r="C73" s="709"/>
      <c r="D73" s="1398"/>
      <c r="E73" s="759">
        <v>4</v>
      </c>
      <c r="F73" s="603"/>
      <c r="G73" s="648">
        <f>IF($G$58&lt;$B$8,0,IF($G$58&gt;$B$46,0,VLOOKUP($H$68,$B$8:$Q$46,12)))</f>
        <v>0</v>
      </c>
      <c r="H73" s="648">
        <f>IF($G$58&lt;$B$8,0,IF($G$58&gt;$B$46,0,VLOOKUP(G73,$M$8:$N$46,2)))</f>
        <v>0</v>
      </c>
      <c r="I73" s="648">
        <f>IF($I$58&lt;$B$8,0,IF($I$58&gt;$B$46,0,VLOOKUP($J$68,$B$8:$Q$46,12)))</f>
        <v>0</v>
      </c>
      <c r="J73" s="648">
        <f>IF($I$58&lt;$B$8,0,IF($I$58&gt;$B$46,0,VLOOKUP(I73,$M$8:$N$46,2)))</f>
        <v>0</v>
      </c>
      <c r="K73" s="648">
        <f>IF($K$58&lt;$B$8,0,IF($K$58&gt;$B$46,0,VLOOKUP($L$68,$B$8:$Q$46,12)))</f>
        <v>0</v>
      </c>
      <c r="L73" s="1472">
        <f>IF($K$58&lt;$B$8,0,IF($K$58&gt;$B$46,0,VLOOKUP(K73,$M$8:$N$46,2)))</f>
        <v>0</v>
      </c>
      <c r="M73" s="1473"/>
      <c r="N73" s="646"/>
    </row>
    <row r="74" spans="2:14" ht="14.55" x14ac:dyDescent="0.25">
      <c r="B74" s="709"/>
      <c r="C74" s="709"/>
      <c r="D74" s="1399"/>
      <c r="E74" s="759">
        <v>5</v>
      </c>
      <c r="F74" s="603"/>
      <c r="G74" s="648">
        <f>IF($G$58&lt;$B$8,0,IF($G$58&gt;$B$46,0,VLOOKUP($H$68,$B$8:$Q$46,15)))</f>
        <v>0</v>
      </c>
      <c r="H74" s="648">
        <f>IF($G$58&lt;$B$8,0,IF($G$58&gt;$B$46,0,VLOOKUP(G74,$P$8:$Q$46,2)))</f>
        <v>0</v>
      </c>
      <c r="I74" s="648">
        <f>IF($I$58&lt;$B$8,0,IF($I$58&gt;$B$46,0,VLOOKUP($J$68,$B$8:$Q$46,15)))</f>
        <v>0</v>
      </c>
      <c r="J74" s="648">
        <f>IF($I$58&lt;$B$8,0,IF($I$58&gt;$B$46,0,VLOOKUP(I74,$P$8:$Q$46,2)))</f>
        <v>0</v>
      </c>
      <c r="K74" s="648">
        <f>IF($K$58&lt;$B$8,0,IF($K$58&gt;$B$46,0,VLOOKUP($L$68,$B$8:$Q$46,15)))</f>
        <v>0</v>
      </c>
      <c r="L74" s="1472">
        <f>IF($K$58&lt;$B$8,0,IF($K$58&gt;$B$46,0,VLOOKUP(K74,$P$8:$Q$46,2)))</f>
        <v>0</v>
      </c>
      <c r="M74" s="1473"/>
      <c r="N74" s="646"/>
    </row>
    <row r="75" spans="2:14" ht="14.55" x14ac:dyDescent="0.25">
      <c r="B75" s="652"/>
      <c r="C75" s="652"/>
      <c r="D75" s="652"/>
      <c r="E75" s="603"/>
      <c r="F75" s="603"/>
      <c r="G75" s="722"/>
      <c r="H75" s="651"/>
    </row>
    <row r="76" spans="2:14" ht="14.55" x14ac:dyDescent="0.25">
      <c r="C76" s="709"/>
      <c r="D76" s="1397" t="s">
        <v>329</v>
      </c>
      <c r="E76" s="1425" t="s">
        <v>316</v>
      </c>
      <c r="F76" s="603"/>
      <c r="G76" s="647" t="s">
        <v>328</v>
      </c>
      <c r="H76" s="648" cm="1">
        <f t="array" ref="H76">IF($G$58&lt;$B$8,0,IF(G58&gt;B46,0,INDEX(B8:B46,MATCH(G58,B8:B46,1)+(IF(G58=B46,0,1)),1)))</f>
        <v>0</v>
      </c>
      <c r="I76" s="647" t="s">
        <v>328</v>
      </c>
      <c r="J76" s="648" cm="1">
        <f t="array" ref="J76">IF($I$58&lt;$B$8,0,IF(I58&gt;B46,0,INDEX(B8:B46,MATCH(I58,B8:B46,1)+(IF(G58=B46,0,1)),1)))</f>
        <v>0</v>
      </c>
      <c r="K76" s="647" t="s">
        <v>328</v>
      </c>
      <c r="L76" s="1458" cm="1">
        <f t="array" ref="L76">IF($K$58&lt;$B$8,0,IF($K$58&gt;$B$46,0,INDEX(B8:B46,MATCH(K58,B8:B46,1)+1,1)))</f>
        <v>0</v>
      </c>
      <c r="M76" s="1459"/>
      <c r="N76" s="646"/>
    </row>
    <row r="77" spans="2:14" ht="14.55" x14ac:dyDescent="0.25">
      <c r="B77" s="709"/>
      <c r="C77" s="709"/>
      <c r="D77" s="1398"/>
      <c r="E77" s="1426"/>
      <c r="F77" s="603"/>
      <c r="G77" s="649" t="s">
        <v>135</v>
      </c>
      <c r="H77" s="650" t="s">
        <v>321</v>
      </c>
      <c r="I77" s="649" t="s">
        <v>135</v>
      </c>
      <c r="J77" s="650" t="s">
        <v>321</v>
      </c>
      <c r="K77" s="649" t="s">
        <v>135</v>
      </c>
      <c r="L77" s="1460" t="s">
        <v>321</v>
      </c>
      <c r="M77" s="1461"/>
      <c r="N77" s="651"/>
    </row>
    <row r="78" spans="2:14" ht="14.55" x14ac:dyDescent="0.25">
      <c r="B78" s="709"/>
      <c r="C78" s="709"/>
      <c r="D78" s="1398"/>
      <c r="E78" s="759">
        <v>1</v>
      </c>
      <c r="F78" s="603"/>
      <c r="G78" s="648">
        <f>IF($G$58&lt;$B$8,0,IF($G$58&gt;$B$46,0,VLOOKUP($H$76,$B$8:$Q$46,3)))</f>
        <v>0</v>
      </c>
      <c r="H78" s="648">
        <f>IF($G$58&lt;$B$8,0,IF($G$58&gt;$B$46,0,VLOOKUP(G78,$D$8:$E$46,2)))</f>
        <v>0</v>
      </c>
      <c r="I78" s="648">
        <f>IF($I$58&lt;$B$8,0,IF($I$58&gt;$B$46,0,VLOOKUP($J$76,$B$8:$Q$46,3)))</f>
        <v>0</v>
      </c>
      <c r="J78" s="648">
        <f>IF($I$58&lt;$B$8,0,IF($I$58&gt;$B$46,0,VLOOKUP(I78,$D$8:$E$46,2)))</f>
        <v>0</v>
      </c>
      <c r="K78" s="648">
        <f>IF($K$58&lt;$B$8,0,IF($K$58&gt;$B$46,0,VLOOKUP($L$76,$B$8:$Q$46,3)))</f>
        <v>0</v>
      </c>
      <c r="L78" s="1472">
        <f>IF($K$58&lt;$B$8,0,IF($K$58&gt;$B$46,0,VLOOKUP(K78,$D$8:$E$46,2)))</f>
        <v>0</v>
      </c>
      <c r="M78" s="1473"/>
      <c r="N78" s="646"/>
    </row>
    <row r="79" spans="2:14" ht="14.55" x14ac:dyDescent="0.25">
      <c r="B79" s="709"/>
      <c r="C79" s="709"/>
      <c r="D79" s="1398"/>
      <c r="E79" s="759">
        <v>2</v>
      </c>
      <c r="F79" s="603"/>
      <c r="G79" s="648">
        <f>IF($G$58&lt;$B$8,0,IF($G$58&gt;$B$46,0,VLOOKUP($H$76,$B$8:$Q$46,6)))</f>
        <v>0</v>
      </c>
      <c r="H79" s="648">
        <f>IF($G$58&lt;$B$8,0,IF($G$58&gt;$B$46,0,VLOOKUP(G79,$G$8:$H$46,2)))</f>
        <v>0</v>
      </c>
      <c r="I79" s="648">
        <f>IF($I$58&lt;$B$8,0,IF($I$58&gt;$B$46,0,VLOOKUP($J$76,$B$8:$Q$46,6)))</f>
        <v>0</v>
      </c>
      <c r="J79" s="648">
        <f>IF($I$58&lt;$B$8,0,IF($I$58&gt;$B$46,0,VLOOKUP(I79,$G$8:$H$46,2)))</f>
        <v>0</v>
      </c>
      <c r="K79" s="648">
        <f>IF($K$58&lt;$B$8,0,IF($K$58&gt;$B$46,0,VLOOKUP($L$76,$B$8:$Q$46,6)))</f>
        <v>0</v>
      </c>
      <c r="L79" s="1472">
        <f>IF($K$58&lt;$B$8,0,IF($K$58&gt;$B$46,0,VLOOKUP(K79,$G$8:$H$46,2)))</f>
        <v>0</v>
      </c>
      <c r="M79" s="1473"/>
      <c r="N79" s="646"/>
    </row>
    <row r="80" spans="2:14" ht="14.55" x14ac:dyDescent="0.25">
      <c r="B80" s="709"/>
      <c r="C80" s="709"/>
      <c r="D80" s="1398"/>
      <c r="E80" s="759">
        <v>3</v>
      </c>
      <c r="F80" s="603"/>
      <c r="G80" s="648">
        <f>IF($G$58&lt;$B$8,0,IF($G$58&gt;$B$46,0,VLOOKUP($H$76,$B$8:$Q$46,9)))</f>
        <v>0</v>
      </c>
      <c r="H80" s="648">
        <f>IF($G$58&lt;$B$8,0,IF($G$58&gt;$B$46,0,VLOOKUP(G80,$J$8:$K$46,2)))</f>
        <v>0</v>
      </c>
      <c r="I80" s="648">
        <f>IF($I$58&lt;$B$8,0,IF($I$58&gt;$B$46,0,VLOOKUP($J$76,$B$8:$Q$46,9)))</f>
        <v>0</v>
      </c>
      <c r="J80" s="648">
        <f>IF($I$58&lt;$B$8,0,IF($I$58&gt;$B$46,0,VLOOKUP(I80,$J$8:$K$46,2)))</f>
        <v>0</v>
      </c>
      <c r="K80" s="648">
        <f>IF($K$58&lt;$B$8,0,IF($K$58&gt;$B$46,0,VLOOKUP($L$76,$B$8:$Q$46,9)))</f>
        <v>0</v>
      </c>
      <c r="L80" s="1472">
        <f>IF($K$58&lt;$B$8,0,IF($K$58&gt;$B$46,0,VLOOKUP(K80,$J$8:$K$46,2)))</f>
        <v>0</v>
      </c>
      <c r="M80" s="1473"/>
      <c r="N80" s="646"/>
    </row>
    <row r="81" spans="2:14" ht="14.55" x14ac:dyDescent="0.25">
      <c r="B81" s="709"/>
      <c r="C81" s="709"/>
      <c r="D81" s="1398"/>
      <c r="E81" s="759">
        <v>4</v>
      </c>
      <c r="F81" s="603"/>
      <c r="G81" s="648">
        <f>IF($G$58&lt;$B$8,0,IF($G$58&gt;$B$46,0,VLOOKUP($H$76,$B$8:$Q$46,12)))</f>
        <v>0</v>
      </c>
      <c r="H81" s="648">
        <f>IF($G$58&lt;$B$8,0,IF($G$58&gt;$B$46,0,VLOOKUP(G81,$M$8:$N$46,2)))</f>
        <v>0</v>
      </c>
      <c r="I81" s="648">
        <f>IF($I$58&lt;$B$8,0,IF($I$58&gt;$B$46,0,VLOOKUP($J$76,$B$8:$Q$46,12)))</f>
        <v>0</v>
      </c>
      <c r="J81" s="648">
        <f>IF($I$58&lt;$B$8,0,IF($I$58&gt;$B$46,0,VLOOKUP(I81,$M$8:$N$46,2)))</f>
        <v>0</v>
      </c>
      <c r="K81" s="648">
        <f>IF($K$58&lt;$B$8,0,IF($K$58&gt;$B$46,0,VLOOKUP($L$76,$B$8:$Q$46,12)))</f>
        <v>0</v>
      </c>
      <c r="L81" s="1472">
        <f>IF($K$58&lt;$B$8,0,IF($K$58&gt;$B$46,0,VLOOKUP(K81,$M$8:$N$46,2)))</f>
        <v>0</v>
      </c>
      <c r="M81" s="1473"/>
      <c r="N81" s="646"/>
    </row>
    <row r="82" spans="2:14" ht="14.55" x14ac:dyDescent="0.25">
      <c r="B82" s="709"/>
      <c r="C82" s="709"/>
      <c r="D82" s="1399"/>
      <c r="E82" s="759">
        <v>5</v>
      </c>
      <c r="F82" s="603"/>
      <c r="G82" s="648">
        <f>IF($G$58&lt;$B$8,0,IF($G$58&gt;$B$46,0,VLOOKUP($H$76,$B$8:$Q$46,15)))</f>
        <v>0</v>
      </c>
      <c r="H82" s="648">
        <f>IF($G$58&lt;$B$8,0,IF($G$58&gt;$B$46,0,VLOOKUP(G82,$P$8:$Q$46,2)))</f>
        <v>0</v>
      </c>
      <c r="I82" s="648">
        <f>IF($I$58&lt;$B$8,0,IF($I$58&gt;$B$46,0,VLOOKUP($J$76,$B$8:$Q$46,15)))</f>
        <v>0</v>
      </c>
      <c r="J82" s="648">
        <f>IF($I$58&lt;$B$8,0,IF($I$58&gt;$B$46,0,VLOOKUP(I82,$P$8:$Q$46,2)))</f>
        <v>0</v>
      </c>
      <c r="K82" s="648">
        <f>IF($K$58&lt;$B$8,0,IF($K$58&gt;$B$46,0,VLOOKUP($L$76,$B$8:$Q$46,15)))</f>
        <v>0</v>
      </c>
      <c r="L82" s="1472">
        <f>IF($K$58&lt;$B$8,0,IF($K$58&gt;$B$46,0,VLOOKUP(K82,$P$8:$Q$46,2)))</f>
        <v>0</v>
      </c>
      <c r="M82" s="1473"/>
      <c r="N82" s="646"/>
    </row>
    <row r="84" spans="2:14" x14ac:dyDescent="0.25">
      <c r="B84" s="630" t="s">
        <v>330</v>
      </c>
    </row>
    <row r="86" spans="2:14" ht="14.55" x14ac:dyDescent="0.25">
      <c r="B86" s="652"/>
      <c r="C86" s="652"/>
      <c r="D86" s="652"/>
      <c r="E86" s="603"/>
      <c r="F86" s="603"/>
      <c r="G86" s="649" t="s">
        <v>135</v>
      </c>
      <c r="H86" s="650" t="s">
        <v>321</v>
      </c>
      <c r="I86" s="649" t="s">
        <v>135</v>
      </c>
      <c r="J86" s="650" t="s">
        <v>321</v>
      </c>
      <c r="K86" s="649" t="s">
        <v>135</v>
      </c>
      <c r="L86" s="1417" t="s">
        <v>321</v>
      </c>
      <c r="M86" s="1417"/>
      <c r="N86" s="651"/>
    </row>
    <row r="87" spans="2:14" ht="14.55" x14ac:dyDescent="0.25">
      <c r="B87" s="1415" t="s">
        <v>327</v>
      </c>
      <c r="C87" s="1415"/>
      <c r="D87" s="1415"/>
      <c r="E87" s="1415"/>
      <c r="F87" s="603"/>
      <c r="G87" s="655">
        <f>VLOOKUP($G$62,$E$70:$H$74,3)</f>
        <v>0</v>
      </c>
      <c r="H87" s="655">
        <f>VLOOKUP(G62,$E$70:$H$74,4)</f>
        <v>0</v>
      </c>
      <c r="I87" s="655">
        <f>VLOOKUP($G$62,$E$70:$J$74,5)</f>
        <v>0</v>
      </c>
      <c r="J87" s="655">
        <f>VLOOKUP(G62,$E$70:$J$74,6)</f>
        <v>0</v>
      </c>
      <c r="K87" s="655">
        <f>VLOOKUP($G$62,$E$70:$K$74,7)</f>
        <v>0</v>
      </c>
      <c r="L87" s="1469">
        <f>VLOOKUP(G62,$E$70:$M$74,8)</f>
        <v>0</v>
      </c>
      <c r="M87" s="1469"/>
      <c r="N87" s="656"/>
    </row>
    <row r="88" spans="2:14" ht="14.55" x14ac:dyDescent="0.25">
      <c r="B88" s="1415" t="s">
        <v>329</v>
      </c>
      <c r="C88" s="1415"/>
      <c r="D88" s="1415"/>
      <c r="E88" s="1415"/>
      <c r="F88" s="603"/>
      <c r="G88" s="655">
        <f>VLOOKUP($G$62,$E$78:$H$82,3)</f>
        <v>0</v>
      </c>
      <c r="H88" s="655">
        <f>VLOOKUP(G62,$E$78:$H$82,4)</f>
        <v>0</v>
      </c>
      <c r="I88" s="655">
        <f>VLOOKUP($G$62,$E$78:$J$82,5)</f>
        <v>0</v>
      </c>
      <c r="J88" s="655">
        <f>VLOOKUP(G62,$E$78:$K$82,6)</f>
        <v>0</v>
      </c>
      <c r="K88" s="655">
        <f>VLOOKUP($G$62,$E$78:$K$82,7)</f>
        <v>0</v>
      </c>
      <c r="L88" s="1469">
        <f>VLOOKUP(G62,$E$78:$M$82,8)</f>
        <v>0</v>
      </c>
      <c r="M88" s="1469"/>
      <c r="N88" s="656"/>
    </row>
    <row r="89" spans="2:14" ht="14.55" x14ac:dyDescent="0.25">
      <c r="B89" s="1419" t="s">
        <v>331</v>
      </c>
      <c r="C89" s="1420"/>
      <c r="D89" s="1420"/>
      <c r="E89" s="1421"/>
      <c r="F89" s="603"/>
      <c r="G89" s="723">
        <f>G88-G87</f>
        <v>0</v>
      </c>
      <c r="H89" s="723">
        <f t="shared" ref="H89:L89" si="4">H88-H87</f>
        <v>0</v>
      </c>
      <c r="I89" s="723">
        <f t="shared" si="4"/>
        <v>0</v>
      </c>
      <c r="J89" s="723">
        <f t="shared" si="4"/>
        <v>0</v>
      </c>
      <c r="K89" s="723">
        <f t="shared" si="4"/>
        <v>0</v>
      </c>
      <c r="L89" s="1470">
        <f t="shared" si="4"/>
        <v>0</v>
      </c>
      <c r="M89" s="1470"/>
      <c r="N89" s="724"/>
    </row>
    <row r="90" spans="2:14" ht="14.55" x14ac:dyDescent="0.25">
      <c r="B90" s="1415" t="s">
        <v>332</v>
      </c>
      <c r="C90" s="1415"/>
      <c r="D90" s="1415"/>
      <c r="E90" s="1415"/>
      <c r="F90" s="603"/>
      <c r="G90" s="723">
        <f>G58-H68</f>
        <v>0</v>
      </c>
      <c r="H90" s="659">
        <f>G62</f>
        <v>4</v>
      </c>
      <c r="I90" s="723">
        <f>I58-J68</f>
        <v>0</v>
      </c>
      <c r="J90" s="659">
        <f>G62</f>
        <v>4</v>
      </c>
      <c r="K90" s="723">
        <f>K58-L68</f>
        <v>0</v>
      </c>
      <c r="L90" s="1471">
        <f>G62</f>
        <v>4</v>
      </c>
      <c r="M90" s="1471"/>
      <c r="N90" s="725"/>
    </row>
    <row r="93" spans="2:14" x14ac:dyDescent="0.25">
      <c r="B93" s="630" t="s">
        <v>333</v>
      </c>
    </row>
    <row r="95" spans="2:14" ht="14.55" x14ac:dyDescent="0.25">
      <c r="B95" s="603"/>
      <c r="C95" s="603"/>
      <c r="D95" s="651"/>
      <c r="E95" s="603"/>
      <c r="F95" s="651"/>
      <c r="G95" s="649" t="s">
        <v>135</v>
      </c>
      <c r="H95" s="650" t="s">
        <v>321</v>
      </c>
      <c r="I95" s="649" t="s">
        <v>135</v>
      </c>
      <c r="J95" s="650" t="s">
        <v>321</v>
      </c>
      <c r="K95" s="649" t="s">
        <v>135</v>
      </c>
      <c r="L95" s="1417" t="s">
        <v>321</v>
      </c>
      <c r="M95" s="1417"/>
      <c r="N95" s="651"/>
    </row>
    <row r="96" spans="2:14" ht="14.55" x14ac:dyDescent="0.25">
      <c r="B96" s="1416" t="s">
        <v>334</v>
      </c>
      <c r="C96" s="1416"/>
      <c r="D96" s="1416"/>
      <c r="E96" s="1416"/>
      <c r="F96" s="660"/>
      <c r="G96" s="655">
        <f>G87</f>
        <v>0</v>
      </c>
      <c r="H96" s="655">
        <f t="shared" ref="H96:L96" si="5">H87</f>
        <v>0</v>
      </c>
      <c r="I96" s="655">
        <f t="shared" si="5"/>
        <v>0</v>
      </c>
      <c r="J96" s="655">
        <f t="shared" si="5"/>
        <v>0</v>
      </c>
      <c r="K96" s="655">
        <f t="shared" si="5"/>
        <v>0</v>
      </c>
      <c r="L96" s="1469">
        <f t="shared" si="5"/>
        <v>0</v>
      </c>
      <c r="M96" s="1469"/>
      <c r="N96" s="656"/>
    </row>
    <row r="97" spans="2:22" ht="14.55" x14ac:dyDescent="0.25">
      <c r="B97" s="1416" t="s">
        <v>335</v>
      </c>
      <c r="C97" s="1416"/>
      <c r="D97" s="1416"/>
      <c r="E97" s="1416"/>
      <c r="F97" s="660"/>
      <c r="G97" s="655">
        <f>G90</f>
        <v>0</v>
      </c>
      <c r="H97" s="655">
        <f>G90</f>
        <v>0</v>
      </c>
      <c r="I97" s="655">
        <f>I90</f>
        <v>0</v>
      </c>
      <c r="J97" s="655">
        <f>I90</f>
        <v>0</v>
      </c>
      <c r="K97" s="655">
        <f>K90</f>
        <v>0</v>
      </c>
      <c r="L97" s="1469">
        <f>K90</f>
        <v>0</v>
      </c>
      <c r="M97" s="1469"/>
      <c r="N97" s="656"/>
    </row>
    <row r="98" spans="2:22" ht="14.55" x14ac:dyDescent="0.25">
      <c r="B98" s="1416" t="s">
        <v>336</v>
      </c>
      <c r="C98" s="1416"/>
      <c r="D98" s="1416"/>
      <c r="E98" s="1416"/>
      <c r="F98" s="660"/>
      <c r="G98" s="655">
        <f t="shared" ref="G98:L98" si="6">G89</f>
        <v>0</v>
      </c>
      <c r="H98" s="655">
        <f t="shared" si="6"/>
        <v>0</v>
      </c>
      <c r="I98" s="655">
        <f t="shared" si="6"/>
        <v>0</v>
      </c>
      <c r="J98" s="655">
        <f t="shared" si="6"/>
        <v>0</v>
      </c>
      <c r="K98" s="655">
        <f t="shared" si="6"/>
        <v>0</v>
      </c>
      <c r="L98" s="1469">
        <f t="shared" si="6"/>
        <v>0</v>
      </c>
      <c r="M98" s="1469"/>
      <c r="N98" s="656"/>
    </row>
    <row r="99" spans="2:22" ht="14.55" x14ac:dyDescent="0.25">
      <c r="B99" s="1416" t="s">
        <v>337</v>
      </c>
      <c r="C99" s="1416"/>
      <c r="D99" s="1416"/>
      <c r="E99" s="1416"/>
      <c r="F99" s="660"/>
      <c r="G99" s="655">
        <f>H76-H68</f>
        <v>0</v>
      </c>
      <c r="H99" s="655">
        <f>H76-H68</f>
        <v>0</v>
      </c>
      <c r="I99" s="655">
        <f>J76-J68</f>
        <v>0</v>
      </c>
      <c r="J99" s="655">
        <f>J76-J68</f>
        <v>0</v>
      </c>
      <c r="K99" s="655">
        <f>L76-L68</f>
        <v>0</v>
      </c>
      <c r="L99" s="1469">
        <f>L76-L68</f>
        <v>0</v>
      </c>
      <c r="M99" s="1469"/>
      <c r="N99" s="656"/>
    </row>
    <row r="100" spans="2:22" ht="15.2" thickBot="1" x14ac:dyDescent="0.3">
      <c r="B100" s="603"/>
      <c r="C100" s="603"/>
      <c r="D100" s="603"/>
      <c r="E100" s="646"/>
      <c r="F100" s="646"/>
      <c r="G100" s="661"/>
      <c r="H100" s="603"/>
    </row>
    <row r="101" spans="2:22" ht="14.55" x14ac:dyDescent="0.25">
      <c r="B101" s="662"/>
      <c r="C101" s="1417"/>
      <c r="D101" s="663" t="s">
        <v>135</v>
      </c>
      <c r="E101" s="664"/>
      <c r="F101" s="656"/>
      <c r="G101" s="603"/>
      <c r="H101" s="665">
        <f>IF(G99=0,0,G96+((G97*G98)/G99))</f>
        <v>0</v>
      </c>
      <c r="J101" s="665">
        <f>IF(I99=0,0,I96+((I97*I98)/I99))</f>
        <v>0</v>
      </c>
      <c r="L101" s="1476">
        <f>IF(K99=0,0,K96+((K97*K98)/K99))</f>
        <v>0</v>
      </c>
      <c r="M101" s="1477"/>
      <c r="N101" s="656"/>
    </row>
    <row r="102" spans="2:22" ht="14.55" x14ac:dyDescent="0.25">
      <c r="B102" s="666" t="s">
        <v>338</v>
      </c>
      <c r="C102" s="1417"/>
      <c r="D102" s="663" t="s">
        <v>318</v>
      </c>
      <c r="E102" s="664"/>
      <c r="F102" s="656"/>
      <c r="G102" s="603"/>
      <c r="H102" s="667">
        <f>((H105-H101)*0.25)+H101</f>
        <v>0</v>
      </c>
      <c r="J102" s="667">
        <f>((J105-J101)*0.25)+J101</f>
        <v>0</v>
      </c>
      <c r="L102" s="1478">
        <f>((L105-L101)*0.25)+L101</f>
        <v>0</v>
      </c>
      <c r="M102" s="1479"/>
      <c r="N102" s="656"/>
    </row>
    <row r="103" spans="2:22" ht="14.55" x14ac:dyDescent="0.25">
      <c r="B103" s="666"/>
      <c r="C103" s="1417"/>
      <c r="D103" s="663" t="s">
        <v>319</v>
      </c>
      <c r="E103" s="664"/>
      <c r="F103" s="656"/>
      <c r="G103" s="603"/>
      <c r="H103" s="667">
        <f>(H105+H101)/2</f>
        <v>0</v>
      </c>
      <c r="J103" s="667">
        <f>(J105+J101)/2</f>
        <v>0</v>
      </c>
      <c r="L103" s="1478">
        <f>(L105+L101)/2</f>
        <v>0</v>
      </c>
      <c r="M103" s="1479"/>
      <c r="N103" s="656"/>
    </row>
    <row r="104" spans="2:22" ht="14.55" x14ac:dyDescent="0.25">
      <c r="B104" s="666" t="s">
        <v>339</v>
      </c>
      <c r="C104" s="1417"/>
      <c r="D104" s="663" t="s">
        <v>320</v>
      </c>
      <c r="E104" s="664"/>
      <c r="F104" s="656"/>
      <c r="G104" s="603"/>
      <c r="H104" s="667">
        <f>((H105-H101)*0.75)+H101</f>
        <v>0</v>
      </c>
      <c r="J104" s="667">
        <f>((J105-J101)*0.75)+J101</f>
        <v>0</v>
      </c>
      <c r="L104" s="1478">
        <f>((L105-L101)*0.75)+L101</f>
        <v>0</v>
      </c>
      <c r="M104" s="1479"/>
      <c r="N104" s="656"/>
    </row>
    <row r="105" spans="2:22" ht="15.2" thickBot="1" x14ac:dyDescent="0.3">
      <c r="B105" s="668"/>
      <c r="C105" s="1417"/>
      <c r="D105" s="663" t="s">
        <v>321</v>
      </c>
      <c r="E105" s="664"/>
      <c r="F105" s="656"/>
      <c r="G105" s="603"/>
      <c r="H105" s="669">
        <f>IF(H99=0,0,H96+((H97*H98)/H99))</f>
        <v>0</v>
      </c>
      <c r="J105" s="669">
        <f>IF(J99=0,0,J96+((J97*J98)/J99))</f>
        <v>0</v>
      </c>
      <c r="L105" s="1480">
        <f>IF(L99=0,0,L96+((L97*L98)/L99))</f>
        <v>0</v>
      </c>
      <c r="M105" s="1481"/>
      <c r="N105" s="656"/>
    </row>
    <row r="107" spans="2:22" ht="15.2" thickBot="1" x14ac:dyDescent="0.35">
      <c r="B107" s="603"/>
      <c r="C107" s="603"/>
      <c r="D107" s="603"/>
      <c r="E107" s="603"/>
      <c r="F107" s="603"/>
      <c r="G107" s="1418" t="s">
        <v>322</v>
      </c>
      <c r="H107" s="1418"/>
      <c r="I107" s="1414" t="s">
        <v>323</v>
      </c>
      <c r="J107" s="1414"/>
      <c r="K107" s="1466" t="s">
        <v>324</v>
      </c>
      <c r="L107" s="1466"/>
      <c r="M107" s="1466"/>
      <c r="N107" s="633"/>
    </row>
    <row r="108" spans="2:22" ht="15.2" thickBot="1" x14ac:dyDescent="0.3">
      <c r="B108" s="1402" t="s">
        <v>340</v>
      </c>
      <c r="C108" s="1403"/>
      <c r="D108" s="1403"/>
      <c r="E108" s="1404"/>
      <c r="F108" s="603"/>
      <c r="G108" s="670">
        <f>G62</f>
        <v>4</v>
      </c>
      <c r="H108" s="671">
        <f>IF($G$63="Basishonorarsatz",H101,IF($G$63="Viertelsatz",H102,IF($G$63="Mittelsatz",H103,IF($G$63="Dreiviertelsatz",H104,H105))))</f>
        <v>0</v>
      </c>
      <c r="I108" s="726"/>
      <c r="J108" s="727">
        <f>IF($G$63="Basishonorarsatz",J101,IF($G$63="Viertelsatz",J102,IF($G$63="Mittelsatz",J103,IF($G$63="Dreiviertelsatz",J104,J105))))</f>
        <v>0</v>
      </c>
      <c r="K108" s="726"/>
      <c r="L108" s="1412">
        <f>IF($G$63="Basishonorarsatz",L101,IF($G$63="Viertelsatz",L102,IF($G$63="Mittelsatz",L103,IF($G$63="Dreiviertelsatz",L104,L105))))</f>
        <v>0</v>
      </c>
      <c r="M108" s="1413"/>
      <c r="N108" s="728"/>
    </row>
    <row r="109" spans="2:22" x14ac:dyDescent="0.25">
      <c r="B109" s="641" t="s">
        <v>341</v>
      </c>
    </row>
    <row r="110" spans="2:22" ht="15" customHeight="1" thickBot="1" x14ac:dyDescent="0.3">
      <c r="B110" s="641" t="s">
        <v>342</v>
      </c>
      <c r="G110" s="678"/>
      <c r="H110" s="1474" t="s">
        <v>343</v>
      </c>
      <c r="I110" s="1475"/>
      <c r="J110" s="1475"/>
      <c r="K110" s="1475"/>
      <c r="L110" s="1475"/>
      <c r="M110" s="1475"/>
    </row>
    <row r="111" spans="2:22" ht="30.8" customHeight="1" thickBot="1" x14ac:dyDescent="0.3">
      <c r="B111" s="641" t="s">
        <v>344</v>
      </c>
      <c r="G111" s="679"/>
      <c r="H111" s="1464" t="s">
        <v>345</v>
      </c>
      <c r="I111" s="1465"/>
      <c r="J111" s="1467" t="s">
        <v>346</v>
      </c>
      <c r="K111" s="1468"/>
      <c r="L111" s="729" t="s">
        <v>347</v>
      </c>
      <c r="M111" s="730" t="s">
        <v>348</v>
      </c>
      <c r="T111" s="630"/>
      <c r="U111" s="630"/>
      <c r="V111" s="630"/>
    </row>
    <row r="112" spans="2:22" ht="13.6" customHeight="1" x14ac:dyDescent="0.3">
      <c r="B112" s="641" t="s">
        <v>349</v>
      </c>
      <c r="G112" s="680">
        <v>1</v>
      </c>
      <c r="H112" s="1435">
        <f>IF('Hochbauplanung '!T61="ja",'Hochbauplanung '!J61*'Hochbauplanung '!F37+'Hochbauplanung '!J61+$L$112,0)</f>
        <v>0</v>
      </c>
      <c r="I112" s="1436"/>
      <c r="J112" s="1410">
        <f>IF('Hochbauplanung '!T61="ja",'Hochbauplanung '!L76,0)</f>
        <v>0</v>
      </c>
      <c r="K112" s="1411"/>
      <c r="L112" s="731">
        <f>IF('Hochbauplanung '!$B$57='Hochbauplanung '!$T$17,'Hochbauplanung '!I60,0)</f>
        <v>0</v>
      </c>
      <c r="M112" s="731">
        <f>IF('Hochbauplanung '!T61="ja",'Hochbauplanung '!J61+$L$112,0)</f>
        <v>0</v>
      </c>
      <c r="N112" s="1430"/>
      <c r="O112" s="1430"/>
      <c r="T112" s="594"/>
      <c r="U112" s="594"/>
      <c r="V112" s="594"/>
    </row>
    <row r="113" spans="2:22" ht="13.6" customHeight="1" x14ac:dyDescent="0.3">
      <c r="G113" s="682">
        <v>2</v>
      </c>
      <c r="H113" s="1408">
        <f>IF('Hochbauplanung '!T77="ja",'Hochbauplanung '!J77+'Hochbauplanung '!F37*'Hochbauplanung '!J77+$L$113,0)</f>
        <v>0</v>
      </c>
      <c r="I113" s="1409"/>
      <c r="J113" s="1437">
        <f>IF('Hochbauplanung '!T77="ja",'Hochbauplanung '!L101,0)</f>
        <v>0</v>
      </c>
      <c r="K113" s="1438"/>
      <c r="L113" s="732">
        <f>IF('Hochbauplanung '!$B$57='Hochbauplanung '!$T$17,'Hochbauplanung '!I76,0)</f>
        <v>0</v>
      </c>
      <c r="M113" s="732">
        <f>IF('Hochbauplanung '!T77="ja",'Hochbauplanung '!J77+$L$113,0)</f>
        <v>0</v>
      </c>
      <c r="N113" s="1430"/>
      <c r="O113" s="1430"/>
      <c r="T113" s="733"/>
      <c r="U113" s="734"/>
      <c r="V113" s="733"/>
    </row>
    <row r="114" spans="2:22" ht="14.55" x14ac:dyDescent="0.3">
      <c r="B114" s="641" t="s">
        <v>341</v>
      </c>
      <c r="G114" s="682">
        <v>3</v>
      </c>
      <c r="H114" s="1408">
        <f>IF('Hochbauplanung '!T105="ja",'Hochbauplanung '!J105+'Hochbauplanung '!F37*'Hochbauplanung '!J105+$L$114,0)</f>
        <v>0</v>
      </c>
      <c r="I114" s="1409"/>
      <c r="J114" s="1437">
        <f>IF('Hochbauplanung '!T105="ja",SUM('Hochbauplanung '!R105:R128),0)</f>
        <v>0</v>
      </c>
      <c r="K114" s="1438"/>
      <c r="L114" s="732">
        <f>IF('Hochbauplanung '!B101='Hochbauplanung '!T18,'Hochbauplanung '!I104,0)</f>
        <v>0</v>
      </c>
      <c r="M114" s="732">
        <f>IF('Hochbauplanung '!T105="ja",'Hochbauplanung '!J105+$L$114,0)</f>
        <v>0</v>
      </c>
      <c r="N114" s="1430"/>
      <c r="O114" s="1430"/>
      <c r="T114" s="735"/>
      <c r="U114" s="734"/>
      <c r="V114" s="736"/>
    </row>
    <row r="115" spans="2:22" ht="14.55" x14ac:dyDescent="0.3">
      <c r="B115" s="641" t="s">
        <v>350</v>
      </c>
      <c r="G115" s="682">
        <v>4</v>
      </c>
      <c r="H115" s="1408">
        <f>IF('Hochbauplanung '!T133="ja",'Hochbauplanung '!J133+'Hochbauplanung '!F37*'Hochbauplanung '!J133+$L$115,0)</f>
        <v>0</v>
      </c>
      <c r="I115" s="1409"/>
      <c r="J115" s="1437">
        <f>IF('Hochbauplanung '!T133="ja",'Hochbauplanung '!L142,0)</f>
        <v>0</v>
      </c>
      <c r="K115" s="1438"/>
      <c r="L115" s="732">
        <f>IF('Hochbauplanung '!$B$129='Hochbauplanung '!$T$19,'Hochbauplanung '!I132,0)</f>
        <v>0</v>
      </c>
      <c r="M115" s="732">
        <f>IF('Hochbauplanung '!T133="ja",'Hochbauplanung '!J133+$L$115,0)</f>
        <v>0</v>
      </c>
      <c r="N115" s="1430"/>
      <c r="O115" s="1430"/>
      <c r="T115" s="735"/>
      <c r="U115" s="734"/>
      <c r="V115" s="736"/>
    </row>
    <row r="116" spans="2:22" ht="14.55" x14ac:dyDescent="0.3">
      <c r="G116" s="682" t="s">
        <v>351</v>
      </c>
      <c r="H116" s="1408">
        <f>IF('Hochbauplanung '!T143="ja",'Hochbauplanung '!J143+'Hochbauplanung '!F37*'Hochbauplanung '!J143+$L$116,0)</f>
        <v>0</v>
      </c>
      <c r="I116" s="1409"/>
      <c r="J116" s="1437">
        <f>IF('Hochbauplanung '!T143="ja",'Hochbauplanung '!R143,0)</f>
        <v>0</v>
      </c>
      <c r="K116" s="1438"/>
      <c r="L116" s="732">
        <f>IF('Hochbauplanung '!$B$129='Hochbauplanung '!$T$19,'Hochbauplanung '!I148,0)</f>
        <v>0</v>
      </c>
      <c r="M116" s="732">
        <f>IF('Hochbauplanung '!T143="ja",'Hochbauplanung '!J143+$L$116,0)</f>
        <v>0</v>
      </c>
      <c r="N116" s="1430"/>
      <c r="O116" s="1430"/>
      <c r="T116" s="735"/>
      <c r="U116" s="734"/>
      <c r="V116" s="736"/>
    </row>
    <row r="117" spans="2:22" ht="14.55" x14ac:dyDescent="0.3">
      <c r="G117" s="682" t="s">
        <v>352</v>
      </c>
      <c r="H117" s="1408">
        <f>IF('Hochbauplanung '!T149="ja",'Hochbauplanung '!J149+'Hochbauplanung '!F37*'Hochbauplanung '!J149+$L$117,0)</f>
        <v>0</v>
      </c>
      <c r="I117" s="1409"/>
      <c r="J117" s="1437">
        <f>IF('Hochbauplanung '!T149="ja",'Hochbauplanung '!R149,0)</f>
        <v>0</v>
      </c>
      <c r="K117" s="1438"/>
      <c r="L117" s="732">
        <f>IF('Hochbauplanung '!$B$129='Hochbauplanung '!$T$19,'Hochbauplanung '!I155,0)</f>
        <v>0</v>
      </c>
      <c r="M117" s="732">
        <f>IF('Hochbauplanung '!T149="ja",'Hochbauplanung '!J149+$L$117,0)</f>
        <v>0</v>
      </c>
      <c r="N117" s="1430"/>
      <c r="O117" s="1430"/>
      <c r="T117" s="735"/>
      <c r="U117" s="734"/>
      <c r="V117" s="736"/>
    </row>
    <row r="118" spans="2:22" ht="14.55" x14ac:dyDescent="0.3">
      <c r="G118" s="682" t="s">
        <v>353</v>
      </c>
      <c r="H118" s="1408">
        <f>IF('Hochbauplanung '!T156="Ja",'Hochbauplanung '!J156+'Hochbauplanung '!F37*'Hochbauplanung '!J156+$L$118,0)</f>
        <v>0</v>
      </c>
      <c r="I118" s="1409"/>
      <c r="J118" s="1437">
        <f>IF('Hochbauplanung '!T156="ja",'Hochbauplanung '!R156,0)</f>
        <v>0</v>
      </c>
      <c r="K118" s="1438"/>
      <c r="L118" s="732">
        <f>IF('Hochbauplanung '!$B$129='Hochbauplanung '!$T$19,'Hochbauplanung '!I159,0)</f>
        <v>0</v>
      </c>
      <c r="M118" s="732">
        <f>IF('Hochbauplanung '!T156="Ja",'Hochbauplanung '!J156+$L$118,0)</f>
        <v>0</v>
      </c>
      <c r="N118" s="1430"/>
      <c r="O118" s="1430"/>
      <c r="T118" s="735"/>
      <c r="U118" s="734"/>
      <c r="V118" s="736"/>
    </row>
    <row r="119" spans="2:22" ht="14.55" x14ac:dyDescent="0.3">
      <c r="G119" s="682" t="s">
        <v>354</v>
      </c>
      <c r="H119" s="1408">
        <f>IF('Hochbauplanung '!T160="ja",'Hochbauplanung '!J160+'Hochbauplanung '!F37*'Hochbauplanung '!J160+L119,0)</f>
        <v>0</v>
      </c>
      <c r="I119" s="1409"/>
      <c r="J119" s="1437">
        <f>IF('Hochbauplanung '!T160="ja",'Hochbauplanung '!R161,0)</f>
        <v>0</v>
      </c>
      <c r="K119" s="1438"/>
      <c r="L119" s="732">
        <f>IF('Hochbauplanung '!$B$129='Hochbauplanung '!$T$19,'Hochbauplanung '!I161,0)</f>
        <v>0</v>
      </c>
      <c r="M119" s="732">
        <f>IF('Hochbauplanung '!T160="ja",'Hochbauplanung '!J160+L119,0)</f>
        <v>0</v>
      </c>
      <c r="N119" s="1430"/>
      <c r="O119" s="1430"/>
      <c r="T119" s="735"/>
      <c r="U119" s="734"/>
      <c r="V119" s="736"/>
    </row>
    <row r="120" spans="2:22" ht="14.55" x14ac:dyDescent="0.3">
      <c r="G120" s="682" t="s">
        <v>355</v>
      </c>
      <c r="H120" s="1408">
        <f>IF('Hochbauplanung '!T162="ja",'Hochbauplanung '!J162+'Hochbauplanung '!F37*'Hochbauplanung '!J162+L120,0)</f>
        <v>0</v>
      </c>
      <c r="I120" s="1409"/>
      <c r="J120" s="1437">
        <f>IF('Hochbauplanung '!T162="ja",'Hochbauplanung '!R162,0)</f>
        <v>0</v>
      </c>
      <c r="K120" s="1438"/>
      <c r="L120" s="732">
        <f>IF('Hochbauplanung '!$B$129='Hochbauplanung '!$T$19,'Hochbauplanung '!I165,0)</f>
        <v>0</v>
      </c>
      <c r="M120" s="732">
        <f>IF('Hochbauplanung '!T162="ja",'Hochbauplanung '!J162+L120,0)</f>
        <v>0</v>
      </c>
      <c r="N120" s="1430"/>
      <c r="O120" s="1430"/>
      <c r="T120" s="735"/>
      <c r="U120" s="734"/>
      <c r="V120" s="736"/>
    </row>
    <row r="121" spans="2:22" ht="14.55" x14ac:dyDescent="0.3">
      <c r="G121" s="682" t="s">
        <v>356</v>
      </c>
      <c r="H121" s="1408">
        <f>IF('Hochbauplanung '!T166="ja",'Hochbauplanung '!J166+'Hochbauplanung '!F37*'Hochbauplanung '!J166+L121,0)</f>
        <v>0</v>
      </c>
      <c r="I121" s="1409"/>
      <c r="J121" s="1437">
        <f>IF('Hochbauplanung '!T166="ja",'Hochbauplanung '!R166+'Hochbauplanung '!R170,0)</f>
        <v>0</v>
      </c>
      <c r="K121" s="1438"/>
      <c r="L121" s="732">
        <f>IF('Hochbauplanung '!$B$129='Hochbauplanung '!$T$19,'Hochbauplanung '!I170,0)</f>
        <v>0</v>
      </c>
      <c r="M121" s="732">
        <f>IF('Hochbauplanung '!T166="ja",'Hochbauplanung '!J166+L121,0)</f>
        <v>0</v>
      </c>
      <c r="N121" s="1430"/>
      <c r="O121" s="1430"/>
      <c r="T121" s="735"/>
      <c r="U121" s="734"/>
      <c r="V121" s="736"/>
    </row>
    <row r="122" spans="2:22" ht="14.55" x14ac:dyDescent="0.3">
      <c r="G122" s="683">
        <v>6</v>
      </c>
      <c r="H122" s="1408">
        <f>IF('Hochbauplanung '!T172="ja",'Hochbauplanung '!J172+'Hochbauplanung '!F37*'Hochbauplanung '!J172+L122,0)</f>
        <v>0</v>
      </c>
      <c r="I122" s="1409"/>
      <c r="J122" s="1437">
        <f>IF('Hochbauplanung '!T172="ja",'Hochbauplanung '!L197,0)</f>
        <v>0</v>
      </c>
      <c r="K122" s="1438"/>
      <c r="L122" s="732">
        <f>IF('Hochbauplanung '!$B$129='Hochbauplanung '!$T$19,'Hochbauplanung '!I171,0)</f>
        <v>0</v>
      </c>
      <c r="M122" s="732">
        <f>IF('Hochbauplanung '!T172="ja",'Hochbauplanung '!J172+L122,0)</f>
        <v>0</v>
      </c>
      <c r="N122" s="1430"/>
      <c r="O122" s="1430"/>
      <c r="T122" s="735"/>
      <c r="U122" s="734"/>
      <c r="V122" s="736"/>
    </row>
    <row r="123" spans="2:22" ht="14.55" x14ac:dyDescent="0.3">
      <c r="G123" s="683">
        <v>7</v>
      </c>
      <c r="H123" s="1408">
        <f>IF('Hochbauplanung '!T198="ja",'Hochbauplanung '!J198+'Hochbauplanung '!F37*'Hochbauplanung '!J198+L123,0)</f>
        <v>0</v>
      </c>
      <c r="I123" s="1409"/>
      <c r="J123" s="1437">
        <f>IF('Hochbauplanung '!T198="ja",'Hochbauplanung '!L214,0)</f>
        <v>0</v>
      </c>
      <c r="K123" s="1438"/>
      <c r="L123" s="732">
        <f>IF('Hochbauplanung '!$B$129='Hochbauplanung '!$T$19,'Hochbauplanung '!I197,0)</f>
        <v>0</v>
      </c>
      <c r="M123" s="732">
        <f>IF('Hochbauplanung '!T198="ja",'Hochbauplanung '!J198+L123,0)</f>
        <v>0</v>
      </c>
      <c r="N123" s="1430"/>
      <c r="O123" s="1430"/>
      <c r="T123" s="735"/>
      <c r="U123" s="734"/>
      <c r="V123" s="736"/>
    </row>
    <row r="124" spans="2:22" ht="14.55" x14ac:dyDescent="0.3">
      <c r="G124" s="683">
        <v>8</v>
      </c>
      <c r="H124" s="1408">
        <f>IF('Hochbauplanung '!T215="ja",'Hochbauplanung '!J215+'Hochbauplanung '!F37*'Hochbauplanung '!J215+L124,0)</f>
        <v>0</v>
      </c>
      <c r="I124" s="1409"/>
      <c r="J124" s="1437">
        <f>IF('Hochbauplanung '!T215="ja",'Hochbauplanung '!L262,0)</f>
        <v>0</v>
      </c>
      <c r="K124" s="1438"/>
      <c r="L124" s="732">
        <f>IF('Hochbauplanung '!$B$129='Hochbauplanung '!$T$19,'Hochbauplanung '!I214,0)</f>
        <v>0</v>
      </c>
      <c r="M124" s="732">
        <f>IF('Hochbauplanung '!T215="ja",'Hochbauplanung '!J215+L124,0)</f>
        <v>0</v>
      </c>
      <c r="N124" s="1430"/>
      <c r="O124" s="1430"/>
      <c r="T124" s="735"/>
      <c r="U124" s="734"/>
      <c r="V124" s="736"/>
    </row>
    <row r="125" spans="2:22" ht="15.2" thickBot="1" x14ac:dyDescent="0.35">
      <c r="G125" s="684">
        <v>9</v>
      </c>
      <c r="H125" s="1408">
        <f>IF('Hochbauplanung '!T263="ja",'Hochbauplanung '!J263+'Hochbauplanung '!F37*'Hochbauplanung '!J263+L125,0)</f>
        <v>0</v>
      </c>
      <c r="I125" s="1409"/>
      <c r="J125" s="1482">
        <f>IF('Hochbauplanung '!T263="ja",'Hochbauplanung '!L272,0)</f>
        <v>0</v>
      </c>
      <c r="K125" s="1483"/>
      <c r="L125" s="737">
        <f>IF('Hochbauplanung '!$B$129='Hochbauplanung '!$T$19,'Hochbauplanung '!I262,0)</f>
        <v>0</v>
      </c>
      <c r="M125" s="737">
        <f>IF('Hochbauplanung '!T263="ja",'Hochbauplanung '!J263+L125,0)</f>
        <v>0</v>
      </c>
      <c r="N125" s="1430"/>
      <c r="O125" s="1430"/>
      <c r="T125" s="735"/>
      <c r="U125" s="734"/>
      <c r="V125" s="736"/>
    </row>
    <row r="126" spans="2:22" ht="15.2" thickBot="1" x14ac:dyDescent="0.35">
      <c r="G126" s="685" t="s">
        <v>357</v>
      </c>
      <c r="H126" s="1433">
        <f>SUM(H112:I125)</f>
        <v>0</v>
      </c>
      <c r="I126" s="1434"/>
      <c r="J126" s="1439">
        <f>SUM(J112:K125)</f>
        <v>0</v>
      </c>
      <c r="K126" s="1440"/>
      <c r="L126" s="738">
        <f>SUM(L112:L125)</f>
        <v>0</v>
      </c>
      <c r="M126" s="739">
        <f>SUM(M112:M125)</f>
        <v>0</v>
      </c>
      <c r="T126" s="735"/>
      <c r="U126" s="734"/>
      <c r="V126" s="736"/>
    </row>
    <row r="127" spans="2:22" ht="14.25" customHeight="1" thickBot="1" x14ac:dyDescent="0.35">
      <c r="G127" s="685"/>
      <c r="H127" s="1431"/>
      <c r="I127" s="1432"/>
      <c r="J127" s="740"/>
      <c r="T127" s="735"/>
      <c r="U127" s="734"/>
      <c r="V127" s="736"/>
    </row>
    <row r="128" spans="2:22" ht="15.2" thickBot="1" x14ac:dyDescent="0.35">
      <c r="K128" s="741"/>
      <c r="T128" s="735"/>
      <c r="U128" s="734"/>
      <c r="V128" s="736"/>
    </row>
    <row r="129" spans="2:22" ht="15.2" thickBot="1" x14ac:dyDescent="0.35">
      <c r="B129" s="1427" t="s">
        <v>358</v>
      </c>
      <c r="C129" s="1428"/>
      <c r="D129" s="1428"/>
      <c r="E129" s="1428"/>
      <c r="F129" s="1428"/>
      <c r="G129" s="1428"/>
      <c r="H129" s="1428"/>
      <c r="I129" s="1428"/>
      <c r="J129" s="1428"/>
      <c r="K129" s="1428"/>
      <c r="L129" s="1428"/>
      <c r="M129" s="1428"/>
      <c r="N129" s="1428"/>
      <c r="O129" s="1428"/>
      <c r="P129" s="1428"/>
      <c r="Q129" s="1429"/>
      <c r="T129" s="735"/>
      <c r="U129" s="734"/>
      <c r="V129" s="736"/>
    </row>
    <row r="130" spans="2:22" ht="15.2" thickBot="1" x14ac:dyDescent="0.35">
      <c r="B130" s="742" t="s">
        <v>105</v>
      </c>
      <c r="C130" s="689" t="s">
        <v>285</v>
      </c>
      <c r="D130" s="690" t="s">
        <v>286</v>
      </c>
      <c r="E130" s="690" t="s">
        <v>287</v>
      </c>
      <c r="F130" s="690" t="s">
        <v>288</v>
      </c>
      <c r="G130" s="690" t="s">
        <v>289</v>
      </c>
      <c r="H130" s="690" t="s">
        <v>290</v>
      </c>
      <c r="I130" s="690" t="s">
        <v>291</v>
      </c>
      <c r="J130" s="690" t="s">
        <v>292</v>
      </c>
      <c r="K130" s="690" t="s">
        <v>293</v>
      </c>
      <c r="L130" s="690" t="s">
        <v>294</v>
      </c>
      <c r="M130" s="690" t="s">
        <v>295</v>
      </c>
      <c r="N130" s="690" t="s">
        <v>296</v>
      </c>
      <c r="O130" s="690" t="s">
        <v>297</v>
      </c>
      <c r="P130" s="690" t="s">
        <v>359</v>
      </c>
      <c r="Q130" s="743" t="s">
        <v>360</v>
      </c>
      <c r="T130" s="735"/>
      <c r="U130" s="734"/>
      <c r="V130" s="736"/>
    </row>
    <row r="131" spans="2:22" ht="14.55" x14ac:dyDescent="0.3">
      <c r="B131" s="692">
        <f>IF(Überblick!$H$53&gt;=1,1,"")</f>
        <v>1</v>
      </c>
      <c r="C131" s="744">
        <f>IF(B131='Hochbauplanung '!$U$61,'Hochbauplanung '!$J$61*'Hochbauplanung '!$F$37+'Hochbauplanung '!$J$61+'Hochbauplanung '!$L$76+'Hochbauplanung '!$I$60,0)</f>
        <v>0</v>
      </c>
      <c r="D131" s="745">
        <f>IF(B131='Hochbauplanung '!$U$77,'Hochbauplanung '!$J$77*'Hochbauplanung '!$F$37+'Hochbauplanung '!$J$77+'Hochbauplanung '!$L$101+'Hochbauplanung '!$I$76,0)</f>
        <v>0</v>
      </c>
      <c r="E131" s="745">
        <f>IF(B131='Hochbauplanung '!$U$105,'Hochbauplanung '!$J$105*'Hochbauplanung '!$F$37+'Hochbauplanung '!$J$105+'Hochbauplanung '!$L$129+'Hochbauplanung '!$I$104,0)</f>
        <v>0</v>
      </c>
      <c r="F131" s="745">
        <f>IF(B131='Hochbauplanung '!$U$133,'Hochbauplanung '!$J$133*'Hochbauplanung '!$F$37+'Hochbauplanung '!$J$133+'Hochbauplanung '!$L$142+$L$115,0)</f>
        <v>0</v>
      </c>
      <c r="G131" s="745">
        <f>IF(B131='Hochbauplanung '!$U$143,'Hochbauplanung '!$J$143*'Hochbauplanung '!$F$37+'Hochbauplanung '!$J$143+'Hochbauplanung '!$R$143+$L$116,0)</f>
        <v>0</v>
      </c>
      <c r="H131" s="745">
        <f>IF(B131='Hochbauplanung '!$U$149,'Hochbauplanung '!$J$149*'Hochbauplanung '!$F$37+'Hochbauplanung '!$J$149+'Hochbauplanung '!$R$149+$L$117,0)</f>
        <v>0</v>
      </c>
      <c r="I131" s="745">
        <f>IF(B131='Hochbauplanung '!$U$156,'Hochbauplanung '!$J$156*'Hochbauplanung '!$F$37+'Hochbauplanung '!$J$156+'Hochbauplanung '!$R$156+$L$118,0)</f>
        <v>0</v>
      </c>
      <c r="J131" s="745">
        <f>IF(B131='Hochbauplanung '!$U$160,'Hochbauplanung '!$J$160*'Hochbauplanung '!$F$37+'Hochbauplanung '!$J$160+'Hochbauplanung '!$R$161+$L$119,0)</f>
        <v>0</v>
      </c>
      <c r="K131" s="745">
        <f>IF(B131='Hochbauplanung '!$U$162,'Hochbauplanung '!$J$162*'Hochbauplanung '!$F$37+'Hochbauplanung '!$J$162+'Hochbauplanung '!$R$162+$L$120,0)</f>
        <v>0</v>
      </c>
      <c r="L131" s="745">
        <f>IF(B131='Hochbauplanung '!$U$166,'Hochbauplanung '!$J$166*'Hochbauplanung '!$F$37+'Hochbauplanung '!$J$166+'Hochbauplanung '!$R$166+'Hochbauplanung '!$R$170+$L$121,0)</f>
        <v>0</v>
      </c>
      <c r="M131" s="745">
        <f>IF(B131='Hochbauplanung '!$U$172,'Hochbauplanung '!$J$172*'Hochbauplanung '!$F$37+'Hochbauplanung '!$J$172+'Hochbauplanung '!$L$197+$L$122,0)</f>
        <v>0</v>
      </c>
      <c r="N131" s="745">
        <f>IF(B131='Hochbauplanung '!$U$198,'Hochbauplanung '!$J$198*'Hochbauplanung '!$F$37+'Hochbauplanung '!$J$198+'Hochbauplanung '!$L$214+$L$123,0)</f>
        <v>0</v>
      </c>
      <c r="O131" s="745">
        <f>IF(B131='Hochbauplanung '!$U$215,'Hochbauplanung '!$J$215*'Hochbauplanung '!$F$37+'Hochbauplanung '!$J$215+'Hochbauplanung '!$L$262+$L$124,0)</f>
        <v>0</v>
      </c>
      <c r="P131" s="746">
        <f>IF(B131='Hochbauplanung '!$U$263,'Hochbauplanung '!$J$263*'Hochbauplanung '!$F$37+'Hochbauplanung '!$J$263+'Hochbauplanung '!$L$272+$L$125,0)</f>
        <v>0</v>
      </c>
      <c r="Q131" s="747">
        <f t="shared" ref="Q131:Q138" si="7">SUM(C131:P131)</f>
        <v>0</v>
      </c>
      <c r="T131" s="735"/>
      <c r="U131" s="734"/>
      <c r="V131" s="736"/>
    </row>
    <row r="132" spans="2:22" ht="14.55" x14ac:dyDescent="0.3">
      <c r="B132" s="696">
        <f>IF(Überblick!$H$53&gt;=2,2,"")</f>
        <v>2</v>
      </c>
      <c r="C132" s="748">
        <f>IF(B132='Hochbauplanung '!$U$61,'Hochbauplanung '!$J$61*'Hochbauplanung '!$F$37+'Hochbauplanung '!$J$61+'Hochbauplanung '!$L$76+'Hochbauplanung '!$I$60,0)</f>
        <v>0</v>
      </c>
      <c r="D132" s="749">
        <f>IF(B132='Hochbauplanung '!$U$77,'Hochbauplanung '!$J$77*'Hochbauplanung '!$F$37+'Hochbauplanung '!$J$77+'Hochbauplanung '!$L$101+'Hochbauplanung '!$I$76,0)</f>
        <v>0</v>
      </c>
      <c r="E132" s="749">
        <f>IF(B132='Hochbauplanung '!$U$105,'Hochbauplanung '!$J$105*'Hochbauplanung '!$F$37+'Hochbauplanung '!$J$105+'Hochbauplanung '!$L$129+'Hochbauplanung '!$I$104,0)</f>
        <v>0</v>
      </c>
      <c r="F132" s="749">
        <f>IF(B132='Hochbauplanung '!$U$133,'Hochbauplanung '!$J$133*'Hochbauplanung '!$F$37+'Hochbauplanung '!$J$133+'Hochbauplanung '!$L$142+$L$115,0)</f>
        <v>0</v>
      </c>
      <c r="G132" s="749">
        <f>IF(B132='Hochbauplanung '!$U$143,'Hochbauplanung '!$J$143*'Hochbauplanung '!$F$37+'Hochbauplanung '!$J$143+'Hochbauplanung '!$R$143+$L$116,0)</f>
        <v>0</v>
      </c>
      <c r="H132" s="749">
        <f>IF(B132='Hochbauplanung '!$U$149,'Hochbauplanung '!$J$149*'Hochbauplanung '!$F$37+'Hochbauplanung '!$J$149+'Hochbauplanung '!$R$149+$L$117,0)</f>
        <v>0</v>
      </c>
      <c r="I132" s="749">
        <f>IF(B132='Hochbauplanung '!$U$156,'Hochbauplanung '!$J$156*'Hochbauplanung '!$F$37+'Hochbauplanung '!$J$156+'Hochbauplanung '!$R$156+$L$118,0)</f>
        <v>0</v>
      </c>
      <c r="J132" s="749">
        <f>IF(B132='Hochbauplanung '!$U$160,'Hochbauplanung '!$J$160*'Hochbauplanung '!$F$37+'Hochbauplanung '!$J$160+'Hochbauplanung '!$R$161+$L$119,0)</f>
        <v>0</v>
      </c>
      <c r="K132" s="749">
        <f>IF(B132='Hochbauplanung '!$U$162,'Hochbauplanung '!$J$162*'Hochbauplanung '!$F$37+'Hochbauplanung '!$J$162+'Hochbauplanung '!$R$162+$L$120,0)</f>
        <v>0</v>
      </c>
      <c r="L132" s="749">
        <f>IF(B132='Hochbauplanung '!$U$166,'Hochbauplanung '!$J$166*'Hochbauplanung '!$F$37+'Hochbauplanung '!$J$166+'Hochbauplanung '!$R$166+'Hochbauplanung '!$R$170+$L$121,0)</f>
        <v>0</v>
      </c>
      <c r="M132" s="749">
        <f>IF(B132='Hochbauplanung '!$U$172,'Hochbauplanung '!$J$172*'Hochbauplanung '!$F$37+'Hochbauplanung '!$J$172+'Hochbauplanung '!$L$197+$L$122,0)</f>
        <v>0</v>
      </c>
      <c r="N132" s="749">
        <f>IF(B132='Hochbauplanung '!$U$198,'Hochbauplanung '!$J$198*'Hochbauplanung '!$F$37+'Hochbauplanung '!$J$198+'Hochbauplanung '!$L$214+$L$123,0)</f>
        <v>0</v>
      </c>
      <c r="O132" s="749">
        <f>IF(B132='Hochbauplanung '!$U$215,'Hochbauplanung '!$J$215*'Hochbauplanung '!$F$37+'Hochbauplanung '!$J$215+'Hochbauplanung '!$L$262+$L$124,0)</f>
        <v>0</v>
      </c>
      <c r="P132" s="750">
        <f>IF(B132='Hochbauplanung '!$U$263,'Hochbauplanung '!$J$263*'Hochbauplanung '!$F$37+'Hochbauplanung '!$J$263+'Hochbauplanung '!$L$272+$L$125,0)</f>
        <v>0</v>
      </c>
      <c r="Q132" s="751">
        <f t="shared" si="7"/>
        <v>0</v>
      </c>
      <c r="T132" s="735"/>
      <c r="U132" s="734"/>
      <c r="V132" s="736"/>
    </row>
    <row r="133" spans="2:22" ht="14.55" x14ac:dyDescent="0.3">
      <c r="B133" s="696">
        <f>IF(Überblick!$H$53&gt;=3,3,"")</f>
        <v>3</v>
      </c>
      <c r="C133" s="748">
        <f>IF(B133='Hochbauplanung '!$U$61,'Hochbauplanung '!$J$61*'Hochbauplanung '!$F$37+'Hochbauplanung '!$J$61+'Hochbauplanung '!$L$76+'Hochbauplanung '!$I$60,0)</f>
        <v>0</v>
      </c>
      <c r="D133" s="749">
        <f>IF(B133='Hochbauplanung '!$U$77,'Hochbauplanung '!$J$77*'Hochbauplanung '!$F$37+'Hochbauplanung '!$J$77+'Hochbauplanung '!$L$101+'Hochbauplanung '!$I$76,0)</f>
        <v>0</v>
      </c>
      <c r="E133" s="749">
        <f>IF(B133='Hochbauplanung '!$U$105,'Hochbauplanung '!$J$105*'Hochbauplanung '!$F$37+'Hochbauplanung '!$J$105+'Hochbauplanung '!$L$129+'Hochbauplanung '!$I$104,0)</f>
        <v>0</v>
      </c>
      <c r="F133" s="749">
        <f>IF(B133='Hochbauplanung '!$U$133,'Hochbauplanung '!$J$133*'Hochbauplanung '!$F$37+'Hochbauplanung '!$J$133+'Hochbauplanung '!$L$142+$L$115,0)</f>
        <v>0</v>
      </c>
      <c r="G133" s="749">
        <f>IF(B133='Hochbauplanung '!$U$143,'Hochbauplanung '!$J$143*'Hochbauplanung '!$F$37+'Hochbauplanung '!$J$143+'Hochbauplanung '!$R$143+$L$116,0)</f>
        <v>0</v>
      </c>
      <c r="H133" s="749">
        <f>IF(B133='Hochbauplanung '!$U$149,'Hochbauplanung '!$J$149*'Hochbauplanung '!$F$37+'Hochbauplanung '!$J$149+'Hochbauplanung '!$R$149+$L$117,0)</f>
        <v>0</v>
      </c>
      <c r="I133" s="749">
        <f>IF(B133='Hochbauplanung '!$U$156,'Hochbauplanung '!$J$156*'Hochbauplanung '!$F$37+'Hochbauplanung '!$J$156+'Hochbauplanung '!$R$156+$L$118,0)</f>
        <v>0</v>
      </c>
      <c r="J133" s="749">
        <f>IF(B133='Hochbauplanung '!$U$160,'Hochbauplanung '!$J$160*'Hochbauplanung '!$F$37+'Hochbauplanung '!$J$160+'Hochbauplanung '!$R$161+$L$119,0)</f>
        <v>0</v>
      </c>
      <c r="K133" s="749">
        <f>IF(B133='Hochbauplanung '!$U$162,'Hochbauplanung '!$J$162*'Hochbauplanung '!$F$37+'Hochbauplanung '!$J$162+'Hochbauplanung '!$R$162+$L$120,0)</f>
        <v>0</v>
      </c>
      <c r="L133" s="749">
        <f>IF(B133='Hochbauplanung '!$U$166,'Hochbauplanung '!$J$166*'Hochbauplanung '!$F$37+'Hochbauplanung '!$J$166+'Hochbauplanung '!$R$166+'Hochbauplanung '!$R$170+$L$121,0)</f>
        <v>0</v>
      </c>
      <c r="M133" s="749">
        <f>IF(B133='Hochbauplanung '!$U$172,'Hochbauplanung '!$J$172*'Hochbauplanung '!$F$37+'Hochbauplanung '!$J$172+'Hochbauplanung '!$L$197+$L$122,0)</f>
        <v>0</v>
      </c>
      <c r="N133" s="749">
        <f>IF(B133='Hochbauplanung '!$U$198,'Hochbauplanung '!$J$198*'Hochbauplanung '!$F$37+'Hochbauplanung '!$J$198+'Hochbauplanung '!$L$214+$L$123,0)</f>
        <v>0</v>
      </c>
      <c r="O133" s="749">
        <f>IF(B133='Hochbauplanung '!$U$215,'Hochbauplanung '!$J$215*'Hochbauplanung '!$F$37+'Hochbauplanung '!$J$215+'Hochbauplanung '!$L$262+$L$124,0)</f>
        <v>0</v>
      </c>
      <c r="P133" s="750">
        <f>IF(B133='Hochbauplanung '!$U$263,'Hochbauplanung '!$J$263*'Hochbauplanung '!$F$37+'Hochbauplanung '!$J$263+'Hochbauplanung '!$L$272+$L$125,0)</f>
        <v>0</v>
      </c>
      <c r="Q133" s="751">
        <f t="shared" si="7"/>
        <v>0</v>
      </c>
      <c r="T133" s="735"/>
      <c r="U133" s="734"/>
      <c r="V133" s="736"/>
    </row>
    <row r="134" spans="2:22" ht="14.55" x14ac:dyDescent="0.3">
      <c r="B134" s="696">
        <f>IF(Überblick!$H$53&gt;=4,4,"")</f>
        <v>4</v>
      </c>
      <c r="C134" s="748">
        <f>IF(B134='Hochbauplanung '!$U$61,'Hochbauplanung '!$J$61*'Hochbauplanung '!$F$37+'Hochbauplanung '!$J$61+'Hochbauplanung '!$L$76+'Hochbauplanung '!$I$60,0)</f>
        <v>0</v>
      </c>
      <c r="D134" s="749">
        <f>IF(B134='Hochbauplanung '!$U$77,'Hochbauplanung '!$J$77*'Hochbauplanung '!$F$37+'Hochbauplanung '!$J$77+'Hochbauplanung '!$L$101+'Hochbauplanung '!$I$76,0)</f>
        <v>0</v>
      </c>
      <c r="E134" s="749">
        <f>IF(B134='Hochbauplanung '!$U$105,'Hochbauplanung '!$J$105*'Hochbauplanung '!$F$37+'Hochbauplanung '!$J$105+'Hochbauplanung '!$L$129+'Hochbauplanung '!$I$104,0)</f>
        <v>0</v>
      </c>
      <c r="F134" s="749">
        <f>IF(B134='Hochbauplanung '!$U$133,'Hochbauplanung '!$J$133*'Hochbauplanung '!$F$37+'Hochbauplanung '!$J$133+'Hochbauplanung '!$L$142+$L$115,0)</f>
        <v>0</v>
      </c>
      <c r="G134" s="749">
        <f>IF(B134='Hochbauplanung '!$U$143,'Hochbauplanung '!$J$143*'Hochbauplanung '!$F$37+'Hochbauplanung '!$J$143+'Hochbauplanung '!$R$143+$L$116,0)</f>
        <v>0</v>
      </c>
      <c r="H134" s="749">
        <f>IF(B134='Hochbauplanung '!$U$149,'Hochbauplanung '!$J$149*'Hochbauplanung '!$F$37+'Hochbauplanung '!$J$149+'Hochbauplanung '!$R$149+$L$117,0)</f>
        <v>0</v>
      </c>
      <c r="I134" s="749">
        <f>IF(B134='Hochbauplanung '!$U$156,'Hochbauplanung '!$J$156*'Hochbauplanung '!$F$37+'Hochbauplanung '!$J$156+'Hochbauplanung '!$R$156+$L$118,0)</f>
        <v>0</v>
      </c>
      <c r="J134" s="749">
        <f>IF(B134='Hochbauplanung '!$U$160,'Hochbauplanung '!$J$160*'Hochbauplanung '!$F$37+'Hochbauplanung '!$J$160+'Hochbauplanung '!$R$161+$L$119,0)</f>
        <v>0</v>
      </c>
      <c r="K134" s="749">
        <f>IF(B134='Hochbauplanung '!$U$162,'Hochbauplanung '!$J$162*'Hochbauplanung '!$F$37+'Hochbauplanung '!$J$162+'Hochbauplanung '!$R$162+$L$120,0)</f>
        <v>0</v>
      </c>
      <c r="L134" s="749">
        <f>IF(B134='Hochbauplanung '!$U$166,'Hochbauplanung '!$J$166*'Hochbauplanung '!$F$37+'Hochbauplanung '!$J$166+'Hochbauplanung '!$R$166+'Hochbauplanung '!$R$170+$L$121,0)</f>
        <v>0</v>
      </c>
      <c r="M134" s="749">
        <f>IF(B134='Hochbauplanung '!$U$172,'Hochbauplanung '!$J$172*'Hochbauplanung '!$F$37+'Hochbauplanung '!$J$172+'Hochbauplanung '!$L$197+$L$122,0)</f>
        <v>0</v>
      </c>
      <c r="N134" s="749">
        <f>IF(B134='Hochbauplanung '!$U$198,'Hochbauplanung '!$J$198*'Hochbauplanung '!$F$37+'Hochbauplanung '!$J$198+'Hochbauplanung '!$L$214+$L$123,0)</f>
        <v>0</v>
      </c>
      <c r="O134" s="749">
        <f>IF(B134='Hochbauplanung '!$U$215,'Hochbauplanung '!$J$215*'Hochbauplanung '!$F$37+'Hochbauplanung '!$J$215+'Hochbauplanung '!$L$262+$L$124,0)</f>
        <v>0</v>
      </c>
      <c r="P134" s="750">
        <f>IF(B134='Hochbauplanung '!$U$263,'Hochbauplanung '!$J$263*'Hochbauplanung '!$F$37+'Hochbauplanung '!$J$263+'Hochbauplanung '!$L$272+$L$125,0)</f>
        <v>0</v>
      </c>
      <c r="Q134" s="751">
        <f>SUM(C134:P134)</f>
        <v>0</v>
      </c>
      <c r="T134" s="735"/>
      <c r="U134" s="734"/>
      <c r="V134" s="736"/>
    </row>
    <row r="135" spans="2:22" ht="14.55" x14ac:dyDescent="0.3">
      <c r="B135" s="696">
        <f>IF(Überblick!$H$53&gt;=5,5,"")</f>
        <v>5</v>
      </c>
      <c r="C135" s="748">
        <f>IF(B135='Hochbauplanung '!$U$61,'Hochbauplanung '!$J$61*'Hochbauplanung '!$F$37+'Hochbauplanung '!$J$61+'Hochbauplanung '!$L$76+'Hochbauplanung '!$I$60,0)</f>
        <v>0</v>
      </c>
      <c r="D135" s="749">
        <f>IF(B135='Hochbauplanung '!$U$77,'Hochbauplanung '!$J$77*'Hochbauplanung '!$F$37+'Hochbauplanung '!$J$77+'Hochbauplanung '!$L$101+'Hochbauplanung '!$I$76,0)</f>
        <v>0</v>
      </c>
      <c r="E135" s="749">
        <f>IF(B135='Hochbauplanung '!$U$105,'Hochbauplanung '!$J$105*'Hochbauplanung '!$F$37+'Hochbauplanung '!$J$105+'Hochbauplanung '!$L$129+'Hochbauplanung '!$I$104,0)</f>
        <v>0</v>
      </c>
      <c r="F135" s="749">
        <f>IF(B135='Hochbauplanung '!$U$133,'Hochbauplanung '!$J$133*'Hochbauplanung '!$F$37+'Hochbauplanung '!$J$133+'Hochbauplanung '!$L$142+$L$115,0)</f>
        <v>0</v>
      </c>
      <c r="G135" s="749">
        <f>IF(B135='Hochbauplanung '!$U$143,'Hochbauplanung '!$J$143*'Hochbauplanung '!$F$37+'Hochbauplanung '!$J$143+'Hochbauplanung '!$R$143+$L$116,0)</f>
        <v>0</v>
      </c>
      <c r="H135" s="749">
        <f>IF(B135='Hochbauplanung '!$U$149,'Hochbauplanung '!$J$149*'Hochbauplanung '!$F$37+'Hochbauplanung '!$J$149+'Hochbauplanung '!$R$149+$L$117,0)</f>
        <v>0</v>
      </c>
      <c r="I135" s="749">
        <f>IF(B135='Hochbauplanung '!$U$156,'Hochbauplanung '!$J$156*'Hochbauplanung '!$F$37+'Hochbauplanung '!$J$156+'Hochbauplanung '!$R$156+$L$118,0)</f>
        <v>0</v>
      </c>
      <c r="J135" s="749">
        <f>IF(B135='Hochbauplanung '!$U$160,'Hochbauplanung '!$J$160*'Hochbauplanung '!$F$37+'Hochbauplanung '!$J$160+'Hochbauplanung '!$R$161+$L$119,0)</f>
        <v>0</v>
      </c>
      <c r="K135" s="749">
        <f>IF(B135='Hochbauplanung '!$U$162,'Hochbauplanung '!$J$162*'Hochbauplanung '!$F$37+'Hochbauplanung '!$J$162+'Hochbauplanung '!$R$162+$L$120,0)</f>
        <v>0</v>
      </c>
      <c r="L135" s="749">
        <f>IF(B135='Hochbauplanung '!$U$166,'Hochbauplanung '!$J$166*'Hochbauplanung '!$F$37+'Hochbauplanung '!$J$166+'Hochbauplanung '!$R$166+'Hochbauplanung '!$R$170+$L$121,0)</f>
        <v>0</v>
      </c>
      <c r="M135" s="749">
        <f>IF(B135='Hochbauplanung '!$U$172,'Hochbauplanung '!$J$172*'Hochbauplanung '!$F$37+'Hochbauplanung '!$J$172+'Hochbauplanung '!$L$197+$L$122,0)</f>
        <v>0</v>
      </c>
      <c r="N135" s="749">
        <f>IF(B135='Hochbauplanung '!$U$198,'Hochbauplanung '!$J$198*'Hochbauplanung '!$F$37+'Hochbauplanung '!$J$198+'Hochbauplanung '!$L$214+$L$123,0)</f>
        <v>0</v>
      </c>
      <c r="O135" s="749">
        <f>IF(B135='Hochbauplanung '!$U$215,'Hochbauplanung '!$J$215*'Hochbauplanung '!$F$37+'Hochbauplanung '!$J$215+'Hochbauplanung '!$L$262+$L$124,0)</f>
        <v>0</v>
      </c>
      <c r="P135" s="750">
        <f>IF(B135='Hochbauplanung '!$U$263,'Hochbauplanung '!$J$263*'Hochbauplanung '!$F$37+'Hochbauplanung '!$J$263+'Hochbauplanung '!$L$272+$L$125,0)</f>
        <v>0</v>
      </c>
      <c r="Q135" s="751">
        <f t="shared" si="7"/>
        <v>0</v>
      </c>
      <c r="T135" s="735"/>
      <c r="U135" s="734"/>
      <c r="V135" s="736"/>
    </row>
    <row r="136" spans="2:22" ht="14.55" x14ac:dyDescent="0.3">
      <c r="B136" s="696">
        <f>IF(Überblick!$H$53&gt;=6,6,"")</f>
        <v>6</v>
      </c>
      <c r="C136" s="748">
        <f>IF(B136='Hochbauplanung '!$U$61,'Hochbauplanung '!$J$61*'Hochbauplanung '!$F$37+'Hochbauplanung '!$J$61+'Hochbauplanung '!$L$76+'Hochbauplanung '!$I$60,0)</f>
        <v>0</v>
      </c>
      <c r="D136" s="749">
        <f>IF(B136='Hochbauplanung '!$U$77,'Hochbauplanung '!$J$77*'Hochbauplanung '!$F$37+'Hochbauplanung '!$J$77+'Hochbauplanung '!$L$101+'Hochbauplanung '!$I$76,0)</f>
        <v>0</v>
      </c>
      <c r="E136" s="749">
        <f>IF(B136='Hochbauplanung '!$U$105,'Hochbauplanung '!$J$105*'Hochbauplanung '!$F$37+'Hochbauplanung '!$J$105+'Hochbauplanung '!$L$129+'Hochbauplanung '!$I$104,0)</f>
        <v>0</v>
      </c>
      <c r="F136" s="749">
        <f>IF(B136='Hochbauplanung '!$U$133,'Hochbauplanung '!$J$133*'Hochbauplanung '!$F$37+'Hochbauplanung '!$J$133+'Hochbauplanung '!$L$142+$L$115,0)</f>
        <v>0</v>
      </c>
      <c r="G136" s="749">
        <f>IF(B136='Hochbauplanung '!$U$143,'Hochbauplanung '!$J$143*'Hochbauplanung '!$F$37+'Hochbauplanung '!$J$143+'Hochbauplanung '!$R$143+$L$116,0)</f>
        <v>0</v>
      </c>
      <c r="H136" s="749">
        <f>IF(B136='Hochbauplanung '!$U$149,'Hochbauplanung '!$J$149*'Hochbauplanung '!$F$37+'Hochbauplanung '!$J$149+'Hochbauplanung '!$R$149+$L$117,0)</f>
        <v>0</v>
      </c>
      <c r="I136" s="749">
        <f>IF(B136='Hochbauplanung '!$U$156,'Hochbauplanung '!$J$156*'Hochbauplanung '!$F$37+'Hochbauplanung '!$J$156+'Hochbauplanung '!$R$156+$L$118,0)</f>
        <v>0</v>
      </c>
      <c r="J136" s="749">
        <f>IF(B136='Hochbauplanung '!$U$160,'Hochbauplanung '!$J$160*'Hochbauplanung '!$F$37+'Hochbauplanung '!$J$160+'Hochbauplanung '!$R$161+$L$119,0)</f>
        <v>0</v>
      </c>
      <c r="K136" s="749">
        <f>IF(B136='Hochbauplanung '!$U$162,'Hochbauplanung '!$J$162*'Hochbauplanung '!$F$37+'Hochbauplanung '!$J$162+'Hochbauplanung '!$R$162+$L$120,0)</f>
        <v>0</v>
      </c>
      <c r="L136" s="749">
        <f>IF(B136='Hochbauplanung '!$U$166,'Hochbauplanung '!$J$166*'Hochbauplanung '!$F$37+'Hochbauplanung '!$J$166+'Hochbauplanung '!$R$166+'Hochbauplanung '!$R$170+$L$121,0)</f>
        <v>0</v>
      </c>
      <c r="M136" s="749">
        <f>IF(B136='Hochbauplanung '!$U$172,'Hochbauplanung '!$J$172*'Hochbauplanung '!$F$37+'Hochbauplanung '!$J$172+'Hochbauplanung '!$L$197+$L$122,0)</f>
        <v>0</v>
      </c>
      <c r="N136" s="749">
        <f>IF(B136='Hochbauplanung '!$U$198,'Hochbauplanung '!$J$198*'Hochbauplanung '!$F$37+'Hochbauplanung '!$J$198+'Hochbauplanung '!$L$214+$L$123,0)</f>
        <v>0</v>
      </c>
      <c r="O136" s="749">
        <f>IF(B136='Hochbauplanung '!$U$215,'Hochbauplanung '!$J$215*'Hochbauplanung '!$F$37+'Hochbauplanung '!$J$215+'Hochbauplanung '!$L$262+$L$124,0)</f>
        <v>0</v>
      </c>
      <c r="P136" s="750">
        <f>IF(B136='Hochbauplanung '!$U$263,'Hochbauplanung '!$J$263*'Hochbauplanung '!$F$37+'Hochbauplanung '!$J$263+'Hochbauplanung '!$L$272+$L$125,0)</f>
        <v>0</v>
      </c>
      <c r="Q136" s="751">
        <f t="shared" si="7"/>
        <v>0</v>
      </c>
      <c r="T136" s="735"/>
      <c r="U136" s="734"/>
      <c r="V136" s="736"/>
    </row>
    <row r="137" spans="2:22" ht="14.55" x14ac:dyDescent="0.3">
      <c r="B137" s="696" t="str">
        <f>IF(Überblick!$H$53&gt;=7,7,"")</f>
        <v/>
      </c>
      <c r="C137" s="748">
        <f>IF(B137='Hochbauplanung '!$U$61,'Hochbauplanung '!$J$61*'Hochbauplanung '!$F$37+'Hochbauplanung '!$J$61+'Hochbauplanung '!$L$76+'Hochbauplanung '!$I$60,0)</f>
        <v>0</v>
      </c>
      <c r="D137" s="749">
        <f>IF(B137='Hochbauplanung '!$U$77,'Hochbauplanung '!$J$77*'Hochbauplanung '!$F$37+'Hochbauplanung '!$J$77+'Hochbauplanung '!$L$101+'Hochbauplanung '!$I$76,0)</f>
        <v>0</v>
      </c>
      <c r="E137" s="749">
        <f>IF(B137='Hochbauplanung '!$U$105,'Hochbauplanung '!$J$105*'Hochbauplanung '!$F$37+'Hochbauplanung '!$J$105+'Hochbauplanung '!$L$129+'Hochbauplanung '!$I$104,0)</f>
        <v>0</v>
      </c>
      <c r="F137" s="749">
        <f>IF(B137='Hochbauplanung '!$U$133,'Hochbauplanung '!$J$133*'Hochbauplanung '!$F$37+'Hochbauplanung '!$J$133+'Hochbauplanung '!$L$142+$L$115,0)</f>
        <v>0</v>
      </c>
      <c r="G137" s="749">
        <f>IF(B137='Hochbauplanung '!$U$143,'Hochbauplanung '!$J$143*'Hochbauplanung '!$F$37+'Hochbauplanung '!$J$143+'Hochbauplanung '!$R$143+$L$116,0)</f>
        <v>0</v>
      </c>
      <c r="H137" s="749">
        <f>IF(B137='Hochbauplanung '!$U$149,'Hochbauplanung '!$J$149*'Hochbauplanung '!$F$37+'Hochbauplanung '!$J$149+'Hochbauplanung '!$R$149+$L$117,0)</f>
        <v>0</v>
      </c>
      <c r="I137" s="749">
        <f>IF(B137='Hochbauplanung '!$U$156,'Hochbauplanung '!$J$156*'Hochbauplanung '!$F$37+'Hochbauplanung '!$J$156+'Hochbauplanung '!$R$156+$L$118,0)</f>
        <v>0</v>
      </c>
      <c r="J137" s="749">
        <f>IF(B137='Hochbauplanung '!$U$160,'Hochbauplanung '!$J$160*'Hochbauplanung '!$F$37+'Hochbauplanung '!$J$160+'Hochbauplanung '!$R$161+$L$119,0)</f>
        <v>0</v>
      </c>
      <c r="K137" s="749">
        <f>IF(B137='Hochbauplanung '!$U$162,'Hochbauplanung '!$J$162*'Hochbauplanung '!$F$37+'Hochbauplanung '!$J$162+'Hochbauplanung '!$R$162+$L$120,0)</f>
        <v>0</v>
      </c>
      <c r="L137" s="749">
        <f>IF(B137='Hochbauplanung '!$U$166,'Hochbauplanung '!$J$166*'Hochbauplanung '!$F$37+'Hochbauplanung '!$J$166+'Hochbauplanung '!$R$166+'Hochbauplanung '!$R$170+$L$121,0)</f>
        <v>0</v>
      </c>
      <c r="M137" s="749">
        <f>IF(B137='Hochbauplanung '!$U$172,'Hochbauplanung '!$J$172*'Hochbauplanung '!$F$37+'Hochbauplanung '!$J$172+'Hochbauplanung '!$L$197+$L$122,0)</f>
        <v>0</v>
      </c>
      <c r="N137" s="749">
        <f>IF(B137='Hochbauplanung '!$U$198,'Hochbauplanung '!$J$198*'Hochbauplanung '!$F$37+'Hochbauplanung '!$J$198+'Hochbauplanung '!$L$214+$L$123,0)</f>
        <v>0</v>
      </c>
      <c r="O137" s="749">
        <f>IF(B137='Hochbauplanung '!$U$215,'Hochbauplanung '!$J$215*'Hochbauplanung '!$F$37+'Hochbauplanung '!$J$215+'Hochbauplanung '!$L$262+$L$124,0)</f>
        <v>0</v>
      </c>
      <c r="P137" s="750">
        <f>IF(B137='Hochbauplanung '!$U$263,'Hochbauplanung '!$J$263*'Hochbauplanung '!$F$37+'Hochbauplanung '!$J$263+'Hochbauplanung '!$L$272+$L$125,0)</f>
        <v>0</v>
      </c>
      <c r="Q137" s="751">
        <f t="shared" si="7"/>
        <v>0</v>
      </c>
      <c r="T137" s="735"/>
      <c r="U137" s="734"/>
      <c r="V137" s="736"/>
    </row>
    <row r="138" spans="2:22" ht="14.55" x14ac:dyDescent="0.3">
      <c r="B138" s="696" t="str">
        <f>IF(Überblick!$H$53&gt;=8,8,"")</f>
        <v/>
      </c>
      <c r="C138" s="748">
        <f>IF(B138='Hochbauplanung '!$U$61,'Hochbauplanung '!$J$61*'Hochbauplanung '!$F$37+'Hochbauplanung '!$J$61+'Hochbauplanung '!$L$76+'Hochbauplanung '!$I$60,0)</f>
        <v>0</v>
      </c>
      <c r="D138" s="749">
        <f>IF(B138='Hochbauplanung '!$U$77,'Hochbauplanung '!$J$77*'Hochbauplanung '!$F$37+'Hochbauplanung '!$J$77+'Hochbauplanung '!$L$101+'Hochbauplanung '!$I$76,0)</f>
        <v>0</v>
      </c>
      <c r="E138" s="749">
        <f>IF(B138='Hochbauplanung '!$U$105,'Hochbauplanung '!$J$105*'Hochbauplanung '!$F$37+'Hochbauplanung '!$J$105+'Hochbauplanung '!$L$129+'Hochbauplanung '!$I$104,0)</f>
        <v>0</v>
      </c>
      <c r="F138" s="749">
        <f>IF(B138='Hochbauplanung '!$U$133,'Hochbauplanung '!$J$133*'Hochbauplanung '!$F$37+'Hochbauplanung '!$J$133+'Hochbauplanung '!$L$142+$L$115,0)</f>
        <v>0</v>
      </c>
      <c r="G138" s="749">
        <f>IF(B138='Hochbauplanung '!$U$143,'Hochbauplanung '!$J$143*'Hochbauplanung '!$F$37+'Hochbauplanung '!$J$143+'Hochbauplanung '!$R$143+$L$116,0)</f>
        <v>0</v>
      </c>
      <c r="H138" s="749">
        <f>IF(B138='Hochbauplanung '!$U$149,'Hochbauplanung '!$J$149*'Hochbauplanung '!$F$37+'Hochbauplanung '!$J$149+'Hochbauplanung '!$R$149+$L$117,0)</f>
        <v>0</v>
      </c>
      <c r="I138" s="749">
        <f>IF(B138='Hochbauplanung '!$U$156,'Hochbauplanung '!$J$156*'Hochbauplanung '!$F$37+'Hochbauplanung '!$J$156+'Hochbauplanung '!$R$156+$L$118,0)</f>
        <v>0</v>
      </c>
      <c r="J138" s="749">
        <f>IF(B138='Hochbauplanung '!$U$160,'Hochbauplanung '!$J$160*'Hochbauplanung '!$F$37+'Hochbauplanung '!$J$160+'Hochbauplanung '!$R$161+$L$119,0)</f>
        <v>0</v>
      </c>
      <c r="K138" s="749">
        <f>IF(B138='Hochbauplanung '!$U$162,'Hochbauplanung '!$J$162*'Hochbauplanung '!$F$37+'Hochbauplanung '!$J$162+'Hochbauplanung '!$R$162+$L$120,0)</f>
        <v>0</v>
      </c>
      <c r="L138" s="749">
        <f>IF(B138='Hochbauplanung '!$U$166,'Hochbauplanung '!$J$166*'Hochbauplanung '!$F$37+'Hochbauplanung '!$J$166+'Hochbauplanung '!$R$166+'Hochbauplanung '!$R$170+$L$121,0)</f>
        <v>0</v>
      </c>
      <c r="M138" s="749">
        <f>IF(B138='Hochbauplanung '!$U$172,'Hochbauplanung '!$J$172*'Hochbauplanung '!$F$37+'Hochbauplanung '!$J$172+'Hochbauplanung '!$L$197+$L$122,0)</f>
        <v>0</v>
      </c>
      <c r="N138" s="749">
        <f>IF(B138='Hochbauplanung '!$U$198,'Hochbauplanung '!$J$198*'Hochbauplanung '!$F$37+'Hochbauplanung '!$J$198+'Hochbauplanung '!$L$214+$L$123,0)</f>
        <v>0</v>
      </c>
      <c r="O138" s="749">
        <f>IF(B138='Hochbauplanung '!$U$215,'Hochbauplanung '!$J$215*'Hochbauplanung '!$F$37+'Hochbauplanung '!$J$215+'Hochbauplanung '!$L$262+$L$124,0)</f>
        <v>0</v>
      </c>
      <c r="P138" s="750">
        <f>IF(B138='Hochbauplanung '!$U$263,'Hochbauplanung '!$J$263*'Hochbauplanung '!$F$37+'Hochbauplanung '!$J$263+'Hochbauplanung '!$L$272+$L$125,0)</f>
        <v>0</v>
      </c>
      <c r="Q138" s="752">
        <f t="shared" si="7"/>
        <v>0</v>
      </c>
      <c r="T138" s="735"/>
      <c r="U138" s="734"/>
      <c r="V138" s="736"/>
    </row>
    <row r="139" spans="2:22" ht="15.2" thickBot="1" x14ac:dyDescent="0.35">
      <c r="B139" s="700" t="str">
        <f>IF(Überblick!$H$53&gt;=9,9,"")</f>
        <v/>
      </c>
      <c r="C139" s="753">
        <f>IF(B139='Hochbauplanung '!$U$61,'Hochbauplanung '!$J$61*'Hochbauplanung '!$F$37+'Hochbauplanung '!$J$61+'Hochbauplanung '!$L$76+'Hochbauplanung '!$I$60,0)</f>
        <v>0</v>
      </c>
      <c r="D139" s="754">
        <f>IF(B139='Hochbauplanung '!$U$77,'Hochbauplanung '!$J$77*'Hochbauplanung '!$F$37+'Hochbauplanung '!$J$77+'Hochbauplanung '!$L$101+'Hochbauplanung '!$I$76,0)</f>
        <v>0</v>
      </c>
      <c r="E139" s="754">
        <f>IF(B139='Hochbauplanung '!$U$105,'Hochbauplanung '!$J$105*'Hochbauplanung '!$F$37+'Hochbauplanung '!$J$105+'Hochbauplanung '!$L$129+'Hochbauplanung '!$I$104,0)</f>
        <v>0</v>
      </c>
      <c r="F139" s="754">
        <f>IF(B139='Hochbauplanung '!$U$133,'Hochbauplanung '!$J$133*'Hochbauplanung '!$F$37+'Hochbauplanung '!$J$133+'Hochbauplanung '!$L$142+$L$115,0)</f>
        <v>0</v>
      </c>
      <c r="G139" s="754">
        <f>IF(B139='Hochbauplanung '!$U$143,'Hochbauplanung '!$J$143*'Hochbauplanung '!$F$37+'Hochbauplanung '!$J$143+'Hochbauplanung '!$R$143+$L$116,0)</f>
        <v>0</v>
      </c>
      <c r="H139" s="754">
        <f>IF(B139='Hochbauplanung '!$U$149,'Hochbauplanung '!$J$149*'Hochbauplanung '!$F$37+'Hochbauplanung '!$J$149+'Hochbauplanung '!$R$149+$L$117,0)</f>
        <v>0</v>
      </c>
      <c r="I139" s="754">
        <f>IF(B139='Hochbauplanung '!$U$156,'Hochbauplanung '!$J$156*'Hochbauplanung '!$F$37+'Hochbauplanung '!$J$156+'Hochbauplanung '!$R$156+$L$118,0)</f>
        <v>0</v>
      </c>
      <c r="J139" s="754">
        <f>IF(B139='Hochbauplanung '!$U$160,'Hochbauplanung '!$J$160*'Hochbauplanung '!$F$37+'Hochbauplanung '!$J$160+'Hochbauplanung '!$R$161+$L$119,0)</f>
        <v>0</v>
      </c>
      <c r="K139" s="754">
        <f>IF(B139='Hochbauplanung '!$U$162,'Hochbauplanung '!$J$162*'Hochbauplanung '!$F$37+'Hochbauplanung '!$J$162+'Hochbauplanung '!$R$162+$L$120,0)</f>
        <v>0</v>
      </c>
      <c r="L139" s="754">
        <f>IF(B139='Hochbauplanung '!$U$166,'Hochbauplanung '!$J$166*'Hochbauplanung '!$F$37+'Hochbauplanung '!$J$166+'Hochbauplanung '!$R$166+'Hochbauplanung '!$R$170+$L$121,0)</f>
        <v>0</v>
      </c>
      <c r="M139" s="754">
        <f>IF(B139='Hochbauplanung '!$U$172,'Hochbauplanung '!$J$172*'Hochbauplanung '!$F$37+'Hochbauplanung '!$J$172+'Hochbauplanung '!$L$197+$L$122,0)</f>
        <v>0</v>
      </c>
      <c r="N139" s="754">
        <f>IF(B139='Hochbauplanung '!$U$198,'Hochbauplanung '!$J$198*'Hochbauplanung '!$F$37+'Hochbauplanung '!$J$198+'Hochbauplanung '!$L$214+$L$123,0)</f>
        <v>0</v>
      </c>
      <c r="O139" s="754">
        <f>IF(B139='Hochbauplanung '!$U$215,'Hochbauplanung '!$J$215*'Hochbauplanung '!$F$37+'Hochbauplanung '!$J$215+'Hochbauplanung '!$L$262+$L$124,0)</f>
        <v>0</v>
      </c>
      <c r="P139" s="755">
        <f>IF(B139='Hochbauplanung '!$U$263,'Hochbauplanung '!$J$263*'Hochbauplanung '!$F$37+'Hochbauplanung '!$J$263+'Hochbauplanung '!$L$272+$L$125,0)</f>
        <v>0</v>
      </c>
      <c r="Q139" s="756">
        <f t="shared" ref="Q139" si="8">SUM(C139:P139)</f>
        <v>0</v>
      </c>
      <c r="T139" s="735"/>
      <c r="U139" s="734"/>
      <c r="V139" s="736"/>
    </row>
    <row r="140" spans="2:22" ht="15.2" thickBot="1" x14ac:dyDescent="0.35">
      <c r="Q140" s="757">
        <f>SUM(Q131:Q139)</f>
        <v>0</v>
      </c>
      <c r="T140" s="735"/>
      <c r="U140" s="734"/>
      <c r="V140" s="736"/>
    </row>
    <row r="141" spans="2:22" ht="15.2" thickBot="1" x14ac:dyDescent="0.35">
      <c r="B141" s="1427" t="s">
        <v>361</v>
      </c>
      <c r="C141" s="1428"/>
      <c r="D141" s="1428"/>
      <c r="E141" s="1428"/>
      <c r="F141" s="1428"/>
      <c r="G141" s="1428"/>
      <c r="H141" s="1428"/>
      <c r="I141" s="1428"/>
      <c r="J141" s="1428"/>
      <c r="K141" s="1428"/>
      <c r="L141" s="1428"/>
      <c r="M141" s="1428"/>
      <c r="N141" s="1428"/>
      <c r="O141" s="1428"/>
      <c r="P141" s="1428"/>
      <c r="Q141" s="1429"/>
      <c r="T141" s="735"/>
      <c r="U141" s="734"/>
      <c r="V141" s="736"/>
    </row>
    <row r="142" spans="2:22" ht="15.2" thickBot="1" x14ac:dyDescent="0.35">
      <c r="B142" s="742" t="s">
        <v>105</v>
      </c>
      <c r="C142" s="689" t="s">
        <v>285</v>
      </c>
      <c r="D142" s="690" t="s">
        <v>286</v>
      </c>
      <c r="E142" s="690" t="s">
        <v>287</v>
      </c>
      <c r="F142" s="690" t="s">
        <v>288</v>
      </c>
      <c r="G142" s="690" t="s">
        <v>289</v>
      </c>
      <c r="H142" s="690" t="s">
        <v>290</v>
      </c>
      <c r="I142" s="690" t="s">
        <v>291</v>
      </c>
      <c r="J142" s="690" t="s">
        <v>292</v>
      </c>
      <c r="K142" s="690" t="s">
        <v>293</v>
      </c>
      <c r="L142" s="690" t="s">
        <v>294</v>
      </c>
      <c r="M142" s="690" t="s">
        <v>295</v>
      </c>
      <c r="N142" s="690" t="s">
        <v>296</v>
      </c>
      <c r="O142" s="690" t="s">
        <v>297</v>
      </c>
      <c r="P142" s="690" t="s">
        <v>359</v>
      </c>
      <c r="Q142" s="743" t="s">
        <v>360</v>
      </c>
      <c r="T142" s="735"/>
      <c r="U142" s="734"/>
      <c r="V142" s="736"/>
    </row>
    <row r="143" spans="2:22" ht="14.55" x14ac:dyDescent="0.3">
      <c r="B143" s="692">
        <f>IF(Überblick!$H$53&gt;=1,1,"")</f>
        <v>1</v>
      </c>
      <c r="C143" s="744">
        <f>IF(B143='Hochbauplanung '!$U$61,'Hochbauplanung '!$J$61*'Hochbauplanung '!$F$37+'Hochbauplanung '!$J$61+'Hochbauplanung '!$I$60,0)</f>
        <v>0</v>
      </c>
      <c r="D143" s="745">
        <f>IF(B143='Hochbauplanung '!$U$77,'Hochbauplanung '!$J$77*'Hochbauplanung '!$F$37+'Hochbauplanung '!$J$77+'Hochbauplanung '!$I$76,0)</f>
        <v>0</v>
      </c>
      <c r="E143" s="745">
        <f>IF(B143='Hochbauplanung '!$U$105,'Hochbauplanung '!$J$105*'Hochbauplanung '!$F$37+'Hochbauplanung '!$J$105+'Hochbauplanung '!$I$104,0)</f>
        <v>0</v>
      </c>
      <c r="F143" s="745">
        <f>IF(B143='Hochbauplanung '!$U$133,'Hochbauplanung '!$J$133*'Hochbauplanung '!$F$37+'Hochbauplanung '!$J$133+$L$115,0)</f>
        <v>0</v>
      </c>
      <c r="G143" s="745">
        <f>IF(B143='Hochbauplanung '!$U$143,'Hochbauplanung '!$J$143*'Hochbauplanung '!$F$37+'Hochbauplanung '!$J$143+$L$116,0)</f>
        <v>0</v>
      </c>
      <c r="H143" s="745">
        <f>IF(B143='Hochbauplanung '!$U$149,'Hochbauplanung '!$J$149*'Hochbauplanung '!$F$37+'Hochbauplanung '!$J$149+$L$117,0)</f>
        <v>0</v>
      </c>
      <c r="I143" s="745">
        <f>IF(B143='Hochbauplanung '!$U$156,'Hochbauplanung '!$J$156*'Hochbauplanung '!$F$37+'Hochbauplanung '!$J$156+$L$118,0)</f>
        <v>0</v>
      </c>
      <c r="J143" s="745">
        <f>IF(B143='Hochbauplanung '!$U$160,'Hochbauplanung '!$J$160*'Hochbauplanung '!$F$37+'Hochbauplanung '!$J$160+$L$119,0)</f>
        <v>0</v>
      </c>
      <c r="K143" s="745">
        <f>IF(B143='Hochbauplanung '!$U$162,'Hochbauplanung '!$J$162*'Hochbauplanung '!$F$37+'Hochbauplanung '!$J$162+$L$120,0)</f>
        <v>0</v>
      </c>
      <c r="L143" s="745">
        <f>IF(B143='Hochbauplanung '!$U$166,'Hochbauplanung '!$J$166*'Hochbauplanung '!$F$37+'Hochbauplanung '!$J$166+'Hochbauplanung '!$R$170+$L$121,0)</f>
        <v>0</v>
      </c>
      <c r="M143" s="745">
        <f>IF(B143='Hochbauplanung '!$U$172,'Hochbauplanung '!$J$172*'Hochbauplanung '!$F$37+'Hochbauplanung '!$J$172+$L$122,0)</f>
        <v>0</v>
      </c>
      <c r="N143" s="745">
        <f>IF(B143='Hochbauplanung '!$U$198,'Hochbauplanung '!$J$198*'Hochbauplanung '!$F$37+'Hochbauplanung '!$J$198+$L$123,0)</f>
        <v>0</v>
      </c>
      <c r="O143" s="745">
        <f>IF(B143='Hochbauplanung '!$U$215,'Hochbauplanung '!$J$215*'Hochbauplanung '!$F$37+'Hochbauplanung '!$J$215+$L$124,0)</f>
        <v>0</v>
      </c>
      <c r="P143" s="746">
        <f>IF(B143='Hochbauplanung '!$U$263,'Hochbauplanung '!$J$263*'Hochbauplanung '!$F$37+'Hochbauplanung '!$J$263+$L$125,0)</f>
        <v>0</v>
      </c>
      <c r="Q143" s="747">
        <f t="shared" ref="Q143:Q145" si="9">SUM(C143:P143)</f>
        <v>0</v>
      </c>
      <c r="T143" s="735"/>
      <c r="U143" s="734"/>
      <c r="V143" s="736"/>
    </row>
    <row r="144" spans="2:22" ht="14.55" x14ac:dyDescent="0.3">
      <c r="B144" s="696">
        <f>IF(Überblick!$H$53&gt;=2,2,"")</f>
        <v>2</v>
      </c>
      <c r="C144" s="748">
        <f>IF(B144='Hochbauplanung '!$U$61,'Hochbauplanung '!$J$61*'Hochbauplanung '!$F$37+'Hochbauplanung '!$J$61+'Hochbauplanung '!$I$60,0)</f>
        <v>0</v>
      </c>
      <c r="D144" s="749">
        <f>IF(B144='Hochbauplanung '!$U$77,'Hochbauplanung '!$J$77*'Hochbauplanung '!$F$37+'Hochbauplanung '!$J$77+'Hochbauplanung '!$I$76,0)</f>
        <v>0</v>
      </c>
      <c r="E144" s="749">
        <f>IF(B144='Hochbauplanung '!$U$105,'Hochbauplanung '!$J$105*'Hochbauplanung '!$F$37+'Hochbauplanung '!$J$105+'Hochbauplanung '!$I$104,0)</f>
        <v>0</v>
      </c>
      <c r="F144" s="749">
        <f>IF(B144='Hochbauplanung '!$U$133,'Hochbauplanung '!$J$133*'Hochbauplanung '!$F$37+'Hochbauplanung '!$J$133+$L$115,0)</f>
        <v>0</v>
      </c>
      <c r="G144" s="749">
        <f>IF(B144='Hochbauplanung '!$U$143,'Hochbauplanung '!$J$143*'Hochbauplanung '!$F$37+'Hochbauplanung '!$J$143+$L$116,0)</f>
        <v>0</v>
      </c>
      <c r="H144" s="749">
        <f>IF(B144='Hochbauplanung '!$U$149,'Hochbauplanung '!$J$149*'Hochbauplanung '!$F$37+'Hochbauplanung '!$J$149+$L$117,0)</f>
        <v>0</v>
      </c>
      <c r="I144" s="749">
        <f>IF(B144='Hochbauplanung '!$U$156,'Hochbauplanung '!$J$156*'Hochbauplanung '!$F$37+'Hochbauplanung '!$J$156+$L$118,0)</f>
        <v>0</v>
      </c>
      <c r="J144" s="749">
        <f>IF(B144='Hochbauplanung '!$U$160,'Hochbauplanung '!$J$160*'Hochbauplanung '!$F$37+'Hochbauplanung '!$J$160+$L$119,0)</f>
        <v>0</v>
      </c>
      <c r="K144" s="749">
        <f>IF(B144='Hochbauplanung '!$U$162,'Hochbauplanung '!$J$162*'Hochbauplanung '!$F$37+'Hochbauplanung '!$J$162+$L$120,0)</f>
        <v>0</v>
      </c>
      <c r="L144" s="749">
        <f>IF(B144='Hochbauplanung '!$U$166,'Hochbauplanung '!$J$166*'Hochbauplanung '!$F$37+'Hochbauplanung '!$J$166+'Hochbauplanung '!$R$170+$L$121,0)</f>
        <v>0</v>
      </c>
      <c r="M144" s="749">
        <f>IF(B144='Hochbauplanung '!$U$172,'Hochbauplanung '!$J$172*'Hochbauplanung '!$F$37+'Hochbauplanung '!$J$172+$L$122,0)</f>
        <v>0</v>
      </c>
      <c r="N144" s="749">
        <f>IF(B144='Hochbauplanung '!$U$198,'Hochbauplanung '!$J$198*'Hochbauplanung '!$F$37+'Hochbauplanung '!$J$198+$L$123,0)</f>
        <v>0</v>
      </c>
      <c r="O144" s="749">
        <f>IF(B144='Hochbauplanung '!$U$215,'Hochbauplanung '!$J$215*'Hochbauplanung '!$F$37+'Hochbauplanung '!$J$215+$L$124,0)</f>
        <v>0</v>
      </c>
      <c r="P144" s="750">
        <f>IF(B144='Hochbauplanung '!$U$263,'Hochbauplanung '!$J$263*'Hochbauplanung '!$F$37+'Hochbauplanung '!$J$263+$L$125,0)</f>
        <v>0</v>
      </c>
      <c r="Q144" s="751">
        <f t="shared" si="9"/>
        <v>0</v>
      </c>
      <c r="T144" s="735"/>
      <c r="U144" s="734"/>
      <c r="V144" s="736"/>
    </row>
    <row r="145" spans="2:22" ht="14.55" x14ac:dyDescent="0.3">
      <c r="B145" s="696">
        <f>IF(Überblick!$H$53&gt;=3,3,"")</f>
        <v>3</v>
      </c>
      <c r="C145" s="748">
        <f>IF(B145='Hochbauplanung '!$U$61,'Hochbauplanung '!$J$61*'Hochbauplanung '!$F$37+'Hochbauplanung '!$J$61+'Hochbauplanung '!$I$60,0)</f>
        <v>0</v>
      </c>
      <c r="D145" s="749">
        <f>IF(B145='Hochbauplanung '!$U$77,'Hochbauplanung '!$J$77*'Hochbauplanung '!$F$37+'Hochbauplanung '!$J$77+'Hochbauplanung '!$I$76,0)</f>
        <v>0</v>
      </c>
      <c r="E145" s="749">
        <f>IF(B145='Hochbauplanung '!$U$105,'Hochbauplanung '!$J$105*'Hochbauplanung '!$F$37+'Hochbauplanung '!$J$105+'Hochbauplanung '!$I$104,0)</f>
        <v>0</v>
      </c>
      <c r="F145" s="749">
        <f>IF(B145='Hochbauplanung '!$U$133,'Hochbauplanung '!$J$133*'Hochbauplanung '!$F$37+'Hochbauplanung '!$J$133+$L$115,0)</f>
        <v>0</v>
      </c>
      <c r="G145" s="749">
        <f>IF(B145='Hochbauplanung '!$U$143,'Hochbauplanung '!$J$143*'Hochbauplanung '!$F$37+'Hochbauplanung '!$J$143+$L$116,0)</f>
        <v>0</v>
      </c>
      <c r="H145" s="749">
        <f>IF(B145='Hochbauplanung '!$U$149,'Hochbauplanung '!$J$149*'Hochbauplanung '!$F$37+'Hochbauplanung '!$J$149+$L$117,0)</f>
        <v>0</v>
      </c>
      <c r="I145" s="749">
        <f>IF(B145='Hochbauplanung '!$U$156,'Hochbauplanung '!$J$156*'Hochbauplanung '!$F$37+'Hochbauplanung '!$J$156+$L$118,0)</f>
        <v>0</v>
      </c>
      <c r="J145" s="749">
        <f>IF(B145='Hochbauplanung '!$U$160,'Hochbauplanung '!$J$160*'Hochbauplanung '!$F$37+'Hochbauplanung '!$J$160+$L$119,0)</f>
        <v>0</v>
      </c>
      <c r="K145" s="749">
        <f>IF(B145='Hochbauplanung '!$U$162,'Hochbauplanung '!$J$162*'Hochbauplanung '!$F$37+'Hochbauplanung '!$J$162+$L$120,0)</f>
        <v>0</v>
      </c>
      <c r="L145" s="749">
        <f>IF(B145='Hochbauplanung '!$U$166,'Hochbauplanung '!$J$166*'Hochbauplanung '!$F$37+'Hochbauplanung '!$J$166+'Hochbauplanung '!$R$170+$L$121,0)</f>
        <v>0</v>
      </c>
      <c r="M145" s="749">
        <f>IF(B145='Hochbauplanung '!$U$172,'Hochbauplanung '!$J$172*'Hochbauplanung '!$F$37+'Hochbauplanung '!$J$172+$L$122,0)</f>
        <v>0</v>
      </c>
      <c r="N145" s="749">
        <f>IF(B145='Hochbauplanung '!$U$198,'Hochbauplanung '!$J$198*'Hochbauplanung '!$F$37+'Hochbauplanung '!$J$198+$L$123,0)</f>
        <v>0</v>
      </c>
      <c r="O145" s="749">
        <f>IF(B145='Hochbauplanung '!$U$215,'Hochbauplanung '!$J$215*'Hochbauplanung '!$F$37+'Hochbauplanung '!$J$215+$L$124,0)</f>
        <v>0</v>
      </c>
      <c r="P145" s="750">
        <f>IF(B145='Hochbauplanung '!$U$263,'Hochbauplanung '!$J$263*'Hochbauplanung '!$F$37+'Hochbauplanung '!$J$263+$L$125,0)</f>
        <v>0</v>
      </c>
      <c r="Q145" s="751">
        <f t="shared" si="9"/>
        <v>0</v>
      </c>
      <c r="T145" s="735"/>
      <c r="U145" s="734"/>
      <c r="V145" s="736"/>
    </row>
    <row r="146" spans="2:22" ht="14.55" x14ac:dyDescent="0.3">
      <c r="B146" s="696">
        <f>IF(Überblick!$H$53&gt;=4,4,"")</f>
        <v>4</v>
      </c>
      <c r="C146" s="748">
        <f>IF(B146='Hochbauplanung '!$U$61,'Hochbauplanung '!$J$61*'Hochbauplanung '!$F$37+'Hochbauplanung '!$J$61+'Hochbauplanung '!$I$60,0)</f>
        <v>0</v>
      </c>
      <c r="D146" s="749">
        <f>IF(B146='Hochbauplanung '!$U$77,'Hochbauplanung '!$J$77*'Hochbauplanung '!$F$37+'Hochbauplanung '!$J$77+'Hochbauplanung '!$I$76,0)</f>
        <v>0</v>
      </c>
      <c r="E146" s="749">
        <f>IF(B146='Hochbauplanung '!$U$105,'Hochbauplanung '!$J$105*'Hochbauplanung '!$F$37+'Hochbauplanung '!$J$105+'Hochbauplanung '!$I$104,0)</f>
        <v>0</v>
      </c>
      <c r="F146" s="749">
        <f>IF(B146='Hochbauplanung '!$U$133,'Hochbauplanung '!$J$133*'Hochbauplanung '!$F$37+'Hochbauplanung '!$J$133+$L$115,0)</f>
        <v>0</v>
      </c>
      <c r="G146" s="749">
        <f>IF(B146='Hochbauplanung '!$U$143,'Hochbauplanung '!$J$143*'Hochbauplanung '!$F$37+'Hochbauplanung '!$J$143+$L$116,0)</f>
        <v>0</v>
      </c>
      <c r="H146" s="749">
        <f>IF(B146='Hochbauplanung '!$U$149,'Hochbauplanung '!$J$149*'Hochbauplanung '!$F$37+'Hochbauplanung '!$J$149+$L$117,0)</f>
        <v>0</v>
      </c>
      <c r="I146" s="749">
        <f>IF(B146='Hochbauplanung '!$U$156,'Hochbauplanung '!$J$156*'Hochbauplanung '!$F$37+'Hochbauplanung '!$J$156+$L$118,0)</f>
        <v>0</v>
      </c>
      <c r="J146" s="749">
        <f>IF(B146='Hochbauplanung '!$U$160,'Hochbauplanung '!$J$160*'Hochbauplanung '!$F$37+'Hochbauplanung '!$J$160+$L$119,0)</f>
        <v>0</v>
      </c>
      <c r="K146" s="749">
        <f>IF(B146='Hochbauplanung '!$U$162,'Hochbauplanung '!$J$162*'Hochbauplanung '!$F$37+'Hochbauplanung '!$J$162+$L$120,0)</f>
        <v>0</v>
      </c>
      <c r="L146" s="749">
        <f>IF(B146='Hochbauplanung '!$U$166,'Hochbauplanung '!$J$166*'Hochbauplanung '!$F$37+'Hochbauplanung '!$J$166+'Hochbauplanung '!$R$170+$L$121,0)</f>
        <v>0</v>
      </c>
      <c r="M146" s="749">
        <f>IF(B146='Hochbauplanung '!$U$172,'Hochbauplanung '!$J$172*'Hochbauplanung '!$F$37+'Hochbauplanung '!$J$172+$L$122,0)</f>
        <v>0</v>
      </c>
      <c r="N146" s="749">
        <f>IF(B146='Hochbauplanung '!$U$198,'Hochbauplanung '!$J$198*'Hochbauplanung '!$F$37+'Hochbauplanung '!$J$198+$L$123,0)</f>
        <v>0</v>
      </c>
      <c r="O146" s="749">
        <f>IF(B146='Hochbauplanung '!$U$215,'Hochbauplanung '!$J$215*'Hochbauplanung '!$F$37+'Hochbauplanung '!$J$215+$L$124,0)</f>
        <v>0</v>
      </c>
      <c r="P146" s="750">
        <f>IF(B146='Hochbauplanung '!$U$263,'Hochbauplanung '!$J$263*'Hochbauplanung '!$F$37+'Hochbauplanung '!$J$263+$L$125,0)</f>
        <v>0</v>
      </c>
      <c r="Q146" s="751">
        <f>SUM(C146:P146)</f>
        <v>0</v>
      </c>
      <c r="T146" s="735"/>
      <c r="U146" s="734"/>
      <c r="V146" s="736"/>
    </row>
    <row r="147" spans="2:22" ht="14.55" x14ac:dyDescent="0.3">
      <c r="B147" s="696">
        <f>IF(Überblick!$H$53&gt;=5,5,"")</f>
        <v>5</v>
      </c>
      <c r="C147" s="748">
        <f>IF(B147='Hochbauplanung '!$U$61,'Hochbauplanung '!$J$61*'Hochbauplanung '!$F$37+'Hochbauplanung '!$J$61+'Hochbauplanung '!$I$60,0)</f>
        <v>0</v>
      </c>
      <c r="D147" s="749">
        <f>IF(B147='Hochbauplanung '!$U$77,'Hochbauplanung '!$J$77*'Hochbauplanung '!$F$37+'Hochbauplanung '!$J$77+'Hochbauplanung '!$I$76,0)</f>
        <v>0</v>
      </c>
      <c r="E147" s="749">
        <f>IF(B147='Hochbauplanung '!$U$105,'Hochbauplanung '!$J$105*'Hochbauplanung '!$F$37+'Hochbauplanung '!$J$105+'Hochbauplanung '!$I$104,0)</f>
        <v>0</v>
      </c>
      <c r="F147" s="749">
        <f>IF(B147='Hochbauplanung '!$U$133,'Hochbauplanung '!$J$133*'Hochbauplanung '!$F$37+'Hochbauplanung '!$J$133+$L$115,0)</f>
        <v>0</v>
      </c>
      <c r="G147" s="749">
        <f>IF(B147='Hochbauplanung '!$U$143,'Hochbauplanung '!$J$143*'Hochbauplanung '!$F$37+'Hochbauplanung '!$J$143+$L$116,0)</f>
        <v>0</v>
      </c>
      <c r="H147" s="749">
        <f>IF(B147='Hochbauplanung '!$U$149,'Hochbauplanung '!$J$149*'Hochbauplanung '!$F$37+'Hochbauplanung '!$J$149+$L$117,0)</f>
        <v>0</v>
      </c>
      <c r="I147" s="749">
        <f>IF(B147='Hochbauplanung '!$U$156,'Hochbauplanung '!$J$156*'Hochbauplanung '!$F$37+'Hochbauplanung '!$J$156+$L$118,0)</f>
        <v>0</v>
      </c>
      <c r="J147" s="749">
        <f>IF(B147='Hochbauplanung '!$U$160,'Hochbauplanung '!$J$160*'Hochbauplanung '!$F$37+'Hochbauplanung '!$J$160+$L$119,0)</f>
        <v>0</v>
      </c>
      <c r="K147" s="749">
        <f>IF(B147='Hochbauplanung '!$U$162,'Hochbauplanung '!$J$162*'Hochbauplanung '!$F$37+'Hochbauplanung '!$J$162+$L$120,0)</f>
        <v>0</v>
      </c>
      <c r="L147" s="749">
        <f>IF(B147='Hochbauplanung '!$U$166,'Hochbauplanung '!$J$166*'Hochbauplanung '!$F$37+'Hochbauplanung '!$J$166+'Hochbauplanung '!$R$170+$L$121,0)</f>
        <v>0</v>
      </c>
      <c r="M147" s="749">
        <f>IF(B147='Hochbauplanung '!$U$172,'Hochbauplanung '!$J$172*'Hochbauplanung '!$F$37+'Hochbauplanung '!$J$172+$L$122,0)</f>
        <v>0</v>
      </c>
      <c r="N147" s="749">
        <f>IF(B147='Hochbauplanung '!$U$198,'Hochbauplanung '!$J$198*'Hochbauplanung '!$F$37+'Hochbauplanung '!$J$198+$L$123,0)</f>
        <v>0</v>
      </c>
      <c r="O147" s="749">
        <f>IF(B147='Hochbauplanung '!$U$215,'Hochbauplanung '!$J$215*'Hochbauplanung '!$F$37+'Hochbauplanung '!$J$215+$L$124,0)</f>
        <v>0</v>
      </c>
      <c r="P147" s="750">
        <f>IF(B147='Hochbauplanung '!$U$263,'Hochbauplanung '!$J$263*'Hochbauplanung '!$F$37+'Hochbauplanung '!$J$263+$L$125,0)</f>
        <v>0</v>
      </c>
      <c r="Q147" s="751">
        <f t="shared" ref="Q147:Q151" si="10">SUM(C147:P147)</f>
        <v>0</v>
      </c>
      <c r="T147" s="735"/>
      <c r="U147" s="734"/>
      <c r="V147" s="736"/>
    </row>
    <row r="148" spans="2:22" ht="14.55" x14ac:dyDescent="0.3">
      <c r="B148" s="696">
        <f>IF(Überblick!$H$53&gt;=6,6,"")</f>
        <v>6</v>
      </c>
      <c r="C148" s="748">
        <f>IF(B148='Hochbauplanung '!$U$61,'Hochbauplanung '!$J$61*'Hochbauplanung '!$F$37+'Hochbauplanung '!$J$61+'Hochbauplanung '!$I$60,0)</f>
        <v>0</v>
      </c>
      <c r="D148" s="749">
        <f>IF(B148='Hochbauplanung '!$U$77,'Hochbauplanung '!$J$77*'Hochbauplanung '!$F$37+'Hochbauplanung '!$J$77+'Hochbauplanung '!$I$76,0)</f>
        <v>0</v>
      </c>
      <c r="E148" s="749">
        <f>IF(B148='Hochbauplanung '!$U$105,'Hochbauplanung '!$J$105*'Hochbauplanung '!$F$37+'Hochbauplanung '!$J$105+'Hochbauplanung '!$I$104,0)</f>
        <v>0</v>
      </c>
      <c r="F148" s="749">
        <f>IF(B148='Hochbauplanung '!$U$133,'Hochbauplanung '!$J$133*'Hochbauplanung '!$F$37+'Hochbauplanung '!$J$133+$L$115,0)</f>
        <v>0</v>
      </c>
      <c r="G148" s="749">
        <f>IF(B148='Hochbauplanung '!$U$143,'Hochbauplanung '!$J$143*'Hochbauplanung '!$F$37+'Hochbauplanung '!$J$143+$L$116,0)</f>
        <v>0</v>
      </c>
      <c r="H148" s="749">
        <f>IF(B148='Hochbauplanung '!$U$149,'Hochbauplanung '!$J$149*'Hochbauplanung '!$F$37+'Hochbauplanung '!$J$149+$L$117,0)</f>
        <v>0</v>
      </c>
      <c r="I148" s="749">
        <f>IF(B148='Hochbauplanung '!$U$156,'Hochbauplanung '!$J$156*'Hochbauplanung '!$F$37+'Hochbauplanung '!$J$156+$L$118,0)</f>
        <v>0</v>
      </c>
      <c r="J148" s="749">
        <f>IF(B148='Hochbauplanung '!$U$160,'Hochbauplanung '!$J$160*'Hochbauplanung '!$F$37+'Hochbauplanung '!$J$160+$L$119,0)</f>
        <v>0</v>
      </c>
      <c r="K148" s="749">
        <f>IF(B148='Hochbauplanung '!$U$162,'Hochbauplanung '!$J$162*'Hochbauplanung '!$F$37+'Hochbauplanung '!$J$162+$L$120,0)</f>
        <v>0</v>
      </c>
      <c r="L148" s="749">
        <f>IF(B148='Hochbauplanung '!$U$166,'Hochbauplanung '!$J$166*'Hochbauplanung '!$F$37+'Hochbauplanung '!$J$166+'Hochbauplanung '!$R$170+$L$121,0)</f>
        <v>0</v>
      </c>
      <c r="M148" s="749">
        <f>IF(B148='Hochbauplanung '!$U$172,'Hochbauplanung '!$J$172*'Hochbauplanung '!$F$37+'Hochbauplanung '!$J$172+$L$122,0)</f>
        <v>0</v>
      </c>
      <c r="N148" s="749">
        <f>IF(B148='Hochbauplanung '!$U$198,'Hochbauplanung '!$J$198*'Hochbauplanung '!$F$37+'Hochbauplanung '!$J$198+$L$123,0)</f>
        <v>0</v>
      </c>
      <c r="O148" s="749">
        <f>IF(B148='Hochbauplanung '!$U$215,'Hochbauplanung '!$J$215*'Hochbauplanung '!$F$37+'Hochbauplanung '!$J$215+$L$124,0)</f>
        <v>0</v>
      </c>
      <c r="P148" s="750">
        <f>IF(B148='Hochbauplanung '!$U$263,'Hochbauplanung '!$J$263*'Hochbauplanung '!$F$37+'Hochbauplanung '!$J$263+$L$125,0)</f>
        <v>0</v>
      </c>
      <c r="Q148" s="751">
        <f t="shared" si="10"/>
        <v>0</v>
      </c>
      <c r="T148" s="735"/>
      <c r="U148" s="734"/>
      <c r="V148" s="736"/>
    </row>
    <row r="149" spans="2:22" ht="14.55" x14ac:dyDescent="0.3">
      <c r="B149" s="696" t="str">
        <f>IF(Überblick!$H$53&gt;=7,7,"")</f>
        <v/>
      </c>
      <c r="C149" s="748">
        <f>IF(B149='Hochbauplanung '!$U$61,'Hochbauplanung '!$J$61*'Hochbauplanung '!$F$37+'Hochbauplanung '!$J$61+'Hochbauplanung '!$I$60,0)</f>
        <v>0</v>
      </c>
      <c r="D149" s="749">
        <f>IF(B149='Hochbauplanung '!$U$77,'Hochbauplanung '!$J$77*'Hochbauplanung '!$F$37+'Hochbauplanung '!$J$77+'Hochbauplanung '!$I$76,0)</f>
        <v>0</v>
      </c>
      <c r="E149" s="749">
        <f>IF(B149='Hochbauplanung '!$U$105,'Hochbauplanung '!$J$105*'Hochbauplanung '!$F$37+'Hochbauplanung '!$J$105+'Hochbauplanung '!$I$104,0)</f>
        <v>0</v>
      </c>
      <c r="F149" s="749">
        <f>IF(B149='Hochbauplanung '!$U$133,'Hochbauplanung '!$J$133*'Hochbauplanung '!$F$37+'Hochbauplanung '!$J$133+$L$115,0)</f>
        <v>0</v>
      </c>
      <c r="G149" s="749">
        <f>IF(B149='Hochbauplanung '!$U$143,'Hochbauplanung '!$J$143*'Hochbauplanung '!$F$37+'Hochbauplanung '!$J$143+$L$116,0)</f>
        <v>0</v>
      </c>
      <c r="H149" s="749">
        <f>IF(B149='Hochbauplanung '!$U$149,'Hochbauplanung '!$J$149*'Hochbauplanung '!$F$37+'Hochbauplanung '!$J$149+$L$117,0)</f>
        <v>0</v>
      </c>
      <c r="I149" s="749">
        <f>IF(B149='Hochbauplanung '!$U$156,'Hochbauplanung '!$J$156*'Hochbauplanung '!$F$37+'Hochbauplanung '!$J$156+$L$118,0)</f>
        <v>0</v>
      </c>
      <c r="J149" s="749">
        <f>IF(B149='Hochbauplanung '!$U$160,'Hochbauplanung '!$J$160*'Hochbauplanung '!$F$37+'Hochbauplanung '!$J$160+$L$119,0)</f>
        <v>0</v>
      </c>
      <c r="K149" s="749">
        <f>IF(B149='Hochbauplanung '!$U$162,'Hochbauplanung '!$J$162*'Hochbauplanung '!$F$37+'Hochbauplanung '!$J$162+$L$120,0)</f>
        <v>0</v>
      </c>
      <c r="L149" s="749">
        <f>IF(B149='Hochbauplanung '!$U$166,'Hochbauplanung '!$J$166*'Hochbauplanung '!$F$37+'Hochbauplanung '!$J$166+'Hochbauplanung '!$R$170+$L$121,0)</f>
        <v>0</v>
      </c>
      <c r="M149" s="749">
        <f>IF(B149='Hochbauplanung '!$U$172,'Hochbauplanung '!$J$172*'Hochbauplanung '!$F$37+'Hochbauplanung '!$J$172+$L$122,0)</f>
        <v>0</v>
      </c>
      <c r="N149" s="749">
        <f>IF(B149='Hochbauplanung '!$U$198,'Hochbauplanung '!$J$198*'Hochbauplanung '!$F$37+'Hochbauplanung '!$J$198+$L$123,0)</f>
        <v>0</v>
      </c>
      <c r="O149" s="749">
        <f>IF(B149='Hochbauplanung '!$U$215,'Hochbauplanung '!$J$215*'Hochbauplanung '!$F$37+'Hochbauplanung '!$J$215+$L$124,0)</f>
        <v>0</v>
      </c>
      <c r="P149" s="750">
        <f>IF(B149='Hochbauplanung '!$U$263,'Hochbauplanung '!$J$263*'Hochbauplanung '!$F$37+'Hochbauplanung '!$J$263+$L$125,0)</f>
        <v>0</v>
      </c>
      <c r="Q149" s="751">
        <f t="shared" si="10"/>
        <v>0</v>
      </c>
      <c r="T149" s="735"/>
      <c r="U149" s="734"/>
      <c r="V149" s="736"/>
    </row>
    <row r="150" spans="2:22" ht="14.55" x14ac:dyDescent="0.3">
      <c r="B150" s="696" t="str">
        <f>IF(Überblick!$H$53&gt;=8,8,"")</f>
        <v/>
      </c>
      <c r="C150" s="748">
        <f>IF(B150='Hochbauplanung '!$U$61,'Hochbauplanung '!$J$61*'Hochbauplanung '!$F$37+'Hochbauplanung '!$J$61+'Hochbauplanung '!$I$60,0)</f>
        <v>0</v>
      </c>
      <c r="D150" s="749">
        <f>IF(B150='Hochbauplanung '!$U$77,'Hochbauplanung '!$J$77*'Hochbauplanung '!$F$37+'Hochbauplanung '!$J$77+'Hochbauplanung '!$I$76,0)</f>
        <v>0</v>
      </c>
      <c r="E150" s="749">
        <f>IF(B150='Hochbauplanung '!$U$105,'Hochbauplanung '!$J$105*'Hochbauplanung '!$F$37+'Hochbauplanung '!$J$105+'Hochbauplanung '!$I$104,0)</f>
        <v>0</v>
      </c>
      <c r="F150" s="749">
        <f>IF(B150='Hochbauplanung '!$U$133,'Hochbauplanung '!$J$133*'Hochbauplanung '!$F$37+'Hochbauplanung '!$J$133+$L$115,0)</f>
        <v>0</v>
      </c>
      <c r="G150" s="749">
        <f>IF(B150='Hochbauplanung '!$U$143,'Hochbauplanung '!$J$143*'Hochbauplanung '!$F$37+'Hochbauplanung '!$J$143+$L$116,0)</f>
        <v>0</v>
      </c>
      <c r="H150" s="749">
        <f>IF(B150='Hochbauplanung '!$U$149,'Hochbauplanung '!$J$149*'Hochbauplanung '!$F$37+'Hochbauplanung '!$J$149+$L$117,0)</f>
        <v>0</v>
      </c>
      <c r="I150" s="749">
        <f>IF(B150='Hochbauplanung '!$U$156,'Hochbauplanung '!$J$156*'Hochbauplanung '!$F$37+'Hochbauplanung '!$J$156+$L$118,0)</f>
        <v>0</v>
      </c>
      <c r="J150" s="749">
        <f>IF(B150='Hochbauplanung '!$U$160,'Hochbauplanung '!$J$160*'Hochbauplanung '!$F$37+'Hochbauplanung '!$J$160+$L$119,0)</f>
        <v>0</v>
      </c>
      <c r="K150" s="749">
        <f>IF(B150='Hochbauplanung '!$U$162,'Hochbauplanung '!$J$162*'Hochbauplanung '!$F$37+'Hochbauplanung '!$J$162+$L$120,0)</f>
        <v>0</v>
      </c>
      <c r="L150" s="749">
        <f>IF(B150='Hochbauplanung '!$U$166,'Hochbauplanung '!$J$166*'Hochbauplanung '!$F$37+'Hochbauplanung '!$J$166+'Hochbauplanung '!$R$170+$L$121,0)</f>
        <v>0</v>
      </c>
      <c r="M150" s="749">
        <f>IF(B150='Hochbauplanung '!$U$172,'Hochbauplanung '!$J$172*'Hochbauplanung '!$F$37+'Hochbauplanung '!$J$172+$L$122,0)</f>
        <v>0</v>
      </c>
      <c r="N150" s="749">
        <f>IF(B150='Hochbauplanung '!$U$198,'Hochbauplanung '!$J$198*'Hochbauplanung '!$F$37+'Hochbauplanung '!$J$198+$L$123,0)</f>
        <v>0</v>
      </c>
      <c r="O150" s="749">
        <f>IF(B150='Hochbauplanung '!$U$215,'Hochbauplanung '!$J$215*'Hochbauplanung '!$F$37+'Hochbauplanung '!$J$215+$L$124,0)</f>
        <v>0</v>
      </c>
      <c r="P150" s="750">
        <f>IF(B150='Hochbauplanung '!$U$263,'Hochbauplanung '!$J$263*'Hochbauplanung '!$F$37+'Hochbauplanung '!$J$263+$L$125,0)</f>
        <v>0</v>
      </c>
      <c r="Q150" s="752">
        <f t="shared" si="10"/>
        <v>0</v>
      </c>
      <c r="T150" s="735"/>
      <c r="U150" s="734"/>
      <c r="V150" s="736"/>
    </row>
    <row r="151" spans="2:22" ht="15.2" thickBot="1" x14ac:dyDescent="0.35">
      <c r="B151" s="700" t="str">
        <f>IF(Überblick!$H$53&gt;=9,9,"")</f>
        <v/>
      </c>
      <c r="C151" s="753">
        <f>IF(B151='Hochbauplanung '!$U$61,'Hochbauplanung '!$J$61*'Hochbauplanung '!$F$37+'Hochbauplanung '!$J$61+'Hochbauplanung '!$I$60,0)</f>
        <v>0</v>
      </c>
      <c r="D151" s="754">
        <f>IF(B151='Hochbauplanung '!$U$77,'Hochbauplanung '!$J$77*'Hochbauplanung '!$F$37+'Hochbauplanung '!$J$77+'Hochbauplanung '!$I$76,0)</f>
        <v>0</v>
      </c>
      <c r="E151" s="754">
        <f>IF(B151='Hochbauplanung '!$U$105,'Hochbauplanung '!$J$105*'Hochbauplanung '!$F$37+'Hochbauplanung '!$J$105+'Hochbauplanung '!$I$104,0)</f>
        <v>0</v>
      </c>
      <c r="F151" s="754">
        <f>IF(B151='Hochbauplanung '!$U$133,'Hochbauplanung '!$J$133*'Hochbauplanung '!$F$37+'Hochbauplanung '!$J$133+$L$115,0)</f>
        <v>0</v>
      </c>
      <c r="G151" s="754">
        <f>IF(B151='Hochbauplanung '!$U$143,'Hochbauplanung '!$J$143*'Hochbauplanung '!$F$37+'Hochbauplanung '!$J$143+$L$116,0)</f>
        <v>0</v>
      </c>
      <c r="H151" s="754">
        <f>IF(B151='Hochbauplanung '!$U$149,'Hochbauplanung '!$J$149*'Hochbauplanung '!$F$37+'Hochbauplanung '!$J$149+$L$117,0)</f>
        <v>0</v>
      </c>
      <c r="I151" s="754">
        <f>IF(B151='Hochbauplanung '!$U$156,'Hochbauplanung '!$J$156*'Hochbauplanung '!$F$37+'Hochbauplanung '!$J$156+$L$118,0)</f>
        <v>0</v>
      </c>
      <c r="J151" s="754">
        <f>IF(B151='Hochbauplanung '!$U$160,'Hochbauplanung '!$J$160*'Hochbauplanung '!$F$37+'Hochbauplanung '!$J$160+$L$119,0)</f>
        <v>0</v>
      </c>
      <c r="K151" s="754">
        <f>IF(B151='Hochbauplanung '!$U$162,'Hochbauplanung '!$J$162*'Hochbauplanung '!$F$37+'Hochbauplanung '!$J$162+$L$120,0)</f>
        <v>0</v>
      </c>
      <c r="L151" s="754">
        <f>IF(B151='Hochbauplanung '!$U$166,'Hochbauplanung '!$J$166*'Hochbauplanung '!$F$37+'Hochbauplanung '!$J$166+'Hochbauplanung '!$R$170+$L$121,0)</f>
        <v>0</v>
      </c>
      <c r="M151" s="754">
        <f>IF(B151='Hochbauplanung '!$U$172,'Hochbauplanung '!$J$172*'Hochbauplanung '!$F$37+'Hochbauplanung '!$J$172+$L$122,0)</f>
        <v>0</v>
      </c>
      <c r="N151" s="754">
        <f>IF(B151='Hochbauplanung '!$U$198,'Hochbauplanung '!$J$198*'Hochbauplanung '!$F$37+'Hochbauplanung '!$J$198+$L$123,0)</f>
        <v>0</v>
      </c>
      <c r="O151" s="754">
        <f>IF(B151='Hochbauplanung '!$U$215,'Hochbauplanung '!$J$215*'Hochbauplanung '!$F$37+'Hochbauplanung '!$J$215+$L$124,0)</f>
        <v>0</v>
      </c>
      <c r="P151" s="755">
        <f>IF(B151='Hochbauplanung '!$U$263,'Hochbauplanung '!$J$263*'Hochbauplanung '!$F$37+'Hochbauplanung '!$J$263+$L$125,0)</f>
        <v>0</v>
      </c>
      <c r="Q151" s="756">
        <f t="shared" si="10"/>
        <v>0</v>
      </c>
      <c r="T151" s="735"/>
      <c r="U151" s="734"/>
      <c r="V151" s="736"/>
    </row>
    <row r="152" spans="2:22" ht="15.2" thickBot="1" x14ac:dyDescent="0.35">
      <c r="Q152" s="757">
        <f>SUM(Q143:Q151)</f>
        <v>0</v>
      </c>
      <c r="T152" s="735"/>
      <c r="U152" s="734"/>
      <c r="V152" s="736"/>
    </row>
    <row r="153" spans="2:22" ht="15.2" thickBot="1" x14ac:dyDescent="0.35">
      <c r="T153" s="735"/>
      <c r="U153" s="734"/>
      <c r="V153" s="736"/>
    </row>
    <row r="154" spans="2:22" ht="15.2" thickBot="1" x14ac:dyDescent="0.35">
      <c r="B154" s="1427" t="s">
        <v>362</v>
      </c>
      <c r="C154" s="1428"/>
      <c r="D154" s="1428"/>
      <c r="E154" s="1428"/>
      <c r="F154" s="1428"/>
      <c r="G154" s="1428"/>
      <c r="H154" s="1428"/>
      <c r="I154" s="1428"/>
      <c r="J154" s="1428"/>
      <c r="K154" s="1428"/>
      <c r="L154" s="1428"/>
      <c r="M154" s="1428"/>
      <c r="N154" s="1428"/>
      <c r="O154" s="1428"/>
      <c r="P154" s="1428"/>
      <c r="Q154" s="1429"/>
      <c r="T154" s="735"/>
      <c r="U154" s="734"/>
      <c r="V154" s="736"/>
    </row>
    <row r="155" spans="2:22" ht="15.2" thickBot="1" x14ac:dyDescent="0.35">
      <c r="B155" s="742" t="s">
        <v>105</v>
      </c>
      <c r="C155" s="689" t="s">
        <v>285</v>
      </c>
      <c r="D155" s="690" t="s">
        <v>286</v>
      </c>
      <c r="E155" s="690" t="s">
        <v>287</v>
      </c>
      <c r="F155" s="690" t="s">
        <v>288</v>
      </c>
      <c r="G155" s="690" t="s">
        <v>289</v>
      </c>
      <c r="H155" s="690" t="s">
        <v>290</v>
      </c>
      <c r="I155" s="690" t="s">
        <v>291</v>
      </c>
      <c r="J155" s="690" t="s">
        <v>292</v>
      </c>
      <c r="K155" s="690" t="s">
        <v>293</v>
      </c>
      <c r="L155" s="690" t="s">
        <v>294</v>
      </c>
      <c r="M155" s="690" t="s">
        <v>295</v>
      </c>
      <c r="N155" s="690" t="s">
        <v>296</v>
      </c>
      <c r="O155" s="690" t="s">
        <v>297</v>
      </c>
      <c r="P155" s="690" t="s">
        <v>359</v>
      </c>
      <c r="Q155" s="743" t="s">
        <v>360</v>
      </c>
      <c r="T155" s="735"/>
      <c r="U155" s="734"/>
      <c r="V155" s="736"/>
    </row>
    <row r="156" spans="2:22" ht="14.55" x14ac:dyDescent="0.3">
      <c r="B156" s="692">
        <f>IF(Überblick!$H$53&gt;=1,1,"")</f>
        <v>1</v>
      </c>
      <c r="C156" s="744">
        <f>IF(B156='Hochbauplanung '!$U$61,'Hochbauplanung '!$J$61+'Hochbauplanung '!$I$60,0)</f>
        <v>0</v>
      </c>
      <c r="D156" s="745">
        <f>IF(B156='Hochbauplanung '!$U$77,'Hochbauplanung '!$J$77+'Hochbauplanung '!$I$76,0)</f>
        <v>0</v>
      </c>
      <c r="E156" s="745">
        <f>IF(B156='Hochbauplanung '!$U$105,'Hochbauplanung '!$J$105+'Hochbauplanung '!$I$104,0)</f>
        <v>0</v>
      </c>
      <c r="F156" s="745">
        <f>IF(B156='Hochbauplanung '!$U$133,'Hochbauplanung '!$J$133+$L$115,0)</f>
        <v>0</v>
      </c>
      <c r="G156" s="745">
        <f>IF(B156='Hochbauplanung '!$U$143,'Hochbauplanung '!$J$143+$L$116,0)</f>
        <v>0</v>
      </c>
      <c r="H156" s="745">
        <f>IF(B156='Hochbauplanung '!$U$149,'Hochbauplanung '!$J$149+$L$117,0)</f>
        <v>0</v>
      </c>
      <c r="I156" s="745">
        <f>IF(B156='Hochbauplanung '!$U$156,'Hochbauplanung '!$J$156+$L$118,0)</f>
        <v>0</v>
      </c>
      <c r="J156" s="745">
        <f>IF(B156='Hochbauplanung '!$U$160,'Hochbauplanung '!$J$160+$L$119,0)</f>
        <v>0</v>
      </c>
      <c r="K156" s="745">
        <f>IF(B156='Hochbauplanung '!$U$162,'Hochbauplanung '!$J$162+$L$120,0)</f>
        <v>0</v>
      </c>
      <c r="L156" s="745">
        <f>IF(B156='Hochbauplanung '!$U$166,'Hochbauplanung '!$J$166+'Hochbauplanung '!$R$170+$L$121,0)</f>
        <v>0</v>
      </c>
      <c r="M156" s="745">
        <f>IF(B156='Hochbauplanung '!$U$172,'Hochbauplanung '!$J$172+$L$122,0)</f>
        <v>0</v>
      </c>
      <c r="N156" s="745">
        <f>IF(B156='Hochbauplanung '!$U$198,'Hochbauplanung '!$J$198+$L$123,0)</f>
        <v>0</v>
      </c>
      <c r="O156" s="745">
        <f>IF(B156='Hochbauplanung '!$U$215,'Hochbauplanung '!$J$215+$L$124,0)</f>
        <v>0</v>
      </c>
      <c r="P156" s="746">
        <f>IF(B156='Hochbauplanung '!$U$263,'Hochbauplanung '!$J$263+$L$125,0)</f>
        <v>0</v>
      </c>
      <c r="Q156" s="747">
        <f t="shared" ref="Q156:Q158" si="11">SUM(C156:P156)</f>
        <v>0</v>
      </c>
      <c r="T156" s="735"/>
      <c r="U156" s="734"/>
      <c r="V156" s="736"/>
    </row>
    <row r="157" spans="2:22" ht="14.55" x14ac:dyDescent="0.3">
      <c r="B157" s="696">
        <f>IF(Überblick!$H$53&gt;=2,2,"")</f>
        <v>2</v>
      </c>
      <c r="C157" s="748">
        <f>IF(B157='Hochbauplanung '!$U$61,'Hochbauplanung '!$J$61+'Hochbauplanung '!$I$60,0)</f>
        <v>0</v>
      </c>
      <c r="D157" s="749">
        <f>IF(B157='Hochbauplanung '!$U$77,'Hochbauplanung '!$J$77+'Hochbauplanung '!$I$76,0)</f>
        <v>0</v>
      </c>
      <c r="E157" s="749">
        <f>IF(B157='Hochbauplanung '!$U$105,'Hochbauplanung '!$J$105+'Hochbauplanung '!$I$104,0)</f>
        <v>0</v>
      </c>
      <c r="F157" s="749">
        <f>IF(B157='Hochbauplanung '!$U$133,'Hochbauplanung '!$J$133+$L$115,0)</f>
        <v>0</v>
      </c>
      <c r="G157" s="749">
        <f>IF(B157='Hochbauplanung '!$U$143,'Hochbauplanung '!$J$143+$L$116,0)</f>
        <v>0</v>
      </c>
      <c r="H157" s="749">
        <f>IF(B157='Hochbauplanung '!$U$149,'Hochbauplanung '!$J$149+$L$117,0)</f>
        <v>0</v>
      </c>
      <c r="I157" s="749">
        <f>IF(B157='Hochbauplanung '!$U$156,'Hochbauplanung '!$J$156+$L$118,0)</f>
        <v>0</v>
      </c>
      <c r="J157" s="749">
        <f>IF(B157='Hochbauplanung '!$U$160,'Hochbauplanung '!$J$160+$L$119,0)</f>
        <v>0</v>
      </c>
      <c r="K157" s="749">
        <f>IF(B157='Hochbauplanung '!$U$162,'Hochbauplanung '!$J$162+$L$120,0)</f>
        <v>0</v>
      </c>
      <c r="L157" s="749">
        <f>IF(B157='Hochbauplanung '!$U$166,'Hochbauplanung '!$J$166+'Hochbauplanung '!$R$170+$L$121,0)</f>
        <v>0</v>
      </c>
      <c r="M157" s="749">
        <f>IF(B157='Hochbauplanung '!$U$172,'Hochbauplanung '!$J$172+$L$122,0)</f>
        <v>0</v>
      </c>
      <c r="N157" s="749">
        <f>IF(B157='Hochbauplanung '!$U$198,'Hochbauplanung '!$J$198+$L$123,0)</f>
        <v>0</v>
      </c>
      <c r="O157" s="749">
        <f>IF(B157='Hochbauplanung '!$U$215,'Hochbauplanung '!$J$215+$L$124,0)</f>
        <v>0</v>
      </c>
      <c r="P157" s="750">
        <f>IF(B157='Hochbauplanung '!$U$263,'Hochbauplanung '!$J$263+$L$125,0)</f>
        <v>0</v>
      </c>
      <c r="Q157" s="751">
        <f t="shared" si="11"/>
        <v>0</v>
      </c>
      <c r="T157" s="735"/>
      <c r="U157" s="734"/>
      <c r="V157" s="736"/>
    </row>
    <row r="158" spans="2:22" ht="14.55" x14ac:dyDescent="0.3">
      <c r="B158" s="696">
        <f>IF(Überblick!$H$53&gt;=3,3,"")</f>
        <v>3</v>
      </c>
      <c r="C158" s="748">
        <f>IF(B158='Hochbauplanung '!$U$61,'Hochbauplanung '!$J$61+'Hochbauplanung '!$I$60,0)</f>
        <v>0</v>
      </c>
      <c r="D158" s="749">
        <f>IF(B158='Hochbauplanung '!$U$77,'Hochbauplanung '!$J$77+'Hochbauplanung '!$I$76,0)</f>
        <v>0</v>
      </c>
      <c r="E158" s="749">
        <f>IF(B158='Hochbauplanung '!$U$105,'Hochbauplanung '!$J$105+'Hochbauplanung '!$I$104,0)</f>
        <v>0</v>
      </c>
      <c r="F158" s="749">
        <f>IF(B158='Hochbauplanung '!$U$133,'Hochbauplanung '!$J$133+$L$115,0)</f>
        <v>0</v>
      </c>
      <c r="G158" s="749">
        <f>IF(B158='Hochbauplanung '!$U$143,'Hochbauplanung '!$J$143+$L$116,0)</f>
        <v>0</v>
      </c>
      <c r="H158" s="749">
        <f>IF(B158='Hochbauplanung '!$U$149,'Hochbauplanung '!$J$149+$L$117,0)</f>
        <v>0</v>
      </c>
      <c r="I158" s="749">
        <f>IF(B158='Hochbauplanung '!$U$156,'Hochbauplanung '!$J$156+$L$118,0)</f>
        <v>0</v>
      </c>
      <c r="J158" s="749">
        <f>IF(B158='Hochbauplanung '!$U$160,'Hochbauplanung '!$J$160+$L$119,0)</f>
        <v>0</v>
      </c>
      <c r="K158" s="749">
        <f>IF(B158='Hochbauplanung '!$U$162,'Hochbauplanung '!$J$162+$L$120,0)</f>
        <v>0</v>
      </c>
      <c r="L158" s="749">
        <f>IF(B158='Hochbauplanung '!$U$166,'Hochbauplanung '!$J$166+'Hochbauplanung '!$R$170+$L$121,0)</f>
        <v>0</v>
      </c>
      <c r="M158" s="749">
        <f>IF(B158='Hochbauplanung '!$U$172,'Hochbauplanung '!$J$172+$L$122,0)</f>
        <v>0</v>
      </c>
      <c r="N158" s="749">
        <f>IF(B158='Hochbauplanung '!$U$198,'Hochbauplanung '!$J$198+$L$123,0)</f>
        <v>0</v>
      </c>
      <c r="O158" s="749">
        <f>IF(B158='Hochbauplanung '!$U$215,'Hochbauplanung '!$J$215+$L$124,0)</f>
        <v>0</v>
      </c>
      <c r="P158" s="750">
        <f>IF(B158='Hochbauplanung '!$U$263,'Hochbauplanung '!$J$263+$L$125,0)</f>
        <v>0</v>
      </c>
      <c r="Q158" s="751">
        <f t="shared" si="11"/>
        <v>0</v>
      </c>
      <c r="T158" s="735"/>
      <c r="U158" s="734"/>
      <c r="V158" s="736"/>
    </row>
    <row r="159" spans="2:22" ht="14.55" x14ac:dyDescent="0.3">
      <c r="B159" s="696">
        <f>IF(Überblick!$H$53&gt;=4,4,"")</f>
        <v>4</v>
      </c>
      <c r="C159" s="748">
        <f>IF(B159='Hochbauplanung '!$U$61,'Hochbauplanung '!$J$61+'Hochbauplanung '!$I$60,0)</f>
        <v>0</v>
      </c>
      <c r="D159" s="749">
        <f>IF(B159='Hochbauplanung '!$U$77,'Hochbauplanung '!$J$77+'Hochbauplanung '!$I$76,0)</f>
        <v>0</v>
      </c>
      <c r="E159" s="749">
        <f>IF(B159='Hochbauplanung '!$U$105,'Hochbauplanung '!$J$105+'Hochbauplanung '!$I$104,0)</f>
        <v>0</v>
      </c>
      <c r="F159" s="749">
        <f>IF(B159='Hochbauplanung '!$U$133,'Hochbauplanung '!$J$133+$L$115,0)</f>
        <v>0</v>
      </c>
      <c r="G159" s="749">
        <f>IF(B159='Hochbauplanung '!$U$143,'Hochbauplanung '!$J$143+$L$116,0)</f>
        <v>0</v>
      </c>
      <c r="H159" s="749">
        <f>IF(B159='Hochbauplanung '!$U$149,'Hochbauplanung '!$J$149+$L$117,0)</f>
        <v>0</v>
      </c>
      <c r="I159" s="749">
        <f>IF(B159='Hochbauplanung '!$U$156,'Hochbauplanung '!$J$156+$L$118,0)</f>
        <v>0</v>
      </c>
      <c r="J159" s="749">
        <f>IF(B159='Hochbauplanung '!$U$160,'Hochbauplanung '!$J$160+$L$119,0)</f>
        <v>0</v>
      </c>
      <c r="K159" s="749">
        <f>IF(B159='Hochbauplanung '!$U$162,'Hochbauplanung '!$J$162+$L$120,0)</f>
        <v>0</v>
      </c>
      <c r="L159" s="749">
        <f>IF(B159='Hochbauplanung '!$U$166,'Hochbauplanung '!$J$166+'Hochbauplanung '!$R$170+$L$121,0)</f>
        <v>0</v>
      </c>
      <c r="M159" s="749">
        <f>IF(B159='Hochbauplanung '!$U$172,'Hochbauplanung '!$J$172+$L$122,0)</f>
        <v>0</v>
      </c>
      <c r="N159" s="749">
        <f>IF(B159='Hochbauplanung '!$U$198,'Hochbauplanung '!$J$198+$L$123,0)</f>
        <v>0</v>
      </c>
      <c r="O159" s="749">
        <f>IF(B159='Hochbauplanung '!$U$215,'Hochbauplanung '!$J$215+$L$124,0)</f>
        <v>0</v>
      </c>
      <c r="P159" s="750">
        <f>IF(B159='Hochbauplanung '!$U$263,'Hochbauplanung '!$J$263+$L$125,0)</f>
        <v>0</v>
      </c>
      <c r="Q159" s="751">
        <f>SUM(C159:P159)</f>
        <v>0</v>
      </c>
      <c r="T159" s="735"/>
      <c r="U159" s="734"/>
      <c r="V159" s="736"/>
    </row>
    <row r="160" spans="2:22" ht="14.55" x14ac:dyDescent="0.3">
      <c r="B160" s="696">
        <f>IF(Überblick!$H$53&gt;=5,5,"")</f>
        <v>5</v>
      </c>
      <c r="C160" s="748">
        <f>IF(B160='Hochbauplanung '!$U$61,'Hochbauplanung '!$J$61+'Hochbauplanung '!$I$60,0)</f>
        <v>0</v>
      </c>
      <c r="D160" s="749">
        <f>IF(B160='Hochbauplanung '!$U$77,'Hochbauplanung '!$J$77+'Hochbauplanung '!$I$76,0)</f>
        <v>0</v>
      </c>
      <c r="E160" s="749">
        <f>IF(B160='Hochbauplanung '!$U$105,'Hochbauplanung '!$J$105+'Hochbauplanung '!$I$104,0)</f>
        <v>0</v>
      </c>
      <c r="F160" s="749">
        <f>IF(B160='Hochbauplanung '!$U$133,'Hochbauplanung '!$J$133+$L$115,0)</f>
        <v>0</v>
      </c>
      <c r="G160" s="749">
        <f>IF(B160='Hochbauplanung '!$U$143,'Hochbauplanung '!$J$143+$L$116,0)</f>
        <v>0</v>
      </c>
      <c r="H160" s="749">
        <f>IF(B160='Hochbauplanung '!$U$149,'Hochbauplanung '!$J$149+$L$117,0)</f>
        <v>0</v>
      </c>
      <c r="I160" s="749">
        <f>IF(B160='Hochbauplanung '!$U$156,'Hochbauplanung '!$J$156+$L$118,0)</f>
        <v>0</v>
      </c>
      <c r="J160" s="749">
        <f>IF(B160='Hochbauplanung '!$U$160,'Hochbauplanung '!$J$160+$L$119,0)</f>
        <v>0</v>
      </c>
      <c r="K160" s="749">
        <f>IF(B160='Hochbauplanung '!$U$162,'Hochbauplanung '!$J$162+$L$120,0)</f>
        <v>0</v>
      </c>
      <c r="L160" s="749">
        <f>IF(B160='Hochbauplanung '!$U$166,'Hochbauplanung '!$J$166+'Hochbauplanung '!$R$170+$L$121,0)</f>
        <v>0</v>
      </c>
      <c r="M160" s="749">
        <f>IF(B160='Hochbauplanung '!$U$172,'Hochbauplanung '!$J$172+$L$122,0)</f>
        <v>0</v>
      </c>
      <c r="N160" s="749">
        <f>IF(B160='Hochbauplanung '!$U$198,'Hochbauplanung '!$J$198+$L$123,0)</f>
        <v>0</v>
      </c>
      <c r="O160" s="749">
        <f>IF(B160='Hochbauplanung '!$U$215,'Hochbauplanung '!$J$215+$L$124,0)</f>
        <v>0</v>
      </c>
      <c r="P160" s="750">
        <f>IF(B160='Hochbauplanung '!$U$263,'Hochbauplanung '!$J$263+$L$125,0)</f>
        <v>0</v>
      </c>
      <c r="Q160" s="751">
        <f t="shared" ref="Q160:Q164" si="12">SUM(C160:P160)</f>
        <v>0</v>
      </c>
      <c r="T160" s="735"/>
      <c r="U160" s="734"/>
      <c r="V160" s="736"/>
    </row>
    <row r="161" spans="2:22" ht="14.55" x14ac:dyDescent="0.3">
      <c r="B161" s="696">
        <f>IF(Überblick!$H$53&gt;=6,6,"")</f>
        <v>6</v>
      </c>
      <c r="C161" s="748">
        <f>IF(B161='Hochbauplanung '!$U$61,'Hochbauplanung '!$J$61+'Hochbauplanung '!$I$60,0)</f>
        <v>0</v>
      </c>
      <c r="D161" s="749">
        <f>IF(B161='Hochbauplanung '!$U$77,'Hochbauplanung '!$J$77+'Hochbauplanung '!$I$76,0)</f>
        <v>0</v>
      </c>
      <c r="E161" s="749">
        <f>IF(B161='Hochbauplanung '!$U$105,'Hochbauplanung '!$J$105+'Hochbauplanung '!$I$104,0)</f>
        <v>0</v>
      </c>
      <c r="F161" s="749">
        <f>IF(B161='Hochbauplanung '!$U$133,'Hochbauplanung '!$J$133+$L$115,0)</f>
        <v>0</v>
      </c>
      <c r="G161" s="749">
        <f>IF(B161='Hochbauplanung '!$U$143,'Hochbauplanung '!$J$143+$L$116,0)</f>
        <v>0</v>
      </c>
      <c r="H161" s="749">
        <f>IF(B161='Hochbauplanung '!$U$149,'Hochbauplanung '!$J$149+$L$117,0)</f>
        <v>0</v>
      </c>
      <c r="I161" s="749">
        <f>IF(B161='Hochbauplanung '!$U$156,'Hochbauplanung '!$J$156+$L$118,0)</f>
        <v>0</v>
      </c>
      <c r="J161" s="749">
        <f>IF(B161='Hochbauplanung '!$U$160,'Hochbauplanung '!$J$160+$L$119,0)</f>
        <v>0</v>
      </c>
      <c r="K161" s="749">
        <f>IF(B161='Hochbauplanung '!$U$162,'Hochbauplanung '!$J$162+$L$120,0)</f>
        <v>0</v>
      </c>
      <c r="L161" s="749">
        <f>IF(B161='Hochbauplanung '!$U$166,'Hochbauplanung '!$J$166+'Hochbauplanung '!$R$170+$L$121,0)</f>
        <v>0</v>
      </c>
      <c r="M161" s="749">
        <f>IF(B161='Hochbauplanung '!$U$172,'Hochbauplanung '!$J$172+$L$122,0)</f>
        <v>0</v>
      </c>
      <c r="N161" s="749">
        <f>IF(B161='Hochbauplanung '!$U$198,'Hochbauplanung '!$J$198+$L$123,0)</f>
        <v>0</v>
      </c>
      <c r="O161" s="749">
        <f>IF(B161='Hochbauplanung '!$U$215,'Hochbauplanung '!$J$215+$L$124,0)</f>
        <v>0</v>
      </c>
      <c r="P161" s="750">
        <f>IF(B161='Hochbauplanung '!$U$263,'Hochbauplanung '!$J$263+$L$125,0)</f>
        <v>0</v>
      </c>
      <c r="Q161" s="751">
        <f t="shared" si="12"/>
        <v>0</v>
      </c>
      <c r="T161" s="735"/>
      <c r="U161" s="734"/>
      <c r="V161" s="736"/>
    </row>
    <row r="162" spans="2:22" ht="14.55" x14ac:dyDescent="0.3">
      <c r="B162" s="696" t="str">
        <f>IF(Überblick!$H$53&gt;=7,7,"")</f>
        <v/>
      </c>
      <c r="C162" s="748">
        <f>IF(B162='Hochbauplanung '!$U$61,'Hochbauplanung '!$J$61+'Hochbauplanung '!$I$60,0)</f>
        <v>0</v>
      </c>
      <c r="D162" s="749">
        <f>IF(B162='Hochbauplanung '!$U$77,'Hochbauplanung '!$J$77+'Hochbauplanung '!$I$76,0)</f>
        <v>0</v>
      </c>
      <c r="E162" s="749">
        <f>IF(B162='Hochbauplanung '!$U$105,'Hochbauplanung '!$J$105+'Hochbauplanung '!$I$104,0)</f>
        <v>0</v>
      </c>
      <c r="F162" s="749">
        <f>IF(B162='Hochbauplanung '!$U$133,'Hochbauplanung '!$J$133+$L$115,0)</f>
        <v>0</v>
      </c>
      <c r="G162" s="749">
        <f>IF(B162='Hochbauplanung '!$U$143,'Hochbauplanung '!$J$143+$L$116,0)</f>
        <v>0</v>
      </c>
      <c r="H162" s="749">
        <f>IF(B162='Hochbauplanung '!$U$149,'Hochbauplanung '!$J$149+$L$117,0)</f>
        <v>0</v>
      </c>
      <c r="I162" s="749">
        <f>IF(B162='Hochbauplanung '!$U$156,'Hochbauplanung '!$J$156+$L$118,0)</f>
        <v>0</v>
      </c>
      <c r="J162" s="749">
        <f>IF(B162='Hochbauplanung '!$U$160,'Hochbauplanung '!$J$160+$L$119,0)</f>
        <v>0</v>
      </c>
      <c r="K162" s="749">
        <f>IF(B162='Hochbauplanung '!$U$162,'Hochbauplanung '!$J$162+$L$120,0)</f>
        <v>0</v>
      </c>
      <c r="L162" s="749">
        <f>IF(B162='Hochbauplanung '!$U$166,'Hochbauplanung '!$J$166+'Hochbauplanung '!$R$170+$L$121,0)</f>
        <v>0</v>
      </c>
      <c r="M162" s="749">
        <f>IF(B162='Hochbauplanung '!$U$172,'Hochbauplanung '!$J$172+$L$122,0)</f>
        <v>0</v>
      </c>
      <c r="N162" s="749">
        <f>IF(B162='Hochbauplanung '!$U$198,'Hochbauplanung '!$J$198+$L$123,0)</f>
        <v>0</v>
      </c>
      <c r="O162" s="749">
        <f>IF(B162='Hochbauplanung '!$U$215,'Hochbauplanung '!$J$215+$L$124,0)</f>
        <v>0</v>
      </c>
      <c r="P162" s="750">
        <f>IF(B162='Hochbauplanung '!$U$263,'Hochbauplanung '!$J$263+$L$125,0)</f>
        <v>0</v>
      </c>
      <c r="Q162" s="751">
        <f t="shared" si="12"/>
        <v>0</v>
      </c>
      <c r="T162" s="735"/>
      <c r="U162" s="734"/>
      <c r="V162" s="736"/>
    </row>
    <row r="163" spans="2:22" ht="14.55" x14ac:dyDescent="0.3">
      <c r="B163" s="696" t="str">
        <f>IF(Überblick!$H$53&gt;=8,8,"")</f>
        <v/>
      </c>
      <c r="C163" s="748">
        <f>IF(B163='Hochbauplanung '!$U$61,'Hochbauplanung '!$J$61+'Hochbauplanung '!$I$60,0)</f>
        <v>0</v>
      </c>
      <c r="D163" s="749">
        <f>IF(B163='Hochbauplanung '!$U$77,'Hochbauplanung '!$J$77+'Hochbauplanung '!$I$76,0)</f>
        <v>0</v>
      </c>
      <c r="E163" s="749">
        <f>IF(B163='Hochbauplanung '!$U$105,'Hochbauplanung '!$J$105+'Hochbauplanung '!$I$104,0)</f>
        <v>0</v>
      </c>
      <c r="F163" s="749">
        <f>IF(B163='Hochbauplanung '!$U$133,'Hochbauplanung '!$J$133+$L$115,0)</f>
        <v>0</v>
      </c>
      <c r="G163" s="749">
        <f>IF(B163='Hochbauplanung '!$U$143,'Hochbauplanung '!$J$143+$L$116,0)</f>
        <v>0</v>
      </c>
      <c r="H163" s="749">
        <f>IF(B163='Hochbauplanung '!$U$149,'Hochbauplanung '!$J$149+$L$117,0)</f>
        <v>0</v>
      </c>
      <c r="I163" s="749">
        <f>IF(B163='Hochbauplanung '!$U$156,'Hochbauplanung '!$J$156+$L$118,0)</f>
        <v>0</v>
      </c>
      <c r="J163" s="749">
        <f>IF(B163='Hochbauplanung '!$U$160,'Hochbauplanung '!$J$160+$L$119,0)</f>
        <v>0</v>
      </c>
      <c r="K163" s="749">
        <f>IF(B163='Hochbauplanung '!$U$162,'Hochbauplanung '!$J$162+$L$120,0)</f>
        <v>0</v>
      </c>
      <c r="L163" s="749">
        <f>IF(B163='Hochbauplanung '!$U$166,'Hochbauplanung '!$J$166+'Hochbauplanung '!$R$170+$L$121,0)</f>
        <v>0</v>
      </c>
      <c r="M163" s="749">
        <f>IF(B163='Hochbauplanung '!$U$172,'Hochbauplanung '!$J$172+$L$122,0)</f>
        <v>0</v>
      </c>
      <c r="N163" s="749">
        <f>IF(B163='Hochbauplanung '!$U$198,'Hochbauplanung '!$J$198+$L$123,0)</f>
        <v>0</v>
      </c>
      <c r="O163" s="749">
        <f>IF(B163='Hochbauplanung '!$U$215,'Hochbauplanung '!$J$215+$L$124,0)</f>
        <v>0</v>
      </c>
      <c r="P163" s="750">
        <f>IF(B163='Hochbauplanung '!$U$263,'Hochbauplanung '!$J$263+$L$125,0)</f>
        <v>0</v>
      </c>
      <c r="Q163" s="752">
        <f t="shared" si="12"/>
        <v>0</v>
      </c>
      <c r="T163" s="735"/>
      <c r="U163" s="734"/>
      <c r="V163" s="736"/>
    </row>
    <row r="164" spans="2:22" ht="15.2" thickBot="1" x14ac:dyDescent="0.35">
      <c r="B164" s="700" t="str">
        <f>IF(Überblick!$H$53&gt;=9,9,"")</f>
        <v/>
      </c>
      <c r="C164" s="753">
        <f>IF(B164='Hochbauplanung '!$U$61,'Hochbauplanung '!$J$61+'Hochbauplanung '!$I$60,0)</f>
        <v>0</v>
      </c>
      <c r="D164" s="754">
        <f>IF(B164='Hochbauplanung '!$U$77,'Hochbauplanung '!$J$77+'Hochbauplanung '!$I$76,0)</f>
        <v>0</v>
      </c>
      <c r="E164" s="754">
        <f>IF(B164='Hochbauplanung '!$U$105,'Hochbauplanung '!$J$105+'Hochbauplanung '!$I$104,0)</f>
        <v>0</v>
      </c>
      <c r="F164" s="754">
        <f>IF(B164='Hochbauplanung '!$U$133,'Hochbauplanung '!$J$133+$L$115,0)</f>
        <v>0</v>
      </c>
      <c r="G164" s="754">
        <f>IF(B164='Hochbauplanung '!$U$143,'Hochbauplanung '!$J$143+$L$116,0)</f>
        <v>0</v>
      </c>
      <c r="H164" s="754">
        <f>IF(B164='Hochbauplanung '!$U$149,'Hochbauplanung '!$J$149+$L$117,0)</f>
        <v>0</v>
      </c>
      <c r="I164" s="754">
        <f>IF(B164='Hochbauplanung '!$U$156,'Hochbauplanung '!$J$156+$L$118,0)</f>
        <v>0</v>
      </c>
      <c r="J164" s="754">
        <f>IF(B164='Hochbauplanung '!$U$160,'Hochbauplanung '!$J$160+$L$119,0)</f>
        <v>0</v>
      </c>
      <c r="K164" s="754">
        <f>IF(B164='Hochbauplanung '!$U$162,'Hochbauplanung '!$J$162+$L$120,0)</f>
        <v>0</v>
      </c>
      <c r="L164" s="754">
        <f>IF(B164='Hochbauplanung '!$U$166,'Hochbauplanung '!$J$166+'Hochbauplanung '!$R$170+$L$121,0)</f>
        <v>0</v>
      </c>
      <c r="M164" s="754">
        <f>IF(B164='Hochbauplanung '!$U$172,'Hochbauplanung '!$J$172+$L$122,0)</f>
        <v>0</v>
      </c>
      <c r="N164" s="754">
        <f>IF(B164='Hochbauplanung '!$U$198,'Hochbauplanung '!$J$198+$L$123,0)</f>
        <v>0</v>
      </c>
      <c r="O164" s="754">
        <f>IF(B164='Hochbauplanung '!$U$215,'Hochbauplanung '!$J$215+$L$124,0)</f>
        <v>0</v>
      </c>
      <c r="P164" s="755">
        <f>IF(B164='Hochbauplanung '!$U$263,'Hochbauplanung '!$J$263+$L$125,0)</f>
        <v>0</v>
      </c>
      <c r="Q164" s="756">
        <f t="shared" si="12"/>
        <v>0</v>
      </c>
      <c r="T164" s="735"/>
      <c r="U164" s="734"/>
      <c r="V164" s="736"/>
    </row>
    <row r="165" spans="2:22" ht="15.2" thickBot="1" x14ac:dyDescent="0.35">
      <c r="Q165" s="757">
        <f>SUM(Q156:Q164)</f>
        <v>0</v>
      </c>
      <c r="T165" s="735"/>
      <c r="U165" s="734"/>
      <c r="V165" s="736"/>
    </row>
    <row r="166" spans="2:22" ht="14.55" x14ac:dyDescent="0.3">
      <c r="T166" s="735"/>
      <c r="U166" s="734"/>
      <c r="V166" s="736"/>
    </row>
    <row r="167" spans="2:22" ht="14.55" x14ac:dyDescent="0.3">
      <c r="T167" s="735"/>
      <c r="U167" s="734"/>
      <c r="V167" s="736"/>
    </row>
    <row r="168" spans="2:22" ht="14.55" x14ac:dyDescent="0.3">
      <c r="T168" s="735"/>
      <c r="U168" s="734"/>
      <c r="V168" s="736"/>
    </row>
    <row r="169" spans="2:22" ht="14.55" x14ac:dyDescent="0.3">
      <c r="T169" s="735"/>
      <c r="U169" s="734"/>
      <c r="V169" s="736"/>
    </row>
    <row r="170" spans="2:22" ht="14.55" x14ac:dyDescent="0.3">
      <c r="T170" s="735"/>
      <c r="U170" s="734"/>
      <c r="V170" s="736"/>
    </row>
    <row r="171" spans="2:22" ht="14.55" x14ac:dyDescent="0.3">
      <c r="T171" s="735"/>
      <c r="U171" s="734"/>
      <c r="V171" s="736"/>
    </row>
    <row r="172" spans="2:22" ht="14.55" x14ac:dyDescent="0.3">
      <c r="T172" s="735"/>
      <c r="U172" s="734"/>
      <c r="V172" s="736"/>
    </row>
    <row r="173" spans="2:22" ht="14.55" x14ac:dyDescent="0.3">
      <c r="T173" s="735"/>
      <c r="U173" s="734"/>
      <c r="V173" s="736"/>
    </row>
    <row r="174" spans="2:22" ht="14.55" x14ac:dyDescent="0.3">
      <c r="T174" s="735"/>
      <c r="U174" s="734"/>
      <c r="V174" s="736"/>
    </row>
    <row r="175" spans="2:22" ht="14.55" x14ac:dyDescent="0.3">
      <c r="T175" s="735"/>
      <c r="U175" s="734"/>
      <c r="V175" s="736"/>
    </row>
    <row r="176" spans="2:22" ht="14.55" x14ac:dyDescent="0.3">
      <c r="T176" s="735"/>
      <c r="U176" s="734"/>
      <c r="V176" s="736"/>
    </row>
    <row r="177" spans="20:22" ht="14.55" x14ac:dyDescent="0.3">
      <c r="T177" s="735"/>
      <c r="U177" s="734"/>
      <c r="V177" s="736"/>
    </row>
    <row r="178" spans="20:22" ht="14.55" x14ac:dyDescent="0.3">
      <c r="T178" s="735"/>
      <c r="U178" s="734"/>
      <c r="V178" s="736"/>
    </row>
    <row r="179" spans="20:22" ht="14.55" x14ac:dyDescent="0.3">
      <c r="T179" s="735"/>
      <c r="U179" s="734"/>
      <c r="V179" s="736"/>
    </row>
    <row r="180" spans="20:22" ht="14.55" x14ac:dyDescent="0.3">
      <c r="T180" s="735"/>
      <c r="U180" s="734"/>
      <c r="V180" s="736"/>
    </row>
    <row r="181" spans="20:22" ht="14.55" x14ac:dyDescent="0.3">
      <c r="T181" s="735"/>
      <c r="U181" s="734"/>
      <c r="V181" s="736"/>
    </row>
    <row r="182" spans="20:22" ht="14.55" x14ac:dyDescent="0.3">
      <c r="T182" s="735"/>
      <c r="U182" s="734"/>
      <c r="V182" s="736"/>
    </row>
    <row r="183" spans="20:22" ht="14.55" x14ac:dyDescent="0.3">
      <c r="T183" s="735"/>
      <c r="U183" s="734"/>
      <c r="V183" s="736"/>
    </row>
    <row r="184" spans="20:22" ht="14.55" x14ac:dyDescent="0.3">
      <c r="T184" s="735"/>
      <c r="U184" s="734"/>
      <c r="V184" s="736"/>
    </row>
    <row r="185" spans="20:22" ht="14.55" x14ac:dyDescent="0.3">
      <c r="T185" s="735"/>
      <c r="U185" s="734"/>
      <c r="V185" s="736"/>
    </row>
    <row r="186" spans="20:22" ht="14.55" x14ac:dyDescent="0.3">
      <c r="T186" s="735"/>
      <c r="U186" s="734"/>
      <c r="V186" s="736"/>
    </row>
    <row r="187" spans="20:22" ht="14.55" x14ac:dyDescent="0.3">
      <c r="T187" s="735"/>
      <c r="U187" s="734"/>
      <c r="V187" s="736"/>
    </row>
    <row r="188" spans="20:22" ht="14.55" x14ac:dyDescent="0.3">
      <c r="T188" s="735"/>
      <c r="U188" s="734"/>
      <c r="V188" s="736"/>
    </row>
    <row r="189" spans="20:22" ht="14.55" x14ac:dyDescent="0.3">
      <c r="T189" s="735"/>
      <c r="U189" s="734"/>
      <c r="V189" s="736"/>
    </row>
    <row r="190" spans="20:22" ht="14.55" x14ac:dyDescent="0.3">
      <c r="T190" s="735"/>
      <c r="U190" s="734"/>
      <c r="V190" s="736"/>
    </row>
    <row r="191" spans="20:22" ht="14.55" x14ac:dyDescent="0.3">
      <c r="T191" s="735"/>
      <c r="U191" s="734"/>
      <c r="V191" s="736"/>
    </row>
    <row r="192" spans="20:22" ht="14.55" x14ac:dyDescent="0.3">
      <c r="T192" s="735"/>
      <c r="U192" s="734"/>
      <c r="V192" s="736"/>
    </row>
    <row r="193" spans="20:22" ht="14.55" x14ac:dyDescent="0.3">
      <c r="T193" s="735"/>
      <c r="U193" s="734"/>
      <c r="V193" s="736"/>
    </row>
    <row r="194" spans="20:22" ht="14.55" x14ac:dyDescent="0.3">
      <c r="T194" s="735"/>
      <c r="U194" s="734"/>
      <c r="V194" s="758"/>
    </row>
    <row r="195" spans="20:22" ht="14.55" x14ac:dyDescent="0.3">
      <c r="T195" s="735"/>
      <c r="U195" s="734"/>
      <c r="V195" s="736"/>
    </row>
    <row r="196" spans="20:22" ht="14.55" x14ac:dyDescent="0.3">
      <c r="T196" s="735"/>
      <c r="U196" s="734"/>
      <c r="V196" s="736"/>
    </row>
    <row r="197" spans="20:22" ht="14.55" x14ac:dyDescent="0.3">
      <c r="T197" s="735"/>
      <c r="U197" s="734"/>
      <c r="V197" s="736"/>
    </row>
    <row r="198" spans="20:22" ht="14.55" x14ac:dyDescent="0.3">
      <c r="T198" s="735"/>
      <c r="U198" s="734"/>
      <c r="V198" s="736"/>
    </row>
    <row r="199" spans="20:22" ht="14.55" x14ac:dyDescent="0.3">
      <c r="T199" s="735"/>
      <c r="U199" s="734"/>
      <c r="V199" s="736"/>
    </row>
    <row r="200" spans="20:22" ht="14.55" x14ac:dyDescent="0.3">
      <c r="T200" s="735"/>
      <c r="U200" s="734"/>
      <c r="V200" s="736"/>
    </row>
    <row r="201" spans="20:22" ht="14.55" x14ac:dyDescent="0.3">
      <c r="T201" s="735"/>
      <c r="U201" s="734"/>
      <c r="V201" s="736"/>
    </row>
    <row r="202" spans="20:22" ht="14.55" x14ac:dyDescent="0.3">
      <c r="T202" s="735"/>
      <c r="U202" s="734"/>
      <c r="V202" s="736"/>
    </row>
    <row r="203" spans="20:22" ht="14.55" x14ac:dyDescent="0.3">
      <c r="T203" s="735"/>
      <c r="U203" s="734"/>
      <c r="V203" s="736"/>
    </row>
    <row r="204" spans="20:22" ht="14.55" x14ac:dyDescent="0.3">
      <c r="T204" s="735"/>
      <c r="U204" s="734"/>
      <c r="V204" s="736"/>
    </row>
    <row r="205" spans="20:22" ht="14.55" x14ac:dyDescent="0.3">
      <c r="T205" s="735"/>
      <c r="U205" s="734"/>
      <c r="V205" s="736"/>
    </row>
    <row r="206" spans="20:22" ht="14.55" x14ac:dyDescent="0.3">
      <c r="T206" s="735"/>
      <c r="U206" s="734"/>
      <c r="V206" s="736"/>
    </row>
    <row r="207" spans="20:22" ht="14.55" x14ac:dyDescent="0.3">
      <c r="T207" s="735"/>
      <c r="U207" s="734"/>
      <c r="V207" s="736"/>
    </row>
    <row r="208" spans="20:22" ht="14.55" x14ac:dyDescent="0.3">
      <c r="T208" s="735"/>
      <c r="U208" s="734"/>
      <c r="V208" s="736"/>
    </row>
    <row r="209" spans="20:22" ht="14.55" x14ac:dyDescent="0.3">
      <c r="T209" s="735"/>
      <c r="U209" s="734"/>
      <c r="V209" s="736"/>
    </row>
    <row r="210" spans="20:22" ht="14.55" x14ac:dyDescent="0.3">
      <c r="T210" s="735"/>
      <c r="U210" s="734"/>
      <c r="V210" s="736"/>
    </row>
    <row r="211" spans="20:22" ht="14.55" x14ac:dyDescent="0.3">
      <c r="T211" s="735"/>
      <c r="U211" s="734"/>
      <c r="V211" s="736"/>
    </row>
    <row r="212" spans="20:22" ht="14.55" x14ac:dyDescent="0.3">
      <c r="T212" s="735"/>
      <c r="U212" s="734"/>
      <c r="V212" s="736"/>
    </row>
    <row r="213" spans="20:22" ht="14.55" x14ac:dyDescent="0.3">
      <c r="T213" s="735"/>
      <c r="U213" s="734"/>
      <c r="V213" s="736"/>
    </row>
    <row r="214" spans="20:22" ht="14.55" x14ac:dyDescent="0.3">
      <c r="T214" s="735"/>
      <c r="U214" s="734"/>
      <c r="V214" s="736"/>
    </row>
    <row r="215" spans="20:22" ht="14.55" x14ac:dyDescent="0.3">
      <c r="T215" s="735"/>
      <c r="U215" s="734"/>
      <c r="V215" s="736"/>
    </row>
    <row r="216" spans="20:22" ht="14.55" x14ac:dyDescent="0.3">
      <c r="T216" s="735"/>
      <c r="U216" s="734"/>
      <c r="V216" s="736"/>
    </row>
    <row r="217" spans="20:22" ht="14.55" x14ac:dyDescent="0.3">
      <c r="T217" s="735"/>
      <c r="U217" s="734"/>
      <c r="V217" s="736"/>
    </row>
    <row r="218" spans="20:22" ht="14.55" x14ac:dyDescent="0.3">
      <c r="T218" s="735"/>
      <c r="U218" s="734"/>
      <c r="V218" s="736"/>
    </row>
    <row r="219" spans="20:22" ht="14.55" x14ac:dyDescent="0.3">
      <c r="T219" s="735"/>
      <c r="U219" s="734"/>
      <c r="V219" s="736"/>
    </row>
    <row r="220" spans="20:22" ht="14.55" x14ac:dyDescent="0.3">
      <c r="T220" s="735"/>
      <c r="U220" s="734"/>
      <c r="V220" s="736"/>
    </row>
    <row r="221" spans="20:22" ht="14.55" x14ac:dyDescent="0.3">
      <c r="T221" s="735"/>
      <c r="U221" s="734"/>
      <c r="V221" s="736"/>
    </row>
    <row r="222" spans="20:22" ht="14.55" x14ac:dyDescent="0.3">
      <c r="T222" s="735"/>
      <c r="U222" s="734"/>
      <c r="V222" s="736"/>
    </row>
    <row r="223" spans="20:22" ht="14.55" x14ac:dyDescent="0.3">
      <c r="T223" s="735"/>
      <c r="U223" s="734"/>
      <c r="V223" s="736"/>
    </row>
    <row r="224" spans="20:22" ht="14.55" x14ac:dyDescent="0.3">
      <c r="T224" s="735"/>
      <c r="U224" s="734"/>
      <c r="V224" s="736"/>
    </row>
    <row r="225" spans="20:22" ht="14.55" x14ac:dyDescent="0.3">
      <c r="T225" s="735"/>
      <c r="U225" s="734"/>
      <c r="V225" s="736"/>
    </row>
    <row r="226" spans="20:22" ht="14.55" x14ac:dyDescent="0.3">
      <c r="T226" s="735"/>
      <c r="U226" s="734"/>
      <c r="V226" s="736"/>
    </row>
    <row r="227" spans="20:22" ht="14.55" x14ac:dyDescent="0.3">
      <c r="T227" s="735"/>
      <c r="U227" s="734"/>
      <c r="V227" s="736"/>
    </row>
    <row r="228" spans="20:22" ht="14.55" x14ac:dyDescent="0.3">
      <c r="T228" s="735"/>
      <c r="U228" s="734"/>
      <c r="V228" s="736"/>
    </row>
    <row r="229" spans="20:22" ht="14.55" x14ac:dyDescent="0.3">
      <c r="T229" s="735"/>
      <c r="U229" s="734"/>
      <c r="V229" s="736"/>
    </row>
    <row r="230" spans="20:22" ht="14.55" x14ac:dyDescent="0.3">
      <c r="T230" s="735"/>
      <c r="U230" s="734"/>
      <c r="V230" s="736"/>
    </row>
    <row r="231" spans="20:22" ht="14.55" x14ac:dyDescent="0.3">
      <c r="T231" s="735"/>
      <c r="U231" s="734"/>
      <c r="V231" s="736"/>
    </row>
    <row r="232" spans="20:22" ht="14.55" x14ac:dyDescent="0.3">
      <c r="T232" s="735"/>
      <c r="U232" s="734"/>
      <c r="V232" s="736"/>
    </row>
    <row r="233" spans="20:22" ht="14.55" x14ac:dyDescent="0.3">
      <c r="T233" s="735"/>
      <c r="U233" s="734"/>
      <c r="V233" s="736"/>
    </row>
    <row r="234" spans="20:22" ht="14.55" x14ac:dyDescent="0.3">
      <c r="T234" s="735"/>
      <c r="U234" s="734"/>
      <c r="V234" s="736"/>
    </row>
    <row r="235" spans="20:22" ht="14.55" x14ac:dyDescent="0.3">
      <c r="T235" s="735"/>
      <c r="U235" s="734"/>
      <c r="V235" s="736"/>
    </row>
    <row r="236" spans="20:22" ht="14.55" x14ac:dyDescent="0.3">
      <c r="T236" s="735"/>
      <c r="U236" s="734"/>
      <c r="V236" s="736"/>
    </row>
    <row r="237" spans="20:22" ht="14.55" x14ac:dyDescent="0.3">
      <c r="T237" s="735"/>
      <c r="U237" s="734"/>
      <c r="V237" s="736"/>
    </row>
    <row r="238" spans="20:22" ht="14.55" x14ac:dyDescent="0.3">
      <c r="T238" s="735"/>
      <c r="U238" s="734"/>
      <c r="V238" s="736"/>
    </row>
    <row r="239" spans="20:22" ht="14.55" x14ac:dyDescent="0.3">
      <c r="T239" s="735"/>
      <c r="U239" s="734"/>
      <c r="V239" s="736"/>
    </row>
    <row r="240" spans="20:22" ht="14.55" x14ac:dyDescent="0.3">
      <c r="T240" s="735"/>
      <c r="U240" s="734"/>
      <c r="V240" s="736"/>
    </row>
    <row r="241" spans="20:22" ht="14.55" x14ac:dyDescent="0.3">
      <c r="T241" s="735"/>
      <c r="U241" s="734"/>
      <c r="V241" s="736"/>
    </row>
    <row r="242" spans="20:22" ht="14.55" x14ac:dyDescent="0.3">
      <c r="T242" s="735"/>
      <c r="U242" s="734"/>
      <c r="V242" s="736"/>
    </row>
    <row r="243" spans="20:22" ht="14.55" x14ac:dyDescent="0.3">
      <c r="T243" s="735"/>
      <c r="U243" s="734"/>
      <c r="V243" s="736"/>
    </row>
    <row r="244" spans="20:22" ht="14.55" x14ac:dyDescent="0.3">
      <c r="T244" s="735"/>
      <c r="U244" s="734"/>
      <c r="V244" s="736"/>
    </row>
    <row r="245" spans="20:22" ht="14.55" x14ac:dyDescent="0.3">
      <c r="T245" s="735"/>
      <c r="U245" s="734"/>
      <c r="V245" s="736"/>
    </row>
    <row r="246" spans="20:22" ht="14.55" x14ac:dyDescent="0.3">
      <c r="T246" s="735"/>
      <c r="U246" s="734"/>
      <c r="V246" s="736"/>
    </row>
    <row r="247" spans="20:22" ht="14.55" x14ac:dyDescent="0.3">
      <c r="T247" s="735"/>
      <c r="U247" s="734"/>
      <c r="V247" s="736"/>
    </row>
    <row r="248" spans="20:22" ht="14.55" x14ac:dyDescent="0.3">
      <c r="T248" s="735"/>
      <c r="U248" s="734"/>
      <c r="V248" s="736"/>
    </row>
    <row r="249" spans="20:22" ht="14.55" x14ac:dyDescent="0.3">
      <c r="T249" s="735"/>
      <c r="U249" s="734"/>
      <c r="V249" s="736"/>
    </row>
    <row r="250" spans="20:22" ht="14.55" x14ac:dyDescent="0.3">
      <c r="T250" s="735"/>
      <c r="U250" s="734"/>
      <c r="V250" s="736"/>
    </row>
    <row r="251" spans="20:22" ht="14.55" x14ac:dyDescent="0.3">
      <c r="T251" s="735"/>
      <c r="U251" s="734"/>
      <c r="V251" s="736"/>
    </row>
    <row r="252" spans="20:22" ht="14.55" x14ac:dyDescent="0.3">
      <c r="T252" s="735"/>
      <c r="U252" s="734"/>
      <c r="V252" s="736"/>
    </row>
    <row r="253" spans="20:22" ht="14.55" x14ac:dyDescent="0.3">
      <c r="T253" s="735"/>
      <c r="U253" s="734"/>
      <c r="V253" s="736"/>
    </row>
    <row r="254" spans="20:22" ht="14.55" x14ac:dyDescent="0.3">
      <c r="T254" s="735"/>
      <c r="U254" s="734"/>
      <c r="V254" s="736"/>
    </row>
    <row r="255" spans="20:22" ht="14.55" x14ac:dyDescent="0.3">
      <c r="T255" s="735"/>
      <c r="U255" s="734"/>
      <c r="V255" s="736"/>
    </row>
    <row r="256" spans="20:22" ht="14.55" x14ac:dyDescent="0.3">
      <c r="T256" s="735"/>
      <c r="U256" s="734"/>
      <c r="V256" s="736"/>
    </row>
    <row r="257" spans="20:22" ht="14.55" x14ac:dyDescent="0.3">
      <c r="T257" s="735"/>
      <c r="U257" s="734"/>
      <c r="V257" s="736"/>
    </row>
    <row r="258" spans="20:22" ht="14.55" x14ac:dyDescent="0.3">
      <c r="T258" s="735"/>
      <c r="U258" s="734"/>
      <c r="V258" s="736"/>
    </row>
    <row r="259" spans="20:22" ht="14.55" x14ac:dyDescent="0.3">
      <c r="T259" s="735"/>
      <c r="U259" s="734"/>
      <c r="V259" s="736"/>
    </row>
    <row r="260" spans="20:22" ht="14.55" x14ac:dyDescent="0.3">
      <c r="T260" s="735"/>
      <c r="U260" s="734"/>
      <c r="V260" s="736"/>
    </row>
    <row r="261" spans="20:22" ht="14.55" x14ac:dyDescent="0.3">
      <c r="T261" s="735"/>
      <c r="U261" s="734"/>
      <c r="V261" s="736"/>
    </row>
    <row r="262" spans="20:22" ht="14.55" x14ac:dyDescent="0.3">
      <c r="T262" s="735"/>
      <c r="U262" s="734"/>
      <c r="V262" s="736"/>
    </row>
    <row r="263" spans="20:22" ht="14.55" x14ac:dyDescent="0.3">
      <c r="T263" s="735"/>
      <c r="U263" s="734"/>
      <c r="V263" s="736"/>
    </row>
    <row r="264" spans="20:22" ht="14.55" x14ac:dyDescent="0.3">
      <c r="T264" s="735"/>
      <c r="U264" s="734"/>
      <c r="V264" s="736"/>
    </row>
    <row r="265" spans="20:22" ht="14.55" x14ac:dyDescent="0.3">
      <c r="T265" s="735"/>
      <c r="U265" s="734"/>
      <c r="V265" s="736"/>
    </row>
    <row r="266" spans="20:22" ht="14.55" x14ac:dyDescent="0.3">
      <c r="T266" s="735"/>
      <c r="U266" s="734"/>
      <c r="V266" s="736"/>
    </row>
    <row r="267" spans="20:22" ht="14.55" x14ac:dyDescent="0.3">
      <c r="T267" s="735"/>
      <c r="U267" s="734"/>
      <c r="V267" s="736"/>
    </row>
    <row r="268" spans="20:22" ht="14.55" x14ac:dyDescent="0.3">
      <c r="T268" s="735"/>
      <c r="U268" s="734"/>
      <c r="V268" s="736"/>
    </row>
    <row r="269" spans="20:22" ht="14.55" x14ac:dyDescent="0.3">
      <c r="T269" s="735"/>
      <c r="U269" s="734"/>
      <c r="V269" s="736"/>
    </row>
    <row r="270" spans="20:22" ht="14.55" x14ac:dyDescent="0.3">
      <c r="T270" s="735"/>
      <c r="U270" s="734"/>
      <c r="V270" s="736"/>
    </row>
    <row r="271" spans="20:22" ht="14.55" x14ac:dyDescent="0.3">
      <c r="T271" s="735"/>
      <c r="U271" s="734"/>
      <c r="V271" s="736"/>
    </row>
    <row r="272" spans="20:22" ht="14.55" x14ac:dyDescent="0.3">
      <c r="T272" s="735"/>
      <c r="U272" s="734"/>
      <c r="V272" s="736"/>
    </row>
    <row r="273" spans="20:22" ht="14.55" x14ac:dyDescent="0.3">
      <c r="T273" s="735"/>
      <c r="U273" s="734"/>
      <c r="V273" s="736"/>
    </row>
    <row r="274" spans="20:22" ht="14.55" x14ac:dyDescent="0.3">
      <c r="T274" s="735"/>
      <c r="U274" s="734"/>
      <c r="V274" s="736"/>
    </row>
    <row r="275" spans="20:22" ht="14.55" x14ac:dyDescent="0.3">
      <c r="T275" s="735"/>
      <c r="U275" s="734"/>
      <c r="V275" s="736"/>
    </row>
    <row r="276" spans="20:22" ht="14.55" x14ac:dyDescent="0.3">
      <c r="T276" s="735"/>
      <c r="U276" s="734"/>
      <c r="V276" s="736"/>
    </row>
    <row r="277" spans="20:22" ht="14.55" x14ac:dyDescent="0.3">
      <c r="T277" s="735"/>
      <c r="U277" s="734"/>
      <c r="V277" s="736"/>
    </row>
    <row r="278" spans="20:22" ht="14.55" x14ac:dyDescent="0.3">
      <c r="T278" s="735"/>
      <c r="U278" s="734"/>
      <c r="V278" s="736"/>
    </row>
    <row r="279" spans="20:22" ht="14.55" x14ac:dyDescent="0.3">
      <c r="T279" s="735"/>
      <c r="U279" s="734"/>
      <c r="V279" s="736"/>
    </row>
    <row r="280" spans="20:22" ht="14.55" x14ac:dyDescent="0.3">
      <c r="T280" s="735"/>
      <c r="U280" s="734"/>
      <c r="V280" s="736"/>
    </row>
    <row r="281" spans="20:22" ht="14.55" x14ac:dyDescent="0.3">
      <c r="T281" s="735"/>
      <c r="U281" s="734"/>
      <c r="V281" s="736"/>
    </row>
    <row r="282" spans="20:22" ht="14.55" x14ac:dyDescent="0.3">
      <c r="T282" s="735"/>
      <c r="U282" s="734"/>
      <c r="V282" s="736"/>
    </row>
    <row r="283" spans="20:22" ht="14.55" x14ac:dyDescent="0.3">
      <c r="T283" s="735"/>
      <c r="U283" s="734"/>
      <c r="V283" s="736"/>
    </row>
    <row r="284" spans="20:22" ht="14.55" x14ac:dyDescent="0.3">
      <c r="T284" s="735"/>
      <c r="U284" s="734"/>
      <c r="V284" s="736"/>
    </row>
    <row r="285" spans="20:22" ht="14.55" x14ac:dyDescent="0.3">
      <c r="T285" s="735"/>
      <c r="U285" s="734"/>
      <c r="V285" s="736"/>
    </row>
    <row r="286" spans="20:22" ht="14.55" x14ac:dyDescent="0.3">
      <c r="T286" s="735"/>
      <c r="U286" s="734"/>
      <c r="V286" s="736"/>
    </row>
    <row r="287" spans="20:22" ht="14.55" x14ac:dyDescent="0.3">
      <c r="T287" s="735"/>
      <c r="U287" s="734"/>
      <c r="V287" s="736"/>
    </row>
    <row r="288" spans="20:22" ht="14.55" x14ac:dyDescent="0.3">
      <c r="T288" s="735"/>
      <c r="U288" s="734"/>
      <c r="V288" s="736"/>
    </row>
    <row r="289" spans="20:22" ht="14.55" x14ac:dyDescent="0.3">
      <c r="T289" s="735"/>
      <c r="U289" s="734"/>
      <c r="V289" s="736"/>
    </row>
    <row r="290" spans="20:22" ht="14.55" x14ac:dyDescent="0.3">
      <c r="T290" s="735"/>
      <c r="U290" s="734"/>
      <c r="V290" s="736"/>
    </row>
    <row r="291" spans="20:22" ht="14.55" x14ac:dyDescent="0.3">
      <c r="T291" s="735"/>
      <c r="U291" s="734"/>
      <c r="V291" s="736"/>
    </row>
    <row r="292" spans="20:22" ht="14.55" x14ac:dyDescent="0.3">
      <c r="T292" s="735"/>
      <c r="U292" s="734"/>
      <c r="V292" s="736"/>
    </row>
    <row r="293" spans="20:22" ht="14.55" x14ac:dyDescent="0.3">
      <c r="T293" s="735"/>
      <c r="U293" s="734"/>
      <c r="V293" s="736"/>
    </row>
    <row r="294" spans="20:22" ht="14.55" x14ac:dyDescent="0.3">
      <c r="T294" s="735"/>
      <c r="U294" s="734"/>
      <c r="V294" s="736"/>
    </row>
    <row r="295" spans="20:22" ht="14.55" x14ac:dyDescent="0.3">
      <c r="T295" s="735"/>
      <c r="U295" s="734"/>
      <c r="V295" s="736"/>
    </row>
    <row r="296" spans="20:22" ht="14.55" x14ac:dyDescent="0.3">
      <c r="T296" s="735"/>
      <c r="U296" s="734"/>
      <c r="V296" s="736"/>
    </row>
    <row r="297" spans="20:22" ht="14.55" x14ac:dyDescent="0.3">
      <c r="T297" s="735"/>
      <c r="U297" s="734"/>
      <c r="V297" s="736"/>
    </row>
    <row r="298" spans="20:22" ht="14.55" x14ac:dyDescent="0.3">
      <c r="T298" s="735"/>
      <c r="U298" s="734"/>
      <c r="V298" s="736"/>
    </row>
    <row r="299" spans="20:22" ht="14.55" x14ac:dyDescent="0.3">
      <c r="T299" s="735"/>
      <c r="U299" s="734"/>
      <c r="V299" s="736"/>
    </row>
    <row r="300" spans="20:22" ht="14.55" x14ac:dyDescent="0.3">
      <c r="T300" s="735"/>
      <c r="U300" s="734"/>
      <c r="V300" s="736"/>
    </row>
    <row r="301" spans="20:22" ht="14.55" x14ac:dyDescent="0.3">
      <c r="T301" s="735"/>
      <c r="U301" s="734"/>
      <c r="V301" s="736"/>
    </row>
    <row r="302" spans="20:22" ht="14.55" x14ac:dyDescent="0.3">
      <c r="T302" s="735"/>
      <c r="U302" s="734"/>
      <c r="V302" s="736"/>
    </row>
    <row r="303" spans="20:22" ht="14.55" x14ac:dyDescent="0.3">
      <c r="T303" s="735"/>
      <c r="U303" s="734"/>
      <c r="V303" s="736"/>
    </row>
    <row r="304" spans="20:22" ht="14.55" x14ac:dyDescent="0.3">
      <c r="T304" s="735"/>
      <c r="U304" s="734"/>
      <c r="V304" s="736"/>
    </row>
    <row r="305" spans="20:22" ht="14.55" x14ac:dyDescent="0.3">
      <c r="T305" s="735"/>
      <c r="U305" s="734"/>
      <c r="V305" s="736"/>
    </row>
    <row r="306" spans="20:22" ht="14.55" x14ac:dyDescent="0.3">
      <c r="T306" s="735"/>
      <c r="U306" s="734"/>
      <c r="V306" s="736"/>
    </row>
    <row r="307" spans="20:22" ht="14.55" x14ac:dyDescent="0.3">
      <c r="T307" s="735"/>
      <c r="U307" s="734"/>
      <c r="V307" s="736"/>
    </row>
    <row r="308" spans="20:22" ht="14.55" x14ac:dyDescent="0.3">
      <c r="T308" s="735"/>
      <c r="U308" s="734"/>
      <c r="V308" s="736"/>
    </row>
    <row r="309" spans="20:22" ht="14.55" x14ac:dyDescent="0.3">
      <c r="T309" s="735"/>
      <c r="U309" s="734"/>
      <c r="V309" s="736"/>
    </row>
    <row r="310" spans="20:22" ht="14.55" x14ac:dyDescent="0.3">
      <c r="T310" s="735"/>
      <c r="U310" s="734"/>
      <c r="V310" s="736"/>
    </row>
    <row r="311" spans="20:22" ht="14.55" x14ac:dyDescent="0.3">
      <c r="T311" s="735"/>
      <c r="U311" s="734"/>
      <c r="V311" s="736"/>
    </row>
    <row r="312" spans="20:22" ht="14.55" x14ac:dyDescent="0.3">
      <c r="T312" s="735"/>
      <c r="U312" s="734"/>
      <c r="V312" s="736"/>
    </row>
    <row r="313" spans="20:22" ht="14.55" x14ac:dyDescent="0.3">
      <c r="T313" s="735"/>
      <c r="U313" s="734"/>
      <c r="V313" s="736"/>
    </row>
    <row r="314" spans="20:22" ht="14.55" x14ac:dyDescent="0.3">
      <c r="T314" s="735"/>
      <c r="U314" s="734"/>
      <c r="V314" s="736"/>
    </row>
    <row r="315" spans="20:22" ht="14.55" x14ac:dyDescent="0.3">
      <c r="T315" s="735"/>
      <c r="U315" s="734"/>
      <c r="V315" s="736"/>
    </row>
    <row r="316" spans="20:22" ht="14.55" x14ac:dyDescent="0.3">
      <c r="T316" s="735"/>
      <c r="U316" s="734"/>
      <c r="V316" s="736"/>
    </row>
    <row r="317" spans="20:22" ht="14.55" x14ac:dyDescent="0.3">
      <c r="T317" s="735"/>
      <c r="U317" s="734"/>
      <c r="V317" s="736"/>
    </row>
    <row r="318" spans="20:22" ht="14.55" x14ac:dyDescent="0.3">
      <c r="T318" s="735"/>
      <c r="U318" s="734"/>
      <c r="V318" s="736"/>
    </row>
    <row r="319" spans="20:22" ht="14.55" x14ac:dyDescent="0.3">
      <c r="T319" s="735"/>
      <c r="U319" s="734"/>
      <c r="V319" s="736"/>
    </row>
    <row r="320" spans="20:22" ht="14.55" x14ac:dyDescent="0.3">
      <c r="T320" s="735"/>
      <c r="U320" s="734"/>
      <c r="V320" s="736"/>
    </row>
    <row r="321" spans="20:22" ht="14.55" x14ac:dyDescent="0.3">
      <c r="T321" s="735"/>
      <c r="U321" s="734"/>
      <c r="V321" s="736"/>
    </row>
    <row r="322" spans="20:22" ht="14.55" x14ac:dyDescent="0.3">
      <c r="T322" s="735"/>
      <c r="U322" s="734"/>
      <c r="V322" s="736"/>
    </row>
    <row r="323" spans="20:22" ht="14.55" x14ac:dyDescent="0.3">
      <c r="T323" s="735"/>
      <c r="U323" s="734"/>
      <c r="V323" s="736"/>
    </row>
    <row r="324" spans="20:22" ht="14.55" x14ac:dyDescent="0.3">
      <c r="T324" s="735"/>
      <c r="U324" s="734"/>
      <c r="V324" s="736"/>
    </row>
    <row r="325" spans="20:22" ht="14.55" x14ac:dyDescent="0.3">
      <c r="T325" s="735"/>
      <c r="U325" s="734"/>
      <c r="V325" s="736"/>
    </row>
    <row r="326" spans="20:22" ht="14.55" x14ac:dyDescent="0.3">
      <c r="T326" s="735"/>
      <c r="U326" s="734"/>
      <c r="V326" s="736"/>
    </row>
    <row r="327" spans="20:22" ht="14.55" x14ac:dyDescent="0.3">
      <c r="T327" s="735"/>
      <c r="U327" s="734"/>
      <c r="V327" s="736"/>
    </row>
    <row r="328" spans="20:22" ht="14.55" x14ac:dyDescent="0.3">
      <c r="T328" s="735"/>
      <c r="U328" s="734"/>
      <c r="V328" s="736"/>
    </row>
    <row r="329" spans="20:22" ht="14.55" x14ac:dyDescent="0.3">
      <c r="T329" s="735"/>
      <c r="U329" s="734"/>
      <c r="V329" s="736"/>
    </row>
    <row r="330" spans="20:22" ht="14.55" x14ac:dyDescent="0.3">
      <c r="T330" s="735"/>
      <c r="U330" s="734"/>
      <c r="V330" s="736"/>
    </row>
    <row r="331" spans="20:22" ht="14.55" x14ac:dyDescent="0.3">
      <c r="T331" s="735"/>
      <c r="U331" s="734"/>
      <c r="V331" s="736"/>
    </row>
    <row r="332" spans="20:22" ht="14.55" x14ac:dyDescent="0.3">
      <c r="T332" s="735"/>
      <c r="U332" s="734"/>
      <c r="V332" s="736"/>
    </row>
    <row r="333" spans="20:22" ht="14.55" x14ac:dyDescent="0.3">
      <c r="T333" s="735"/>
      <c r="U333" s="734"/>
      <c r="V333" s="736"/>
    </row>
    <row r="334" spans="20:22" ht="14.55" x14ac:dyDescent="0.3">
      <c r="T334" s="735"/>
      <c r="U334" s="734"/>
      <c r="V334" s="736"/>
    </row>
    <row r="335" spans="20:22" ht="14.55" x14ac:dyDescent="0.3">
      <c r="T335" s="735"/>
      <c r="U335" s="734"/>
      <c r="V335" s="736"/>
    </row>
    <row r="336" spans="20:22" ht="14.55" x14ac:dyDescent="0.3">
      <c r="T336" s="735"/>
      <c r="U336" s="734"/>
      <c r="V336" s="736"/>
    </row>
    <row r="337" spans="20:22" ht="14.55" x14ac:dyDescent="0.3">
      <c r="T337" s="735"/>
      <c r="U337" s="734"/>
      <c r="V337" s="736"/>
    </row>
    <row r="338" spans="20:22" ht="14.55" x14ac:dyDescent="0.3">
      <c r="T338" s="735"/>
      <c r="U338" s="734"/>
      <c r="V338" s="736"/>
    </row>
    <row r="339" spans="20:22" ht="14.55" x14ac:dyDescent="0.3">
      <c r="T339" s="735"/>
      <c r="U339" s="734"/>
      <c r="V339" s="736"/>
    </row>
    <row r="340" spans="20:22" ht="14.55" x14ac:dyDescent="0.3">
      <c r="T340" s="735"/>
      <c r="U340" s="734"/>
      <c r="V340" s="736"/>
    </row>
    <row r="341" spans="20:22" ht="14.55" x14ac:dyDescent="0.3">
      <c r="T341" s="735"/>
      <c r="U341" s="734"/>
      <c r="V341" s="736"/>
    </row>
    <row r="342" spans="20:22" ht="14.55" x14ac:dyDescent="0.3">
      <c r="T342" s="735"/>
      <c r="U342" s="734"/>
      <c r="V342" s="736"/>
    </row>
    <row r="343" spans="20:22" ht="14.55" x14ac:dyDescent="0.3">
      <c r="T343" s="735"/>
      <c r="U343" s="734"/>
      <c r="V343" s="736"/>
    </row>
    <row r="344" spans="20:22" ht="14.55" x14ac:dyDescent="0.3">
      <c r="T344" s="735"/>
      <c r="U344" s="734"/>
      <c r="V344" s="736"/>
    </row>
    <row r="345" spans="20:22" ht="14.55" x14ac:dyDescent="0.3">
      <c r="T345" s="735"/>
      <c r="U345" s="734"/>
      <c r="V345" s="736"/>
    </row>
    <row r="346" spans="20:22" ht="14.55" x14ac:dyDescent="0.3">
      <c r="T346" s="735"/>
      <c r="U346" s="734"/>
      <c r="V346" s="736"/>
    </row>
    <row r="347" spans="20:22" ht="14.55" x14ac:dyDescent="0.3">
      <c r="T347" s="735"/>
      <c r="U347" s="734"/>
      <c r="V347" s="736"/>
    </row>
    <row r="348" spans="20:22" ht="14.55" x14ac:dyDescent="0.3">
      <c r="T348" s="735"/>
      <c r="U348" s="734"/>
      <c r="V348" s="736"/>
    </row>
    <row r="349" spans="20:22" ht="14.55" x14ac:dyDescent="0.3">
      <c r="T349" s="735"/>
      <c r="U349" s="734"/>
      <c r="V349" s="736"/>
    </row>
    <row r="350" spans="20:22" ht="14.55" x14ac:dyDescent="0.3">
      <c r="T350" s="735"/>
      <c r="U350" s="734"/>
      <c r="V350" s="736"/>
    </row>
    <row r="351" spans="20:22" ht="14.55" x14ac:dyDescent="0.3">
      <c r="T351" s="735"/>
      <c r="U351" s="734"/>
      <c r="V351" s="736"/>
    </row>
    <row r="352" spans="20:22" ht="14.55" x14ac:dyDescent="0.3">
      <c r="T352" s="735"/>
      <c r="U352" s="734"/>
      <c r="V352" s="736"/>
    </row>
    <row r="353" spans="20:22" ht="14.55" x14ac:dyDescent="0.3">
      <c r="T353" s="735"/>
      <c r="U353" s="734"/>
      <c r="V353" s="736"/>
    </row>
    <row r="354" spans="20:22" ht="14.55" x14ac:dyDescent="0.3">
      <c r="T354" s="735"/>
      <c r="U354" s="734"/>
      <c r="V354" s="736"/>
    </row>
    <row r="355" spans="20:22" ht="14.55" x14ac:dyDescent="0.3">
      <c r="T355" s="735"/>
      <c r="U355" s="734"/>
      <c r="V355" s="736"/>
    </row>
    <row r="356" spans="20:22" ht="14.55" x14ac:dyDescent="0.3">
      <c r="T356" s="735"/>
      <c r="U356" s="734"/>
      <c r="V356" s="736"/>
    </row>
    <row r="357" spans="20:22" ht="14.55" x14ac:dyDescent="0.3">
      <c r="T357" s="735"/>
      <c r="U357" s="734"/>
      <c r="V357" s="736"/>
    </row>
    <row r="358" spans="20:22" ht="14.55" x14ac:dyDescent="0.3">
      <c r="T358" s="735"/>
      <c r="U358" s="734"/>
      <c r="V358" s="736"/>
    </row>
    <row r="359" spans="20:22" ht="14.55" x14ac:dyDescent="0.3">
      <c r="T359" s="735"/>
      <c r="U359" s="734"/>
      <c r="V359" s="736"/>
    </row>
    <row r="360" spans="20:22" ht="14.55" x14ac:dyDescent="0.3">
      <c r="T360" s="735"/>
      <c r="U360" s="734"/>
      <c r="V360" s="736"/>
    </row>
    <row r="361" spans="20:22" ht="14.55" x14ac:dyDescent="0.3">
      <c r="T361" s="735"/>
      <c r="U361" s="734"/>
      <c r="V361" s="736"/>
    </row>
    <row r="362" spans="20:22" ht="14.55" x14ac:dyDescent="0.3">
      <c r="T362" s="735"/>
      <c r="U362" s="734"/>
      <c r="V362" s="736"/>
    </row>
    <row r="363" spans="20:22" ht="14.55" x14ac:dyDescent="0.3">
      <c r="T363" s="735"/>
      <c r="U363" s="734"/>
      <c r="V363" s="736"/>
    </row>
    <row r="364" spans="20:22" ht="14.55" x14ac:dyDescent="0.3">
      <c r="T364" s="735"/>
      <c r="U364" s="734"/>
      <c r="V364" s="736"/>
    </row>
    <row r="365" spans="20:22" ht="14.55" x14ac:dyDescent="0.3">
      <c r="T365" s="735"/>
      <c r="U365" s="734"/>
      <c r="V365" s="736"/>
    </row>
    <row r="366" spans="20:22" ht="14.55" x14ac:dyDescent="0.3">
      <c r="T366" s="735"/>
      <c r="U366" s="734"/>
      <c r="V366" s="736"/>
    </row>
    <row r="367" spans="20:22" ht="14.55" x14ac:dyDescent="0.3">
      <c r="T367" s="735"/>
      <c r="U367" s="734"/>
      <c r="V367" s="736"/>
    </row>
    <row r="368" spans="20:22" ht="14.55" x14ac:dyDescent="0.3">
      <c r="T368" s="735"/>
      <c r="U368" s="734"/>
      <c r="V368" s="736"/>
    </row>
    <row r="369" spans="20:22" ht="14.55" x14ac:dyDescent="0.3">
      <c r="T369" s="735"/>
      <c r="U369" s="734"/>
      <c r="V369" s="736"/>
    </row>
    <row r="370" spans="20:22" ht="14.55" x14ac:dyDescent="0.3">
      <c r="T370" s="735"/>
      <c r="U370" s="734"/>
      <c r="V370" s="736"/>
    </row>
    <row r="371" spans="20:22" ht="14.55" x14ac:dyDescent="0.3">
      <c r="T371" s="735"/>
      <c r="U371" s="734"/>
      <c r="V371" s="736"/>
    </row>
    <row r="372" spans="20:22" ht="14.55" x14ac:dyDescent="0.3">
      <c r="T372" s="735"/>
      <c r="U372" s="734"/>
      <c r="V372" s="736"/>
    </row>
    <row r="373" spans="20:22" ht="14.55" x14ac:dyDescent="0.3">
      <c r="T373" s="735"/>
      <c r="U373" s="734"/>
      <c r="V373" s="736"/>
    </row>
    <row r="374" spans="20:22" ht="14.55" x14ac:dyDescent="0.3">
      <c r="T374" s="735"/>
      <c r="U374" s="734"/>
      <c r="V374" s="736"/>
    </row>
    <row r="375" spans="20:22" ht="14.55" x14ac:dyDescent="0.3">
      <c r="T375" s="735"/>
      <c r="U375" s="734"/>
      <c r="V375" s="736"/>
    </row>
    <row r="376" spans="20:22" ht="14.55" x14ac:dyDescent="0.3">
      <c r="T376" s="735"/>
      <c r="U376" s="734"/>
      <c r="V376" s="736"/>
    </row>
    <row r="377" spans="20:22" ht="14.55" x14ac:dyDescent="0.3">
      <c r="T377" s="735"/>
      <c r="U377" s="734"/>
      <c r="V377" s="736"/>
    </row>
    <row r="378" spans="20:22" ht="14.55" x14ac:dyDescent="0.3">
      <c r="T378" s="735"/>
      <c r="U378" s="734"/>
      <c r="V378" s="736"/>
    </row>
    <row r="379" spans="20:22" ht="14.55" x14ac:dyDescent="0.3">
      <c r="T379" s="735"/>
      <c r="U379" s="734"/>
      <c r="V379" s="736"/>
    </row>
    <row r="380" spans="20:22" ht="14.55" x14ac:dyDescent="0.3">
      <c r="T380" s="735"/>
      <c r="U380" s="734"/>
      <c r="V380" s="736"/>
    </row>
    <row r="381" spans="20:22" ht="14.55" x14ac:dyDescent="0.3">
      <c r="T381" s="735"/>
      <c r="U381" s="734"/>
      <c r="V381" s="736"/>
    </row>
    <row r="382" spans="20:22" ht="14.55" x14ac:dyDescent="0.3">
      <c r="T382" s="735"/>
      <c r="U382" s="734"/>
      <c r="V382" s="736"/>
    </row>
    <row r="383" spans="20:22" ht="14.55" x14ac:dyDescent="0.3">
      <c r="T383" s="735"/>
      <c r="U383" s="734"/>
      <c r="V383" s="736"/>
    </row>
    <row r="384" spans="20:22" ht="14.55" x14ac:dyDescent="0.3">
      <c r="T384" s="735"/>
      <c r="U384" s="734"/>
      <c r="V384" s="736"/>
    </row>
    <row r="385" spans="20:22" ht="14.55" x14ac:dyDescent="0.3">
      <c r="T385" s="735"/>
      <c r="U385" s="734"/>
      <c r="V385" s="736"/>
    </row>
    <row r="386" spans="20:22" ht="14.55" x14ac:dyDescent="0.3">
      <c r="T386" s="735"/>
      <c r="U386" s="734"/>
      <c r="V386" s="736"/>
    </row>
    <row r="387" spans="20:22" ht="14.55" x14ac:dyDescent="0.3">
      <c r="T387" s="735"/>
      <c r="U387" s="734"/>
      <c r="V387" s="736"/>
    </row>
    <row r="388" spans="20:22" ht="14.55" x14ac:dyDescent="0.3">
      <c r="T388" s="735"/>
      <c r="U388" s="734"/>
      <c r="V388" s="736"/>
    </row>
    <row r="389" spans="20:22" ht="14.55" x14ac:dyDescent="0.3">
      <c r="T389" s="735"/>
      <c r="U389" s="734"/>
      <c r="V389" s="736"/>
    </row>
    <row r="390" spans="20:22" ht="14.55" x14ac:dyDescent="0.3">
      <c r="T390" s="735"/>
      <c r="U390" s="734"/>
      <c r="V390" s="736"/>
    </row>
    <row r="391" spans="20:22" ht="14.55" x14ac:dyDescent="0.3">
      <c r="T391" s="735"/>
      <c r="U391" s="734"/>
      <c r="V391" s="736"/>
    </row>
    <row r="392" spans="20:22" ht="14.55" x14ac:dyDescent="0.3">
      <c r="T392" s="735"/>
      <c r="U392" s="734"/>
      <c r="V392" s="736"/>
    </row>
    <row r="393" spans="20:22" ht="14.55" x14ac:dyDescent="0.3">
      <c r="T393" s="735"/>
      <c r="U393" s="734"/>
      <c r="V393" s="736"/>
    </row>
    <row r="394" spans="20:22" ht="14.55" x14ac:dyDescent="0.3">
      <c r="T394" s="735"/>
      <c r="U394" s="734"/>
      <c r="V394" s="736"/>
    </row>
    <row r="395" spans="20:22" ht="14.55" x14ac:dyDescent="0.3">
      <c r="T395" s="735"/>
      <c r="U395" s="734"/>
      <c r="V395" s="736"/>
    </row>
    <row r="396" spans="20:22" ht="14.55" x14ac:dyDescent="0.3">
      <c r="T396" s="735"/>
      <c r="U396" s="734"/>
      <c r="V396" s="736"/>
    </row>
    <row r="397" spans="20:22" ht="14.55" x14ac:dyDescent="0.3">
      <c r="T397" s="735"/>
      <c r="U397" s="734"/>
      <c r="V397" s="736"/>
    </row>
    <row r="398" spans="20:22" ht="14.55" x14ac:dyDescent="0.3">
      <c r="T398" s="735"/>
      <c r="U398" s="734"/>
      <c r="V398" s="736"/>
    </row>
    <row r="399" spans="20:22" ht="14.55" x14ac:dyDescent="0.3">
      <c r="T399" s="735"/>
      <c r="U399" s="734"/>
      <c r="V399" s="736"/>
    </row>
    <row r="400" spans="20:22" ht="14.55" x14ac:dyDescent="0.3">
      <c r="T400" s="735"/>
      <c r="U400" s="734"/>
      <c r="V400" s="736"/>
    </row>
    <row r="401" spans="20:22" ht="14.55" x14ac:dyDescent="0.3">
      <c r="T401" s="735"/>
      <c r="U401" s="734"/>
      <c r="V401" s="736"/>
    </row>
    <row r="402" spans="20:22" ht="14.55" x14ac:dyDescent="0.3">
      <c r="T402" s="735"/>
      <c r="U402" s="734"/>
      <c r="V402" s="736"/>
    </row>
    <row r="403" spans="20:22" ht="14.55" x14ac:dyDescent="0.3">
      <c r="T403" s="735"/>
      <c r="U403" s="734"/>
      <c r="V403" s="736"/>
    </row>
    <row r="404" spans="20:22" ht="14.55" x14ac:dyDescent="0.3">
      <c r="T404" s="735"/>
      <c r="U404" s="734"/>
      <c r="V404" s="736"/>
    </row>
    <row r="405" spans="20:22" ht="14.55" x14ac:dyDescent="0.3">
      <c r="T405" s="735"/>
      <c r="U405" s="734"/>
      <c r="V405" s="736"/>
    </row>
    <row r="406" spans="20:22" ht="14.55" x14ac:dyDescent="0.3">
      <c r="T406" s="735"/>
      <c r="U406" s="734"/>
      <c r="V406" s="736"/>
    </row>
    <row r="407" spans="20:22" ht="14.55" x14ac:dyDescent="0.3">
      <c r="T407" s="735"/>
      <c r="U407" s="734"/>
      <c r="V407" s="736"/>
    </row>
    <row r="408" spans="20:22" ht="14.55" x14ac:dyDescent="0.3">
      <c r="T408" s="735"/>
      <c r="U408" s="734"/>
      <c r="V408" s="736"/>
    </row>
    <row r="409" spans="20:22" ht="14.55" x14ac:dyDescent="0.3">
      <c r="T409" s="735"/>
      <c r="U409" s="734"/>
      <c r="V409" s="736"/>
    </row>
    <row r="410" spans="20:22" ht="14.55" x14ac:dyDescent="0.3">
      <c r="T410" s="735"/>
      <c r="U410" s="734"/>
      <c r="V410" s="736"/>
    </row>
    <row r="411" spans="20:22" ht="14.55" x14ac:dyDescent="0.3">
      <c r="T411" s="735"/>
      <c r="U411" s="734"/>
      <c r="V411" s="736"/>
    </row>
    <row r="412" spans="20:22" ht="14.55" x14ac:dyDescent="0.3">
      <c r="T412" s="735"/>
      <c r="U412" s="734"/>
      <c r="V412" s="736"/>
    </row>
    <row r="413" spans="20:22" ht="14.55" x14ac:dyDescent="0.3">
      <c r="T413" s="735"/>
      <c r="U413" s="734"/>
      <c r="V413" s="736"/>
    </row>
    <row r="414" spans="20:22" ht="14.55" x14ac:dyDescent="0.3">
      <c r="T414" s="735"/>
      <c r="U414" s="734"/>
      <c r="V414" s="736"/>
    </row>
    <row r="415" spans="20:22" ht="14.55" x14ac:dyDescent="0.3">
      <c r="T415" s="735"/>
      <c r="U415" s="734"/>
      <c r="V415" s="736"/>
    </row>
    <row r="416" spans="20:22" ht="14.55" x14ac:dyDescent="0.3">
      <c r="T416" s="735"/>
      <c r="U416" s="734"/>
      <c r="V416" s="736"/>
    </row>
    <row r="417" spans="20:22" ht="14.55" x14ac:dyDescent="0.3">
      <c r="T417" s="735"/>
      <c r="U417" s="734"/>
      <c r="V417" s="736"/>
    </row>
    <row r="418" spans="20:22" ht="14.55" x14ac:dyDescent="0.3">
      <c r="T418" s="735"/>
      <c r="U418" s="734"/>
      <c r="V418" s="736"/>
    </row>
    <row r="419" spans="20:22" ht="14.55" x14ac:dyDescent="0.3">
      <c r="T419" s="735"/>
      <c r="U419" s="734"/>
      <c r="V419" s="736"/>
    </row>
    <row r="420" spans="20:22" ht="14.55" x14ac:dyDescent="0.3">
      <c r="T420" s="735"/>
      <c r="U420" s="734"/>
      <c r="V420" s="736"/>
    </row>
    <row r="421" spans="20:22" ht="14.55" x14ac:dyDescent="0.3">
      <c r="T421" s="735"/>
      <c r="U421" s="734"/>
      <c r="V421" s="736"/>
    </row>
    <row r="422" spans="20:22" ht="14.55" x14ac:dyDescent="0.3">
      <c r="T422" s="735"/>
      <c r="U422" s="734"/>
      <c r="V422" s="736"/>
    </row>
    <row r="423" spans="20:22" ht="14.55" x14ac:dyDescent="0.3">
      <c r="T423" s="735"/>
      <c r="U423" s="734"/>
      <c r="V423" s="736"/>
    </row>
    <row r="424" spans="20:22" ht="14.55" x14ac:dyDescent="0.3">
      <c r="T424" s="735"/>
      <c r="U424" s="734"/>
      <c r="V424" s="736"/>
    </row>
    <row r="425" spans="20:22" ht="14.55" x14ac:dyDescent="0.3">
      <c r="T425" s="735"/>
      <c r="U425" s="734"/>
      <c r="V425" s="736"/>
    </row>
    <row r="426" spans="20:22" ht="14.55" x14ac:dyDescent="0.3">
      <c r="T426" s="735"/>
      <c r="U426" s="734"/>
      <c r="V426" s="736"/>
    </row>
    <row r="427" spans="20:22" ht="14.55" x14ac:dyDescent="0.3">
      <c r="T427" s="735"/>
      <c r="U427" s="734"/>
      <c r="V427" s="736"/>
    </row>
    <row r="428" spans="20:22" ht="14.55" x14ac:dyDescent="0.3">
      <c r="T428" s="735"/>
      <c r="U428" s="734"/>
      <c r="V428" s="736"/>
    </row>
    <row r="429" spans="20:22" ht="14.55" x14ac:dyDescent="0.3">
      <c r="T429" s="735"/>
      <c r="U429" s="734"/>
      <c r="V429" s="736"/>
    </row>
    <row r="430" spans="20:22" ht="14.55" x14ac:dyDescent="0.3">
      <c r="T430" s="735"/>
      <c r="U430" s="734"/>
      <c r="V430" s="736"/>
    </row>
    <row r="431" spans="20:22" ht="14.55" x14ac:dyDescent="0.3">
      <c r="T431" s="735"/>
      <c r="U431" s="734"/>
      <c r="V431" s="736"/>
    </row>
    <row r="432" spans="20:22" ht="14.55" x14ac:dyDescent="0.3">
      <c r="T432" s="735"/>
      <c r="U432" s="734"/>
      <c r="V432" s="736"/>
    </row>
    <row r="433" spans="20:22" ht="14.55" x14ac:dyDescent="0.3">
      <c r="T433" s="735"/>
      <c r="U433" s="734"/>
      <c r="V433" s="736"/>
    </row>
    <row r="434" spans="20:22" ht="14.55" x14ac:dyDescent="0.3">
      <c r="T434" s="735"/>
      <c r="U434" s="734"/>
      <c r="V434" s="736"/>
    </row>
    <row r="435" spans="20:22" ht="14.55" x14ac:dyDescent="0.3">
      <c r="T435" s="735"/>
      <c r="U435" s="734"/>
      <c r="V435" s="736"/>
    </row>
    <row r="436" spans="20:22" ht="14.55" x14ac:dyDescent="0.3">
      <c r="T436" s="735"/>
      <c r="U436" s="734"/>
      <c r="V436" s="736"/>
    </row>
    <row r="437" spans="20:22" ht="14.55" x14ac:dyDescent="0.3">
      <c r="T437" s="735"/>
      <c r="U437" s="734"/>
      <c r="V437" s="736"/>
    </row>
    <row r="438" spans="20:22" ht="14.55" x14ac:dyDescent="0.3">
      <c r="T438" s="735"/>
      <c r="U438" s="734"/>
      <c r="V438" s="736"/>
    </row>
    <row r="439" spans="20:22" ht="14.55" x14ac:dyDescent="0.3">
      <c r="T439" s="735"/>
      <c r="U439" s="734"/>
      <c r="V439" s="736"/>
    </row>
    <row r="440" spans="20:22" ht="14.55" x14ac:dyDescent="0.3">
      <c r="T440" s="735"/>
      <c r="U440" s="734"/>
      <c r="V440" s="736"/>
    </row>
    <row r="441" spans="20:22" ht="14.55" x14ac:dyDescent="0.3">
      <c r="T441" s="735"/>
      <c r="U441" s="734"/>
      <c r="V441" s="736"/>
    </row>
    <row r="442" spans="20:22" ht="14.55" x14ac:dyDescent="0.3">
      <c r="T442" s="735"/>
      <c r="U442" s="734"/>
      <c r="V442" s="736"/>
    </row>
    <row r="443" spans="20:22" ht="14.55" x14ac:dyDescent="0.3">
      <c r="T443" s="735"/>
      <c r="U443" s="734"/>
      <c r="V443" s="736"/>
    </row>
    <row r="444" spans="20:22" ht="14.55" x14ac:dyDescent="0.3">
      <c r="T444" s="735"/>
      <c r="U444" s="734"/>
      <c r="V444" s="736"/>
    </row>
    <row r="445" spans="20:22" ht="14.55" x14ac:dyDescent="0.3">
      <c r="T445" s="735"/>
      <c r="U445" s="734"/>
      <c r="V445" s="736"/>
    </row>
    <row r="446" spans="20:22" ht="14.55" x14ac:dyDescent="0.3">
      <c r="T446" s="735"/>
      <c r="U446" s="734"/>
      <c r="V446" s="736"/>
    </row>
    <row r="447" spans="20:22" ht="14.55" x14ac:dyDescent="0.3">
      <c r="T447" s="735"/>
      <c r="U447" s="734"/>
      <c r="V447" s="736"/>
    </row>
    <row r="448" spans="20:22" ht="14.55" x14ac:dyDescent="0.3">
      <c r="T448" s="735"/>
      <c r="U448" s="734"/>
      <c r="V448" s="736"/>
    </row>
    <row r="449" spans="20:22" ht="14.55" x14ac:dyDescent="0.3">
      <c r="T449" s="735"/>
      <c r="U449" s="734"/>
      <c r="V449" s="736"/>
    </row>
    <row r="450" spans="20:22" ht="14.55" x14ac:dyDescent="0.3">
      <c r="T450" s="735"/>
      <c r="U450" s="734"/>
      <c r="V450" s="736"/>
    </row>
    <row r="451" spans="20:22" ht="14.55" x14ac:dyDescent="0.3">
      <c r="T451" s="735"/>
      <c r="U451" s="734"/>
      <c r="V451" s="736"/>
    </row>
    <row r="452" spans="20:22" ht="14.55" x14ac:dyDescent="0.3">
      <c r="T452" s="735"/>
      <c r="U452" s="734"/>
      <c r="V452" s="736"/>
    </row>
    <row r="453" spans="20:22" ht="14.55" x14ac:dyDescent="0.3">
      <c r="T453" s="735"/>
      <c r="U453" s="734"/>
      <c r="V453" s="736"/>
    </row>
    <row r="454" spans="20:22" ht="14.55" x14ac:dyDescent="0.3">
      <c r="T454" s="735"/>
      <c r="U454" s="734"/>
      <c r="V454" s="736"/>
    </row>
    <row r="455" spans="20:22" ht="14.55" x14ac:dyDescent="0.3">
      <c r="T455" s="735"/>
      <c r="U455" s="734"/>
      <c r="V455" s="736"/>
    </row>
    <row r="456" spans="20:22" ht="14.55" x14ac:dyDescent="0.3">
      <c r="T456" s="735"/>
      <c r="U456" s="734"/>
      <c r="V456" s="736"/>
    </row>
    <row r="457" spans="20:22" ht="14.55" x14ac:dyDescent="0.3">
      <c r="T457" s="735"/>
      <c r="U457" s="734"/>
      <c r="V457" s="736"/>
    </row>
    <row r="458" spans="20:22" ht="14.55" x14ac:dyDescent="0.3">
      <c r="T458" s="735"/>
      <c r="U458" s="734"/>
      <c r="V458" s="736"/>
    </row>
    <row r="459" spans="20:22" ht="14.55" x14ac:dyDescent="0.3">
      <c r="T459" s="735"/>
      <c r="U459" s="734"/>
      <c r="V459" s="736"/>
    </row>
    <row r="460" spans="20:22" ht="14.55" x14ac:dyDescent="0.3">
      <c r="T460" s="735"/>
      <c r="U460" s="734"/>
      <c r="V460" s="736"/>
    </row>
    <row r="461" spans="20:22" ht="14.55" x14ac:dyDescent="0.3">
      <c r="T461" s="735"/>
      <c r="U461" s="734"/>
      <c r="V461" s="736"/>
    </row>
    <row r="462" spans="20:22" ht="14.55" x14ac:dyDescent="0.3">
      <c r="T462" s="735"/>
      <c r="U462" s="734"/>
      <c r="V462" s="736"/>
    </row>
    <row r="463" spans="20:22" ht="14.55" x14ac:dyDescent="0.3">
      <c r="T463" s="735"/>
      <c r="U463" s="734"/>
      <c r="V463" s="736"/>
    </row>
    <row r="464" spans="20:22" ht="14.55" x14ac:dyDescent="0.3">
      <c r="T464" s="735"/>
      <c r="U464" s="734"/>
      <c r="V464" s="736"/>
    </row>
    <row r="465" spans="20:22" ht="14.55" x14ac:dyDescent="0.3">
      <c r="T465" s="735"/>
      <c r="U465" s="734"/>
      <c r="V465" s="736"/>
    </row>
    <row r="466" spans="20:22" ht="14.55" x14ac:dyDescent="0.3">
      <c r="T466" s="735"/>
      <c r="U466" s="734"/>
      <c r="V466" s="736"/>
    </row>
    <row r="467" spans="20:22" ht="14.55" x14ac:dyDescent="0.3">
      <c r="T467" s="735"/>
      <c r="U467" s="734"/>
      <c r="V467" s="736"/>
    </row>
    <row r="468" spans="20:22" ht="14.55" x14ac:dyDescent="0.3">
      <c r="T468" s="735"/>
      <c r="U468" s="734"/>
      <c r="V468" s="736"/>
    </row>
    <row r="469" spans="20:22" ht="14.55" x14ac:dyDescent="0.3">
      <c r="T469" s="735"/>
      <c r="U469" s="734"/>
      <c r="V469" s="736"/>
    </row>
    <row r="470" spans="20:22" ht="14.55" x14ac:dyDescent="0.3">
      <c r="T470" s="735"/>
      <c r="U470" s="734"/>
      <c r="V470" s="736"/>
    </row>
    <row r="471" spans="20:22" ht="14.55" x14ac:dyDescent="0.3">
      <c r="T471" s="735"/>
      <c r="U471" s="734"/>
      <c r="V471" s="736"/>
    </row>
    <row r="472" spans="20:22" ht="14.55" x14ac:dyDescent="0.3">
      <c r="T472" s="735"/>
      <c r="U472" s="734"/>
      <c r="V472" s="736"/>
    </row>
    <row r="473" spans="20:22" ht="14.55" x14ac:dyDescent="0.3">
      <c r="T473" s="735"/>
      <c r="U473" s="734"/>
      <c r="V473" s="736"/>
    </row>
    <row r="474" spans="20:22" ht="14.55" x14ac:dyDescent="0.3">
      <c r="T474" s="735"/>
      <c r="U474" s="734"/>
      <c r="V474" s="736"/>
    </row>
    <row r="475" spans="20:22" ht="14.55" x14ac:dyDescent="0.3">
      <c r="T475" s="735"/>
      <c r="U475" s="734"/>
      <c r="V475" s="736"/>
    </row>
    <row r="476" spans="20:22" ht="14.55" x14ac:dyDescent="0.3">
      <c r="T476" s="735"/>
      <c r="U476" s="734"/>
      <c r="V476" s="736"/>
    </row>
    <row r="477" spans="20:22" ht="14.55" x14ac:dyDescent="0.3">
      <c r="T477" s="735"/>
      <c r="U477" s="734"/>
      <c r="V477" s="736"/>
    </row>
    <row r="478" spans="20:22" ht="14.55" x14ac:dyDescent="0.3">
      <c r="T478" s="735"/>
      <c r="U478" s="734"/>
      <c r="V478" s="736"/>
    </row>
    <row r="479" spans="20:22" ht="14.55" x14ac:dyDescent="0.3">
      <c r="T479" s="735"/>
      <c r="U479" s="734"/>
      <c r="V479" s="736"/>
    </row>
    <row r="480" spans="20:22" ht="14.55" x14ac:dyDescent="0.3">
      <c r="T480" s="735"/>
      <c r="U480" s="734"/>
      <c r="V480" s="736"/>
    </row>
    <row r="481" spans="20:22" ht="14.55" x14ac:dyDescent="0.3">
      <c r="T481" s="735"/>
      <c r="U481" s="734"/>
      <c r="V481" s="736"/>
    </row>
    <row r="482" spans="20:22" ht="14.55" x14ac:dyDescent="0.3">
      <c r="T482" s="735"/>
      <c r="U482" s="734"/>
      <c r="V482" s="736"/>
    </row>
    <row r="483" spans="20:22" ht="14.55" x14ac:dyDescent="0.3">
      <c r="T483" s="735"/>
      <c r="U483" s="734"/>
      <c r="V483" s="736"/>
    </row>
    <row r="484" spans="20:22" ht="14.55" x14ac:dyDescent="0.3">
      <c r="T484" s="735"/>
      <c r="U484" s="734"/>
      <c r="V484" s="736"/>
    </row>
    <row r="485" spans="20:22" ht="14.55" x14ac:dyDescent="0.3">
      <c r="T485" s="735"/>
      <c r="U485" s="734"/>
      <c r="V485" s="736"/>
    </row>
    <row r="486" spans="20:22" ht="14.55" x14ac:dyDescent="0.3">
      <c r="T486" s="735"/>
      <c r="U486" s="734"/>
      <c r="V486" s="736"/>
    </row>
    <row r="487" spans="20:22" ht="14.55" x14ac:dyDescent="0.3">
      <c r="T487" s="735"/>
      <c r="U487" s="734"/>
      <c r="V487" s="736"/>
    </row>
    <row r="488" spans="20:22" ht="14.55" x14ac:dyDescent="0.3">
      <c r="T488" s="735"/>
      <c r="U488" s="734"/>
      <c r="V488" s="736"/>
    </row>
    <row r="489" spans="20:22" ht="14.55" x14ac:dyDescent="0.3">
      <c r="T489" s="735"/>
      <c r="U489" s="734"/>
      <c r="V489" s="736"/>
    </row>
    <row r="490" spans="20:22" ht="14.55" x14ac:dyDescent="0.3">
      <c r="T490" s="735"/>
      <c r="U490" s="734"/>
      <c r="V490" s="736"/>
    </row>
    <row r="491" spans="20:22" ht="14.55" x14ac:dyDescent="0.3">
      <c r="T491" s="735"/>
      <c r="U491" s="734"/>
      <c r="V491" s="736"/>
    </row>
    <row r="492" spans="20:22" ht="14.55" x14ac:dyDescent="0.3">
      <c r="T492" s="735"/>
      <c r="U492" s="734"/>
      <c r="V492" s="736"/>
    </row>
    <row r="493" spans="20:22" ht="14.55" x14ac:dyDescent="0.3">
      <c r="T493" s="735"/>
      <c r="U493" s="734"/>
      <c r="V493" s="736"/>
    </row>
    <row r="494" spans="20:22" ht="14.55" x14ac:dyDescent="0.3">
      <c r="T494" s="735"/>
      <c r="U494" s="734"/>
      <c r="V494" s="736"/>
    </row>
    <row r="495" spans="20:22" ht="14.55" x14ac:dyDescent="0.3">
      <c r="T495" s="735"/>
      <c r="U495" s="734"/>
      <c r="V495" s="736"/>
    </row>
    <row r="496" spans="20:22" ht="14.55" x14ac:dyDescent="0.3">
      <c r="T496" s="735"/>
      <c r="U496" s="734"/>
      <c r="V496" s="736"/>
    </row>
    <row r="497" spans="20:22" ht="14.55" x14ac:dyDescent="0.3">
      <c r="T497" s="735"/>
      <c r="U497" s="734"/>
      <c r="V497" s="736"/>
    </row>
    <row r="498" spans="20:22" ht="14.55" x14ac:dyDescent="0.3">
      <c r="T498" s="735"/>
      <c r="U498" s="734"/>
      <c r="V498" s="736"/>
    </row>
    <row r="499" spans="20:22" ht="14.55" x14ac:dyDescent="0.3">
      <c r="T499" s="735"/>
      <c r="U499" s="734"/>
      <c r="V499" s="736"/>
    </row>
    <row r="500" spans="20:22" ht="14.55" x14ac:dyDescent="0.3">
      <c r="T500" s="735"/>
      <c r="U500" s="734"/>
      <c r="V500" s="736"/>
    </row>
    <row r="501" spans="20:22" ht="14.55" x14ac:dyDescent="0.3">
      <c r="T501" s="735"/>
      <c r="U501" s="734"/>
      <c r="V501" s="736"/>
    </row>
    <row r="502" spans="20:22" ht="14.55" x14ac:dyDescent="0.3">
      <c r="T502" s="735"/>
      <c r="U502" s="734"/>
      <c r="V502" s="736"/>
    </row>
    <row r="503" spans="20:22" ht="14.55" x14ac:dyDescent="0.3">
      <c r="T503" s="735"/>
      <c r="U503" s="734"/>
      <c r="V503" s="736"/>
    </row>
    <row r="504" spans="20:22" ht="14.55" x14ac:dyDescent="0.3">
      <c r="T504" s="735"/>
      <c r="U504" s="734"/>
      <c r="V504" s="736"/>
    </row>
    <row r="505" spans="20:22" ht="14.55" x14ac:dyDescent="0.3">
      <c r="T505" s="735"/>
      <c r="U505" s="734"/>
      <c r="V505" s="736"/>
    </row>
    <row r="506" spans="20:22" ht="14.55" x14ac:dyDescent="0.3">
      <c r="T506" s="735"/>
      <c r="U506" s="734"/>
      <c r="V506" s="736"/>
    </row>
    <row r="507" spans="20:22" ht="14.55" x14ac:dyDescent="0.3">
      <c r="T507" s="735"/>
      <c r="U507" s="734"/>
      <c r="V507" s="736"/>
    </row>
    <row r="508" spans="20:22" ht="14.55" x14ac:dyDescent="0.3">
      <c r="T508" s="735"/>
      <c r="U508" s="734"/>
      <c r="V508" s="736"/>
    </row>
    <row r="509" spans="20:22" ht="14.55" x14ac:dyDescent="0.3">
      <c r="T509" s="735"/>
      <c r="U509" s="734"/>
      <c r="V509" s="736"/>
    </row>
    <row r="510" spans="20:22" ht="14.55" x14ac:dyDescent="0.3">
      <c r="T510" s="735"/>
      <c r="U510" s="734"/>
      <c r="V510" s="736"/>
    </row>
    <row r="511" spans="20:22" ht="14.55" x14ac:dyDescent="0.3">
      <c r="T511" s="735"/>
      <c r="U511" s="734"/>
      <c r="V511" s="736"/>
    </row>
    <row r="512" spans="20:22" ht="14.55" x14ac:dyDescent="0.3">
      <c r="T512" s="735"/>
      <c r="U512" s="734"/>
      <c r="V512" s="736"/>
    </row>
    <row r="513" spans="20:22" ht="14.55" x14ac:dyDescent="0.3">
      <c r="T513" s="735"/>
      <c r="U513" s="734"/>
      <c r="V513" s="736"/>
    </row>
    <row r="514" spans="20:22" ht="14.55" x14ac:dyDescent="0.3">
      <c r="T514" s="735"/>
      <c r="U514" s="734"/>
      <c r="V514" s="736"/>
    </row>
    <row r="515" spans="20:22" ht="14.55" x14ac:dyDescent="0.3">
      <c r="T515" s="735"/>
      <c r="U515" s="734"/>
      <c r="V515" s="736"/>
    </row>
    <row r="516" spans="20:22" ht="14.55" x14ac:dyDescent="0.3">
      <c r="T516" s="735"/>
      <c r="U516" s="734"/>
      <c r="V516" s="736"/>
    </row>
    <row r="517" spans="20:22" ht="14.55" x14ac:dyDescent="0.3">
      <c r="T517" s="735"/>
      <c r="U517" s="734"/>
      <c r="V517" s="736"/>
    </row>
    <row r="518" spans="20:22" ht="14.55" x14ac:dyDescent="0.3">
      <c r="T518" s="735"/>
      <c r="U518" s="734"/>
      <c r="V518" s="736"/>
    </row>
    <row r="519" spans="20:22" ht="14.55" x14ac:dyDescent="0.3">
      <c r="T519" s="735"/>
      <c r="U519" s="734"/>
      <c r="V519" s="736"/>
    </row>
    <row r="520" spans="20:22" ht="14.55" x14ac:dyDescent="0.3">
      <c r="T520" s="735"/>
      <c r="U520" s="734"/>
      <c r="V520" s="736"/>
    </row>
    <row r="521" spans="20:22" ht="14.55" x14ac:dyDescent="0.3">
      <c r="T521" s="735"/>
      <c r="U521" s="734"/>
      <c r="V521" s="736"/>
    </row>
    <row r="522" spans="20:22" ht="14.55" x14ac:dyDescent="0.3">
      <c r="T522" s="735"/>
      <c r="U522" s="734"/>
      <c r="V522" s="736"/>
    </row>
    <row r="523" spans="20:22" ht="14.55" x14ac:dyDescent="0.3">
      <c r="T523" s="735"/>
      <c r="U523" s="734"/>
      <c r="V523" s="736"/>
    </row>
    <row r="524" spans="20:22" ht="14.55" x14ac:dyDescent="0.3">
      <c r="T524" s="735"/>
      <c r="U524" s="734"/>
      <c r="V524" s="736"/>
    </row>
    <row r="525" spans="20:22" ht="14.55" x14ac:dyDescent="0.3">
      <c r="T525" s="735"/>
      <c r="U525" s="734"/>
      <c r="V525" s="736"/>
    </row>
    <row r="526" spans="20:22" ht="14.55" x14ac:dyDescent="0.3">
      <c r="T526" s="735"/>
      <c r="U526" s="734"/>
      <c r="V526" s="736"/>
    </row>
    <row r="527" spans="20:22" ht="14.55" x14ac:dyDescent="0.3">
      <c r="T527" s="735"/>
      <c r="U527" s="734"/>
      <c r="V527" s="736"/>
    </row>
    <row r="528" spans="20:22" ht="14.55" x14ac:dyDescent="0.3">
      <c r="T528" s="735"/>
      <c r="U528" s="734"/>
      <c r="V528" s="736"/>
    </row>
    <row r="529" spans="20:22" ht="14.55" x14ac:dyDescent="0.3">
      <c r="T529" s="735"/>
      <c r="U529" s="734"/>
      <c r="V529" s="736"/>
    </row>
    <row r="530" spans="20:22" ht="14.55" x14ac:dyDescent="0.3">
      <c r="T530" s="735"/>
      <c r="U530" s="734"/>
      <c r="V530" s="736"/>
    </row>
    <row r="531" spans="20:22" ht="14.55" x14ac:dyDescent="0.3">
      <c r="T531" s="735"/>
      <c r="U531" s="734"/>
      <c r="V531" s="736"/>
    </row>
    <row r="532" spans="20:22" ht="14.55" x14ac:dyDescent="0.3">
      <c r="T532" s="735"/>
      <c r="U532" s="734"/>
      <c r="V532" s="736"/>
    </row>
    <row r="533" spans="20:22" ht="14.55" x14ac:dyDescent="0.3">
      <c r="T533" s="735"/>
      <c r="U533" s="734"/>
      <c r="V533" s="736"/>
    </row>
    <row r="534" spans="20:22" ht="14.55" x14ac:dyDescent="0.3">
      <c r="T534" s="735"/>
      <c r="U534" s="734"/>
      <c r="V534" s="736"/>
    </row>
    <row r="535" spans="20:22" ht="14.55" x14ac:dyDescent="0.3">
      <c r="T535" s="735"/>
      <c r="U535" s="734"/>
      <c r="V535" s="736"/>
    </row>
    <row r="536" spans="20:22" ht="14.55" x14ac:dyDescent="0.3">
      <c r="T536" s="735"/>
      <c r="U536" s="734"/>
      <c r="V536" s="736"/>
    </row>
    <row r="537" spans="20:22" ht="14.55" x14ac:dyDescent="0.3">
      <c r="T537" s="735"/>
      <c r="U537" s="734"/>
      <c r="V537" s="736"/>
    </row>
    <row r="538" spans="20:22" ht="14.55" x14ac:dyDescent="0.3">
      <c r="T538" s="735"/>
      <c r="U538" s="734"/>
      <c r="V538" s="736"/>
    </row>
    <row r="539" spans="20:22" ht="14.55" x14ac:dyDescent="0.3">
      <c r="T539" s="735"/>
      <c r="U539" s="734"/>
      <c r="V539" s="736"/>
    </row>
    <row r="540" spans="20:22" ht="14.55" x14ac:dyDescent="0.3">
      <c r="T540" s="735"/>
      <c r="U540" s="734"/>
      <c r="V540" s="736"/>
    </row>
    <row r="541" spans="20:22" ht="14.55" x14ac:dyDescent="0.3">
      <c r="T541" s="735"/>
      <c r="U541" s="734"/>
      <c r="V541" s="736"/>
    </row>
    <row r="542" spans="20:22" ht="14.55" x14ac:dyDescent="0.3">
      <c r="T542" s="735"/>
      <c r="U542" s="734"/>
      <c r="V542" s="736"/>
    </row>
    <row r="543" spans="20:22" ht="14.55" x14ac:dyDescent="0.3">
      <c r="T543" s="735"/>
      <c r="U543" s="734"/>
      <c r="V543" s="736"/>
    </row>
    <row r="544" spans="20:22" ht="14.55" x14ac:dyDescent="0.3">
      <c r="T544" s="735"/>
      <c r="U544" s="734"/>
      <c r="V544" s="736"/>
    </row>
    <row r="545" spans="20:22" ht="14.55" x14ac:dyDescent="0.3">
      <c r="T545" s="735"/>
      <c r="U545" s="734"/>
      <c r="V545" s="736"/>
    </row>
    <row r="546" spans="20:22" ht="14.55" x14ac:dyDescent="0.3">
      <c r="T546" s="735"/>
      <c r="U546" s="734"/>
      <c r="V546" s="736"/>
    </row>
    <row r="547" spans="20:22" ht="14.55" x14ac:dyDescent="0.3">
      <c r="T547" s="735"/>
      <c r="U547" s="734"/>
      <c r="V547" s="736"/>
    </row>
    <row r="548" spans="20:22" ht="14.55" x14ac:dyDescent="0.3">
      <c r="T548" s="735"/>
      <c r="U548" s="734"/>
      <c r="V548" s="736"/>
    </row>
    <row r="549" spans="20:22" ht="14.55" x14ac:dyDescent="0.3">
      <c r="T549" s="735"/>
      <c r="U549" s="734"/>
      <c r="V549" s="736"/>
    </row>
    <row r="550" spans="20:22" ht="14.55" x14ac:dyDescent="0.3">
      <c r="T550" s="735"/>
      <c r="U550" s="734"/>
      <c r="V550" s="736"/>
    </row>
    <row r="551" spans="20:22" ht="14.55" x14ac:dyDescent="0.3">
      <c r="T551" s="735"/>
      <c r="U551" s="734"/>
      <c r="V551" s="736"/>
    </row>
    <row r="552" spans="20:22" ht="14.55" x14ac:dyDescent="0.3">
      <c r="T552" s="735"/>
      <c r="U552" s="734"/>
      <c r="V552" s="736"/>
    </row>
    <row r="553" spans="20:22" ht="14.55" x14ac:dyDescent="0.3">
      <c r="T553" s="735"/>
      <c r="U553" s="734"/>
      <c r="V553" s="736"/>
    </row>
    <row r="554" spans="20:22" ht="14.55" x14ac:dyDescent="0.3">
      <c r="T554" s="735"/>
      <c r="U554" s="734"/>
      <c r="V554" s="736"/>
    </row>
    <row r="555" spans="20:22" ht="14.55" x14ac:dyDescent="0.3">
      <c r="T555" s="735"/>
      <c r="U555" s="734"/>
      <c r="V555" s="736"/>
    </row>
    <row r="556" spans="20:22" ht="14.55" x14ac:dyDescent="0.3">
      <c r="T556" s="735"/>
      <c r="U556" s="734"/>
      <c r="V556" s="736"/>
    </row>
    <row r="557" spans="20:22" ht="14.55" x14ac:dyDescent="0.3">
      <c r="T557" s="735"/>
      <c r="U557" s="734"/>
      <c r="V557" s="736"/>
    </row>
    <row r="558" spans="20:22" ht="14.55" x14ac:dyDescent="0.3">
      <c r="T558" s="735"/>
      <c r="U558" s="734"/>
      <c r="V558" s="736"/>
    </row>
    <row r="559" spans="20:22" ht="14.55" x14ac:dyDescent="0.3">
      <c r="T559" s="735"/>
      <c r="U559" s="734"/>
      <c r="V559" s="736"/>
    </row>
    <row r="560" spans="20:22" ht="14.55" x14ac:dyDescent="0.3">
      <c r="T560" s="735"/>
      <c r="U560" s="734"/>
      <c r="V560" s="736"/>
    </row>
    <row r="561" spans="20:22" ht="14.55" x14ac:dyDescent="0.3">
      <c r="T561" s="735"/>
      <c r="U561" s="734"/>
      <c r="V561" s="736"/>
    </row>
    <row r="562" spans="20:22" ht="14.55" x14ac:dyDescent="0.3">
      <c r="T562" s="735"/>
      <c r="U562" s="734"/>
      <c r="V562" s="736"/>
    </row>
    <row r="563" spans="20:22" ht="14.55" x14ac:dyDescent="0.3">
      <c r="T563" s="735"/>
      <c r="U563" s="734"/>
      <c r="V563" s="736"/>
    </row>
    <row r="564" spans="20:22" ht="14.55" x14ac:dyDescent="0.3">
      <c r="T564" s="735"/>
      <c r="U564" s="734"/>
      <c r="V564" s="736"/>
    </row>
    <row r="565" spans="20:22" ht="14.55" x14ac:dyDescent="0.3">
      <c r="T565" s="735"/>
      <c r="U565" s="734"/>
      <c r="V565" s="736"/>
    </row>
    <row r="566" spans="20:22" ht="14.55" x14ac:dyDescent="0.3">
      <c r="T566" s="735"/>
      <c r="U566" s="734"/>
      <c r="V566" s="736"/>
    </row>
    <row r="567" spans="20:22" ht="14.55" x14ac:dyDescent="0.3">
      <c r="T567" s="735"/>
      <c r="U567" s="734"/>
      <c r="V567" s="736"/>
    </row>
    <row r="568" spans="20:22" ht="14.55" x14ac:dyDescent="0.3">
      <c r="T568" s="735"/>
      <c r="U568" s="734"/>
      <c r="V568" s="736"/>
    </row>
    <row r="569" spans="20:22" ht="14.55" x14ac:dyDescent="0.3">
      <c r="T569" s="735"/>
      <c r="U569" s="734"/>
      <c r="V569" s="736"/>
    </row>
    <row r="570" spans="20:22" ht="14.55" x14ac:dyDescent="0.3">
      <c r="T570" s="735"/>
      <c r="U570" s="734"/>
      <c r="V570" s="736"/>
    </row>
    <row r="571" spans="20:22" ht="14.55" x14ac:dyDescent="0.3">
      <c r="T571" s="735"/>
      <c r="U571" s="734"/>
      <c r="V571" s="736"/>
    </row>
    <row r="572" spans="20:22" ht="14.55" x14ac:dyDescent="0.3">
      <c r="T572" s="735"/>
      <c r="U572" s="734"/>
      <c r="V572" s="736"/>
    </row>
    <row r="573" spans="20:22" ht="14.55" x14ac:dyDescent="0.3">
      <c r="T573" s="735"/>
      <c r="U573" s="734"/>
      <c r="V573" s="736"/>
    </row>
    <row r="574" spans="20:22" ht="14.55" x14ac:dyDescent="0.3">
      <c r="T574" s="735"/>
      <c r="U574" s="734"/>
      <c r="V574" s="736"/>
    </row>
    <row r="575" spans="20:22" ht="14.55" x14ac:dyDescent="0.3">
      <c r="T575" s="735"/>
      <c r="U575" s="734"/>
      <c r="V575" s="736"/>
    </row>
    <row r="576" spans="20:22" ht="14.55" x14ac:dyDescent="0.3">
      <c r="T576" s="735"/>
      <c r="U576" s="734"/>
      <c r="V576" s="736"/>
    </row>
    <row r="577" spans="20:22" ht="14.55" x14ac:dyDescent="0.3">
      <c r="T577" s="735"/>
      <c r="U577" s="734"/>
      <c r="V577" s="736"/>
    </row>
    <row r="578" spans="20:22" ht="14.55" x14ac:dyDescent="0.3">
      <c r="T578" s="735"/>
      <c r="U578" s="734"/>
      <c r="V578" s="736"/>
    </row>
    <row r="579" spans="20:22" ht="14.55" x14ac:dyDescent="0.3">
      <c r="T579" s="735"/>
      <c r="U579" s="734"/>
      <c r="V579" s="736"/>
    </row>
    <row r="580" spans="20:22" ht="14.55" x14ac:dyDescent="0.3">
      <c r="T580" s="735"/>
      <c r="U580" s="734"/>
      <c r="V580" s="736"/>
    </row>
    <row r="581" spans="20:22" ht="14.55" x14ac:dyDescent="0.3">
      <c r="T581" s="735"/>
      <c r="U581" s="734"/>
      <c r="V581" s="736"/>
    </row>
    <row r="582" spans="20:22" ht="14.55" x14ac:dyDescent="0.3">
      <c r="T582" s="735"/>
      <c r="U582" s="734"/>
      <c r="V582" s="736"/>
    </row>
    <row r="583" spans="20:22" ht="14.55" x14ac:dyDescent="0.3">
      <c r="T583" s="735"/>
      <c r="U583" s="734"/>
      <c r="V583" s="736"/>
    </row>
    <row r="584" spans="20:22" ht="14.55" x14ac:dyDescent="0.3">
      <c r="T584" s="735"/>
      <c r="U584" s="734"/>
      <c r="V584" s="736"/>
    </row>
    <row r="585" spans="20:22" ht="14.55" x14ac:dyDescent="0.3">
      <c r="T585" s="735"/>
      <c r="U585" s="734"/>
      <c r="V585" s="736"/>
    </row>
    <row r="586" spans="20:22" ht="14.55" x14ac:dyDescent="0.3">
      <c r="T586" s="735"/>
      <c r="U586" s="734"/>
      <c r="V586" s="736"/>
    </row>
    <row r="587" spans="20:22" ht="14.55" x14ac:dyDescent="0.3">
      <c r="T587" s="735"/>
      <c r="U587" s="734"/>
      <c r="V587" s="736"/>
    </row>
    <row r="588" spans="20:22" ht="14.55" x14ac:dyDescent="0.3">
      <c r="T588" s="735"/>
      <c r="U588" s="734"/>
      <c r="V588" s="736"/>
    </row>
    <row r="589" spans="20:22" ht="14.55" x14ac:dyDescent="0.3">
      <c r="T589" s="735"/>
      <c r="U589" s="734"/>
      <c r="V589" s="736"/>
    </row>
    <row r="590" spans="20:22" ht="14.55" x14ac:dyDescent="0.3">
      <c r="T590" s="735"/>
      <c r="U590" s="734"/>
      <c r="V590" s="736"/>
    </row>
    <row r="591" spans="20:22" ht="14.55" x14ac:dyDescent="0.3">
      <c r="T591" s="735"/>
      <c r="U591" s="734"/>
      <c r="V591" s="736"/>
    </row>
    <row r="592" spans="20:22" ht="14.55" x14ac:dyDescent="0.3">
      <c r="T592" s="735"/>
      <c r="U592" s="734"/>
      <c r="V592" s="736"/>
    </row>
    <row r="593" spans="20:22" ht="14.55" x14ac:dyDescent="0.3">
      <c r="T593" s="735"/>
      <c r="U593" s="734"/>
      <c r="V593" s="736"/>
    </row>
    <row r="594" spans="20:22" ht="14.55" x14ac:dyDescent="0.3">
      <c r="T594" s="735"/>
      <c r="U594" s="734"/>
      <c r="V594" s="736"/>
    </row>
    <row r="595" spans="20:22" ht="14.55" x14ac:dyDescent="0.3">
      <c r="T595" s="735"/>
      <c r="U595" s="734"/>
      <c r="V595" s="736"/>
    </row>
    <row r="596" spans="20:22" ht="14.55" x14ac:dyDescent="0.3">
      <c r="T596" s="735"/>
      <c r="U596" s="734"/>
      <c r="V596" s="736"/>
    </row>
    <row r="597" spans="20:22" ht="14.55" x14ac:dyDescent="0.3">
      <c r="T597" s="735"/>
      <c r="U597" s="734"/>
      <c r="V597" s="736"/>
    </row>
    <row r="598" spans="20:22" ht="14.55" x14ac:dyDescent="0.3">
      <c r="T598" s="735"/>
      <c r="U598" s="734"/>
      <c r="V598" s="736"/>
    </row>
    <row r="599" spans="20:22" ht="14.55" x14ac:dyDescent="0.3">
      <c r="T599" s="735"/>
      <c r="U599" s="734"/>
      <c r="V599" s="736"/>
    </row>
    <row r="600" spans="20:22" ht="14.55" x14ac:dyDescent="0.3">
      <c r="T600" s="735"/>
      <c r="U600" s="734"/>
      <c r="V600" s="736"/>
    </row>
    <row r="601" spans="20:22" ht="14.55" x14ac:dyDescent="0.3">
      <c r="T601" s="735"/>
      <c r="U601" s="734"/>
      <c r="V601" s="736"/>
    </row>
    <row r="602" spans="20:22" ht="14.55" x14ac:dyDescent="0.3">
      <c r="T602" s="735"/>
      <c r="U602" s="734"/>
      <c r="V602" s="736"/>
    </row>
    <row r="603" spans="20:22" ht="14.55" x14ac:dyDescent="0.3">
      <c r="T603" s="735"/>
      <c r="U603" s="734"/>
      <c r="V603" s="736"/>
    </row>
    <row r="604" spans="20:22" ht="14.55" x14ac:dyDescent="0.3">
      <c r="T604" s="735"/>
      <c r="U604" s="734"/>
      <c r="V604" s="736"/>
    </row>
    <row r="605" spans="20:22" ht="14.55" x14ac:dyDescent="0.3">
      <c r="T605" s="735"/>
      <c r="U605" s="734"/>
      <c r="V605" s="736"/>
    </row>
    <row r="606" spans="20:22" ht="14.55" x14ac:dyDescent="0.3">
      <c r="T606" s="735"/>
      <c r="U606" s="734"/>
      <c r="V606" s="736"/>
    </row>
  </sheetData>
  <sheetProtection selectLockedCells="1"/>
  <mergeCells count="136">
    <mergeCell ref="H125:I125"/>
    <mergeCell ref="J122:K122"/>
    <mergeCell ref="J123:K123"/>
    <mergeCell ref="J124:K124"/>
    <mergeCell ref="J125:K125"/>
    <mergeCell ref="J114:K114"/>
    <mergeCell ref="J115:K115"/>
    <mergeCell ref="J116:K116"/>
    <mergeCell ref="J117:K117"/>
    <mergeCell ref="J118:K118"/>
    <mergeCell ref="J119:K119"/>
    <mergeCell ref="J120:K120"/>
    <mergeCell ref="J121:K121"/>
    <mergeCell ref="H114:I114"/>
    <mergeCell ref="H115:I115"/>
    <mergeCell ref="H116:I116"/>
    <mergeCell ref="H117:I117"/>
    <mergeCell ref="H118:I118"/>
    <mergeCell ref="H119:I119"/>
    <mergeCell ref="H121:I121"/>
    <mergeCell ref="L98:M98"/>
    <mergeCell ref="L99:M99"/>
    <mergeCell ref="L101:M101"/>
    <mergeCell ref="L102:M102"/>
    <mergeCell ref="L103:M103"/>
    <mergeCell ref="L104:M104"/>
    <mergeCell ref="L105:M105"/>
    <mergeCell ref="H123:I123"/>
    <mergeCell ref="H124:I124"/>
    <mergeCell ref="E76:E77"/>
    <mergeCell ref="L80:M80"/>
    <mergeCell ref="L81:M81"/>
    <mergeCell ref="L82:M82"/>
    <mergeCell ref="L78:M78"/>
    <mergeCell ref="L79:M79"/>
    <mergeCell ref="L72:M72"/>
    <mergeCell ref="L73:M73"/>
    <mergeCell ref="L74:M74"/>
    <mergeCell ref="L76:M76"/>
    <mergeCell ref="L77:M77"/>
    <mergeCell ref="G57:H57"/>
    <mergeCell ref="I57:J57"/>
    <mergeCell ref="K57:L57"/>
    <mergeCell ref="L68:M68"/>
    <mergeCell ref="L69:M69"/>
    <mergeCell ref="G62:H62"/>
    <mergeCell ref="H111:I111"/>
    <mergeCell ref="K107:M107"/>
    <mergeCell ref="J111:K111"/>
    <mergeCell ref="G63:H63"/>
    <mergeCell ref="K67:M67"/>
    <mergeCell ref="L86:M86"/>
    <mergeCell ref="L87:M87"/>
    <mergeCell ref="L88:M88"/>
    <mergeCell ref="L89:M89"/>
    <mergeCell ref="L90:M90"/>
    <mergeCell ref="L95:M95"/>
    <mergeCell ref="L96:M96"/>
    <mergeCell ref="L97:M97"/>
    <mergeCell ref="G67:H67"/>
    <mergeCell ref="I67:J67"/>
    <mergeCell ref="L70:M70"/>
    <mergeCell ref="L71:M71"/>
    <mergeCell ref="H110:M110"/>
    <mergeCell ref="P7:Q7"/>
    <mergeCell ref="D52:D56"/>
    <mergeCell ref="G52:G56"/>
    <mergeCell ref="B4:B7"/>
    <mergeCell ref="D7:E7"/>
    <mergeCell ref="G7:H7"/>
    <mergeCell ref="J7:K7"/>
    <mergeCell ref="M7:N7"/>
    <mergeCell ref="P4:Q4"/>
    <mergeCell ref="D5:E5"/>
    <mergeCell ref="G5:H5"/>
    <mergeCell ref="J5:K5"/>
    <mergeCell ref="M5:N5"/>
    <mergeCell ref="P5:Q5"/>
    <mergeCell ref="D4:E4"/>
    <mergeCell ref="G4:H4"/>
    <mergeCell ref="J4:K4"/>
    <mergeCell ref="M4:N4"/>
    <mergeCell ref="D50:H50"/>
    <mergeCell ref="C28:C46"/>
    <mergeCell ref="F28:F46"/>
    <mergeCell ref="I28:I46"/>
    <mergeCell ref="L28:L46"/>
    <mergeCell ref="O28:O46"/>
    <mergeCell ref="B129:Q129"/>
    <mergeCell ref="B141:Q141"/>
    <mergeCell ref="B154:Q154"/>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25:O125"/>
    <mergeCell ref="H127:I127"/>
    <mergeCell ref="H126:I126"/>
    <mergeCell ref="H120:I120"/>
    <mergeCell ref="H112:I112"/>
    <mergeCell ref="J113:K113"/>
    <mergeCell ref="J126:K126"/>
    <mergeCell ref="H122:I122"/>
    <mergeCell ref="D68:D74"/>
    <mergeCell ref="D76:D82"/>
    <mergeCell ref="I58:J58"/>
    <mergeCell ref="K58:L58"/>
    <mergeCell ref="B108:E108"/>
    <mergeCell ref="B58:E58"/>
    <mergeCell ref="G58:H58"/>
    <mergeCell ref="H113:I113"/>
    <mergeCell ref="J112:K112"/>
    <mergeCell ref="L108:M108"/>
    <mergeCell ref="I107:J107"/>
    <mergeCell ref="B87:E87"/>
    <mergeCell ref="B99:E99"/>
    <mergeCell ref="C101:C105"/>
    <mergeCell ref="G107:H107"/>
    <mergeCell ref="B88:E88"/>
    <mergeCell ref="B89:E89"/>
    <mergeCell ref="B90:E90"/>
    <mergeCell ref="B96:E96"/>
    <mergeCell ref="B97:E97"/>
    <mergeCell ref="B98:E98"/>
    <mergeCell ref="B62:E62"/>
    <mergeCell ref="B63:E63"/>
    <mergeCell ref="E68:E69"/>
  </mergeCells>
  <conditionalFormatting sqref="C131:P139">
    <cfRule type="cellIs" dxfId="1418" priority="16" operator="greaterThan">
      <formula>0</formula>
    </cfRule>
  </conditionalFormatting>
  <conditionalFormatting sqref="C143:P151">
    <cfRule type="cellIs" dxfId="1417" priority="15" operator="greaterThan">
      <formula>0</formula>
    </cfRule>
  </conditionalFormatting>
  <conditionalFormatting sqref="C156:P164">
    <cfRule type="cellIs" dxfId="1416" priority="14" operator="greaterThan">
      <formula>0</formula>
    </cfRule>
  </conditionalFormatting>
  <conditionalFormatting sqref="B8:B46">
    <cfRule type="colorScale" priority="11">
      <colorScale>
        <cfvo type="min"/>
        <cfvo type="percentile" val="50"/>
        <cfvo type="max"/>
        <color rgb="FF63BE7B"/>
        <color rgb="FFFFEB84"/>
        <color rgb="FFF8696B"/>
      </colorScale>
    </cfRule>
  </conditionalFormatting>
  <conditionalFormatting sqref="D8:D46">
    <cfRule type="colorScale" priority="10">
      <colorScale>
        <cfvo type="min"/>
        <cfvo type="percentile" val="50"/>
        <cfvo type="max"/>
        <color rgb="FF63BE7B"/>
        <color rgb="FFFFEB84"/>
        <color rgb="FFF8696B"/>
      </colorScale>
    </cfRule>
  </conditionalFormatting>
  <conditionalFormatting sqref="E8:E46">
    <cfRule type="colorScale" priority="9">
      <colorScale>
        <cfvo type="min"/>
        <cfvo type="percentile" val="50"/>
        <cfvo type="max"/>
        <color rgb="FF63BE7B"/>
        <color rgb="FFFFEB84"/>
        <color rgb="FFF8696B"/>
      </colorScale>
    </cfRule>
  </conditionalFormatting>
  <conditionalFormatting sqref="G8:G46">
    <cfRule type="colorScale" priority="8">
      <colorScale>
        <cfvo type="min"/>
        <cfvo type="percentile" val="50"/>
        <cfvo type="max"/>
        <color rgb="FF63BE7B"/>
        <color rgb="FFFFEB84"/>
        <color rgb="FFF8696B"/>
      </colorScale>
    </cfRule>
  </conditionalFormatting>
  <conditionalFormatting sqref="H8:H46">
    <cfRule type="colorScale" priority="7">
      <colorScale>
        <cfvo type="min"/>
        <cfvo type="percentile" val="50"/>
        <cfvo type="max"/>
        <color rgb="FF63BE7B"/>
        <color rgb="FFFFEB84"/>
        <color rgb="FFF8696B"/>
      </colorScale>
    </cfRule>
  </conditionalFormatting>
  <conditionalFormatting sqref="J8:J46">
    <cfRule type="colorScale" priority="6">
      <colorScale>
        <cfvo type="min"/>
        <cfvo type="percentile" val="50"/>
        <cfvo type="max"/>
        <color rgb="FF63BE7B"/>
        <color rgb="FFFFEB84"/>
        <color rgb="FFF8696B"/>
      </colorScale>
    </cfRule>
  </conditionalFormatting>
  <conditionalFormatting sqref="K8:K46">
    <cfRule type="colorScale" priority="5">
      <colorScale>
        <cfvo type="min"/>
        <cfvo type="percentile" val="50"/>
        <cfvo type="max"/>
        <color rgb="FF63BE7B"/>
        <color rgb="FFFFEB84"/>
        <color rgb="FFF8696B"/>
      </colorScale>
    </cfRule>
  </conditionalFormatting>
  <conditionalFormatting sqref="M8:M46">
    <cfRule type="colorScale" priority="4">
      <colorScale>
        <cfvo type="min"/>
        <cfvo type="percentile" val="50"/>
        <cfvo type="max"/>
        <color rgb="FF63BE7B"/>
        <color rgb="FFFFEB84"/>
        <color rgb="FFF8696B"/>
      </colorScale>
    </cfRule>
  </conditionalFormatting>
  <conditionalFormatting sqref="N8:N46">
    <cfRule type="colorScale" priority="3">
      <colorScale>
        <cfvo type="min"/>
        <cfvo type="percentile" val="50"/>
        <cfvo type="max"/>
        <color rgb="FF63BE7B"/>
        <color rgb="FFFFEB84"/>
        <color rgb="FFF8696B"/>
      </colorScale>
    </cfRule>
  </conditionalFormatting>
  <conditionalFormatting sqref="P8:P46">
    <cfRule type="colorScale" priority="2">
      <colorScale>
        <cfvo type="min"/>
        <cfvo type="percentile" val="50"/>
        <cfvo type="max"/>
        <color rgb="FF63BE7B"/>
        <color rgb="FFFFEB84"/>
        <color rgb="FFF8696B"/>
      </colorScale>
    </cfRule>
  </conditionalFormatting>
  <conditionalFormatting sqref="Q8:Q46">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ignoredErrors>
    <ignoredError sqref="G98:M99 H97:M97"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A3D44-B348-4B46-8879-1EF9B63F759E}">
  <dimension ref="A1:P284"/>
  <sheetViews>
    <sheetView workbookViewId="0"/>
  </sheetViews>
  <sheetFormatPr baseColWidth="10" defaultColWidth="11.44140625" defaultRowHeight="14.55" x14ac:dyDescent="0.3"/>
  <cols>
    <col min="1" max="1" width="3" style="827" bestFit="1" customWidth="1"/>
    <col min="2" max="2" width="3.21875" style="823" bestFit="1" customWidth="1"/>
    <col min="3" max="3" width="37.44140625" style="816" customWidth="1"/>
    <col min="4" max="4" width="22.77734375" style="811" customWidth="1"/>
    <col min="5" max="7" width="11.44140625" style="827"/>
    <col min="8" max="8" width="30.77734375" style="827" customWidth="1"/>
    <col min="9" max="9" width="20.21875" style="827" customWidth="1"/>
    <col min="10" max="10" width="7.21875" style="827" bestFit="1" customWidth="1"/>
    <col min="11" max="11" width="37.21875" style="827" customWidth="1"/>
    <col min="12" max="12" width="10.5546875" style="827" bestFit="1" customWidth="1"/>
    <col min="13" max="13" width="21.5546875" style="827" bestFit="1" customWidth="1"/>
    <col min="14" max="14" width="10.5546875" style="827" bestFit="1" customWidth="1"/>
    <col min="15" max="15" width="14.77734375" style="827" customWidth="1"/>
    <col min="16" max="16" width="20.77734375" style="827" customWidth="1"/>
    <col min="17" max="16384" width="11.44140625" style="815"/>
  </cols>
  <sheetData>
    <row r="1" spans="1:16" ht="15" customHeight="1" x14ac:dyDescent="0.3"/>
    <row r="2" spans="1:16" ht="15" customHeight="1" x14ac:dyDescent="0.3">
      <c r="C2" s="818" t="s">
        <v>928</v>
      </c>
      <c r="D2" s="812" t="str">
        <f>IF(Überblick!D19=0,"",Überblick!D19)</f>
        <v/>
      </c>
    </row>
    <row r="3" spans="1:16" ht="15" customHeight="1" x14ac:dyDescent="0.3">
      <c r="C3" s="818" t="s">
        <v>952</v>
      </c>
      <c r="D3" s="811">
        <f>Überblick!Q2</f>
        <v>0</v>
      </c>
    </row>
    <row r="4" spans="1:16" ht="15" customHeight="1" x14ac:dyDescent="0.3"/>
    <row r="5" spans="1:16" ht="15" customHeight="1" x14ac:dyDescent="0.3">
      <c r="B5" s="817" t="s">
        <v>948</v>
      </c>
      <c r="C5" s="818" t="s">
        <v>949</v>
      </c>
    </row>
    <row r="6" spans="1:16" ht="15" customHeight="1" x14ac:dyDescent="0.3">
      <c r="C6" s="816" t="s">
        <v>950</v>
      </c>
      <c r="D6" s="820">
        <f>Überblick!H89+Überblick!H87</f>
        <v>33789.782639999998</v>
      </c>
    </row>
    <row r="7" spans="1:16" ht="15" customHeight="1" x14ac:dyDescent="0.3">
      <c r="C7" s="816" t="s">
        <v>933</v>
      </c>
      <c r="D7" s="820">
        <f>Überblick!H91</f>
        <v>0</v>
      </c>
    </row>
    <row r="8" spans="1:16" ht="15" customHeight="1" x14ac:dyDescent="0.3">
      <c r="C8" s="816" t="s">
        <v>951</v>
      </c>
      <c r="D8" s="820">
        <f>D6+D7</f>
        <v>33789.782639999998</v>
      </c>
    </row>
    <row r="9" spans="1:16" ht="15" customHeight="1" x14ac:dyDescent="0.3"/>
    <row r="10" spans="1:16" ht="15" customHeight="1" x14ac:dyDescent="0.3">
      <c r="B10" s="817" t="str">
        <f>IFERROR(VLOOKUP(1,F10:M27,2,0),"")</f>
        <v>C.</v>
      </c>
      <c r="C10" s="818" t="str">
        <f>IFERROR(VLOOKUP(A11,$F$10:$P$27,3,0),"")</f>
        <v xml:space="preserve">Nutzerspezifische Anlagen </v>
      </c>
      <c r="D10" s="821"/>
      <c r="E10" s="819"/>
      <c r="F10" s="827">
        <f>IF(P10&gt;0,1,0)</f>
        <v>0</v>
      </c>
      <c r="G10" s="827" t="str">
        <f>'Hochbauplanung '!A1</f>
        <v/>
      </c>
      <c r="H10" s="827" t="s">
        <v>62</v>
      </c>
      <c r="I10" s="828" t="s">
        <v>929</v>
      </c>
      <c r="J10" s="829">
        <f>'Hochbauplanung '!F37</f>
        <v>0</v>
      </c>
      <c r="K10" s="828" t="s">
        <v>931</v>
      </c>
      <c r="L10" s="830">
        <f>'Hochbauplanung '!H281+'Hochbauplanung '!H283</f>
        <v>0</v>
      </c>
      <c r="M10" s="828" t="s">
        <v>930</v>
      </c>
      <c r="N10" s="830">
        <f>'Hochbauplanung '!H285</f>
        <v>0</v>
      </c>
      <c r="O10" s="828" t="s">
        <v>832</v>
      </c>
      <c r="P10" s="830">
        <f t="shared" ref="P10:P24" si="0">L10+N10</f>
        <v>0</v>
      </c>
    </row>
    <row r="11" spans="1:16" ht="15" customHeight="1" x14ac:dyDescent="0.3">
      <c r="A11" s="819">
        <v>1</v>
      </c>
      <c r="B11" s="815"/>
      <c r="C11" s="816" t="str">
        <f>IFERROR(VLOOKUP($A$11,$F$10:$P$27,4,0),"")</f>
        <v>Aufschlag/Abschlag:</v>
      </c>
      <c r="D11" s="813">
        <f>IFERROR(VLOOKUP($A$11,$F$10:$P$27,5,0),"")</f>
        <v>0</v>
      </c>
      <c r="E11" s="819"/>
      <c r="F11" s="827">
        <f>IF(P11&gt;0,1+F10,0)</f>
        <v>0</v>
      </c>
      <c r="G11" s="827" t="str">
        <f>'Abwasser-, Wasser-, Gasanlagen'!A1</f>
        <v/>
      </c>
      <c r="H11" s="827" t="s">
        <v>932</v>
      </c>
      <c r="I11" s="828" t="s">
        <v>929</v>
      </c>
      <c r="J11" s="829">
        <f>'Abwasser-, Wasser-, Gasanlagen'!F23</f>
        <v>0</v>
      </c>
      <c r="K11" s="828" t="s">
        <v>931</v>
      </c>
      <c r="L11" s="830">
        <f>'Abwasser-, Wasser-, Gasanlagen'!H251+'Abwasser-, Wasser-, Gasanlagen'!H249</f>
        <v>0</v>
      </c>
      <c r="M11" s="828" t="s">
        <v>930</v>
      </c>
      <c r="N11" s="830">
        <f>'Abwasser-, Wasser-, Gasanlagen'!H253</f>
        <v>0</v>
      </c>
      <c r="O11" s="828" t="s">
        <v>832</v>
      </c>
      <c r="P11" s="830">
        <f t="shared" si="0"/>
        <v>0</v>
      </c>
    </row>
    <row r="12" spans="1:16" ht="15" customHeight="1" x14ac:dyDescent="0.3">
      <c r="C12" s="816" t="str">
        <f>IFERROR(VLOOKUP(A11,$F$10:$P$27,6,0),"")</f>
        <v>Höhe Grundleistungen inkl. Aufschlag:</v>
      </c>
      <c r="D12" s="814">
        <f>IFERROR(VLOOKUP(A11,$F$10:$P$27,7,0),"")</f>
        <v>33789.782639999998</v>
      </c>
      <c r="F12" s="827">
        <f>IF(P12&gt;0,MAX(F10:F11)+1,0)</f>
        <v>0</v>
      </c>
      <c r="G12" s="827" t="str">
        <f>Wärmeversorgung!A1</f>
        <v>B.</v>
      </c>
      <c r="H12" s="828" t="s">
        <v>934</v>
      </c>
      <c r="I12" s="828" t="s">
        <v>929</v>
      </c>
      <c r="J12" s="829">
        <f>Wärmeversorgung!F23</f>
        <v>0</v>
      </c>
      <c r="K12" s="828" t="s">
        <v>931</v>
      </c>
      <c r="L12" s="830">
        <f>Wärmeversorgung!H249+Wärmeversorgung!H251</f>
        <v>0</v>
      </c>
      <c r="M12" s="828" t="s">
        <v>930</v>
      </c>
      <c r="N12" s="830">
        <f>Wärmeversorgung!H253</f>
        <v>0</v>
      </c>
      <c r="O12" s="828" t="s">
        <v>832</v>
      </c>
      <c r="P12" s="830">
        <f t="shared" si="0"/>
        <v>0</v>
      </c>
    </row>
    <row r="13" spans="1:16" ht="15" customHeight="1" x14ac:dyDescent="0.3">
      <c r="C13" s="816" t="str">
        <f>IFERROR(VLOOKUP(A11,$F$10:$P$27,8,0),"")</f>
        <v>Besondere Leistungen:</v>
      </c>
      <c r="D13" s="814">
        <f>IFERROR(VLOOKUP(A11,$F$10:$P$27,9,0),"")</f>
        <v>0</v>
      </c>
      <c r="F13" s="827">
        <f>IF(P13&gt;0,MAX(F10:F12)+1,0)</f>
        <v>0</v>
      </c>
      <c r="G13" s="827" t="str">
        <f>'Lufttechnische Anlagen'!A1</f>
        <v/>
      </c>
      <c r="H13" s="828" t="s">
        <v>935</v>
      </c>
      <c r="I13" s="828" t="s">
        <v>929</v>
      </c>
      <c r="J13" s="829">
        <f>'Lufttechnische Anlagen'!F23</f>
        <v>0</v>
      </c>
      <c r="K13" s="828" t="s">
        <v>931</v>
      </c>
      <c r="L13" s="830">
        <f>'Lufttechnische Anlagen'!H252+'Lufttechnische Anlagen'!H250</f>
        <v>0</v>
      </c>
      <c r="M13" s="828" t="s">
        <v>930</v>
      </c>
      <c r="N13" s="830">
        <f>'Lufttechnische Anlagen'!H254</f>
        <v>0</v>
      </c>
      <c r="O13" s="828" t="s">
        <v>832</v>
      </c>
      <c r="P13" s="830">
        <f t="shared" si="0"/>
        <v>0</v>
      </c>
    </row>
    <row r="14" spans="1:16" ht="15" customHeight="1" x14ac:dyDescent="0.3">
      <c r="C14" s="816" t="str">
        <f>IFERROR(VLOOKUP(A11,$F$10:$P$27,10,0),"")</f>
        <v>Gesamtsumme:</v>
      </c>
      <c r="D14" s="814">
        <f>IFERROR(VLOOKUP(A11,$F$10:$P$27,11,0),"")</f>
        <v>33789.782639999998</v>
      </c>
      <c r="F14" s="827">
        <f>IF(P14&gt;0,MAX(F10:F13)+1,0)</f>
        <v>0</v>
      </c>
      <c r="G14" s="827" t="str">
        <f>Starkstrom!A1</f>
        <v/>
      </c>
      <c r="H14" s="828" t="s">
        <v>936</v>
      </c>
      <c r="I14" s="828" t="s">
        <v>929</v>
      </c>
      <c r="J14" s="829">
        <f>Starkstrom!F23</f>
        <v>0</v>
      </c>
      <c r="K14" s="828" t="s">
        <v>931</v>
      </c>
      <c r="L14" s="830">
        <f>Starkstrom!H252+Starkstrom!H250</f>
        <v>0</v>
      </c>
      <c r="M14" s="828" t="s">
        <v>930</v>
      </c>
      <c r="N14" s="830">
        <f>Starkstrom!H254</f>
        <v>0</v>
      </c>
      <c r="O14" s="828" t="s">
        <v>832</v>
      </c>
      <c r="P14" s="830">
        <f t="shared" si="0"/>
        <v>0</v>
      </c>
    </row>
    <row r="15" spans="1:16" ht="15" customHeight="1" x14ac:dyDescent="0.3">
      <c r="D15" s="820"/>
      <c r="F15" s="827">
        <f>IF(P15&gt;0,MAX(F10:F14)+1,0)</f>
        <v>0</v>
      </c>
      <c r="G15" s="827" t="str">
        <f>Fernmeldeanlagen!A1</f>
        <v/>
      </c>
      <c r="H15" s="828" t="s">
        <v>937</v>
      </c>
      <c r="I15" s="828" t="s">
        <v>929</v>
      </c>
      <c r="J15" s="829">
        <f>Fernmeldeanlagen!F23</f>
        <v>0</v>
      </c>
      <c r="K15" s="828" t="s">
        <v>931</v>
      </c>
      <c r="L15" s="830">
        <f>Fernmeldeanlagen!H250+Fernmeldeanlagen!H252</f>
        <v>0</v>
      </c>
      <c r="M15" s="828" t="s">
        <v>930</v>
      </c>
      <c r="N15" s="830">
        <f>Fernmeldeanlagen!H254</f>
        <v>0</v>
      </c>
      <c r="O15" s="828" t="s">
        <v>832</v>
      </c>
      <c r="P15" s="830">
        <f t="shared" si="0"/>
        <v>0</v>
      </c>
    </row>
    <row r="16" spans="1:16" ht="15" customHeight="1" x14ac:dyDescent="0.3">
      <c r="B16" s="817" t="str">
        <f>IFERROR(VLOOKUP(A17,$F$10:$P$27,2,0),"")</f>
        <v/>
      </c>
      <c r="C16" s="818" t="str">
        <f>IFERROR(VLOOKUP(A17,$F$10:$P$27,3,0),"")</f>
        <v/>
      </c>
      <c r="D16" s="821"/>
      <c r="F16" s="827">
        <f>IF(P16&gt;0,MAX(F10:F15)+1,0)</f>
        <v>0</v>
      </c>
      <c r="G16" s="827" t="str">
        <f>Förderanlagen!A1</f>
        <v/>
      </c>
      <c r="H16" s="828" t="s">
        <v>74</v>
      </c>
      <c r="I16" s="828" t="s">
        <v>929</v>
      </c>
      <c r="J16" s="829">
        <f>Förderanlagen!F23</f>
        <v>0</v>
      </c>
      <c r="K16" s="828" t="s">
        <v>931</v>
      </c>
      <c r="L16" s="830">
        <f>Förderanlagen!H251+Förderanlagen!H249</f>
        <v>0</v>
      </c>
      <c r="M16" s="828" t="s">
        <v>930</v>
      </c>
      <c r="N16" s="830">
        <f>Förderanlagen!H253</f>
        <v>0</v>
      </c>
      <c r="O16" s="828" t="s">
        <v>832</v>
      </c>
      <c r="P16" s="830">
        <f t="shared" si="0"/>
        <v>0</v>
      </c>
    </row>
    <row r="17" spans="1:16" ht="15" customHeight="1" x14ac:dyDescent="0.3">
      <c r="A17" s="819">
        <v>2</v>
      </c>
      <c r="B17" s="815"/>
      <c r="C17" s="816" t="str">
        <f>IFERROR(VLOOKUP(A17,$F$10:$P$27,4,0),"")</f>
        <v/>
      </c>
      <c r="D17" s="813" t="str">
        <f>IFERROR(VLOOKUP($A$17,$F$10:$P$27,5,0),"")</f>
        <v/>
      </c>
      <c r="F17" s="827">
        <f>IF(P17&gt;0,MAX(F10:F16)+1,0)</f>
        <v>1</v>
      </c>
      <c r="G17" s="827" t="str">
        <f>'Nutzerspezifische Anlagen'!A1</f>
        <v>C.</v>
      </c>
      <c r="H17" s="828" t="s">
        <v>938</v>
      </c>
      <c r="I17" s="828" t="s">
        <v>929</v>
      </c>
      <c r="J17" s="829">
        <f>'Nutzerspezifische Anlagen'!F23</f>
        <v>0</v>
      </c>
      <c r="K17" s="828" t="s">
        <v>931</v>
      </c>
      <c r="L17" s="830">
        <f>'Nutzerspezifische Anlagen'!H249+'Nutzerspezifische Anlagen'!H251</f>
        <v>33789.782639999998</v>
      </c>
      <c r="M17" s="828" t="s">
        <v>930</v>
      </c>
      <c r="N17" s="830">
        <f>'Nutzerspezifische Anlagen'!H253</f>
        <v>0</v>
      </c>
      <c r="O17" s="828" t="s">
        <v>832</v>
      </c>
      <c r="P17" s="830">
        <f t="shared" si="0"/>
        <v>33789.782639999998</v>
      </c>
    </row>
    <row r="18" spans="1:16" ht="15" customHeight="1" x14ac:dyDescent="0.3">
      <c r="C18" s="816" t="str">
        <f>IFERROR(VLOOKUP(A17,$F$10:$P$27,6,0),"")</f>
        <v/>
      </c>
      <c r="D18" s="814" t="str">
        <f>IFERROR(VLOOKUP(A17,$F$10:$P$27,7,0),"")</f>
        <v/>
      </c>
      <c r="F18" s="827">
        <f>IF(P18&gt;0,MAX(F10:F17)+1,0)</f>
        <v>0</v>
      </c>
      <c r="G18" s="827" t="str">
        <f>Gebäudeautomation!A1</f>
        <v>D.</v>
      </c>
      <c r="H18" s="828" t="s">
        <v>939</v>
      </c>
      <c r="I18" s="828" t="s">
        <v>929</v>
      </c>
      <c r="J18" s="829">
        <f>Gebäudeautomation!F23</f>
        <v>0</v>
      </c>
      <c r="K18" s="828" t="s">
        <v>931</v>
      </c>
      <c r="L18" s="830">
        <f>Gebäudeautomation!H251+Gebäudeautomation!H249</f>
        <v>0</v>
      </c>
      <c r="M18" s="828" t="s">
        <v>930</v>
      </c>
      <c r="N18" s="830">
        <f>Gebäudeautomation!H253</f>
        <v>0</v>
      </c>
      <c r="O18" s="828" t="s">
        <v>832</v>
      </c>
      <c r="P18" s="830">
        <f t="shared" si="0"/>
        <v>0</v>
      </c>
    </row>
    <row r="19" spans="1:16" ht="15" customHeight="1" x14ac:dyDescent="0.3">
      <c r="C19" s="816" t="str">
        <f>IFERROR(VLOOKUP(A17,$F$10:$P$27,8,0),"")</f>
        <v/>
      </c>
      <c r="D19" s="814" t="str">
        <f>IFERROR(VLOOKUP(A17,$F$10:$P$27,9,0),"")</f>
        <v/>
      </c>
      <c r="F19" s="827">
        <f>IF(P19&gt;0,MAX(F10:F18)+1,0)</f>
        <v>0</v>
      </c>
      <c r="G19" s="827" t="str">
        <f>'Bauphysik - Wärmeschutz'!A1</f>
        <v>E.</v>
      </c>
      <c r="H19" s="828" t="s">
        <v>940</v>
      </c>
      <c r="I19" s="828" t="s">
        <v>929</v>
      </c>
      <c r="J19" s="829">
        <f>'Bauphysik - Wärmeschutz'!F21</f>
        <v>0</v>
      </c>
      <c r="K19" s="828" t="s">
        <v>931</v>
      </c>
      <c r="L19" s="829">
        <f>'Bauphysik - Wärmeschutz'!H120+'Bauphysik - Wärmeschutz'!H118</f>
        <v>0</v>
      </c>
      <c r="M19" s="828" t="s">
        <v>930</v>
      </c>
      <c r="N19" s="829">
        <f>'Bauphysik - Wärmeschutz'!H122</f>
        <v>0</v>
      </c>
      <c r="O19" s="828" t="s">
        <v>832</v>
      </c>
      <c r="P19" s="830">
        <f t="shared" si="0"/>
        <v>0</v>
      </c>
    </row>
    <row r="20" spans="1:16" ht="15" customHeight="1" x14ac:dyDescent="0.3">
      <c r="C20" s="816" t="str">
        <f>IFERROR(VLOOKUP(A17,$F$10:$P$27,10,0),"")</f>
        <v/>
      </c>
      <c r="D20" s="814" t="str">
        <f>IFERROR(VLOOKUP(A17,$F$10:$P$27,11,0),"")</f>
        <v/>
      </c>
      <c r="F20" s="827">
        <f>IF(P20&gt;0,MAX(F10:F19)+1,0)</f>
        <v>0</v>
      </c>
      <c r="G20" s="827" t="str">
        <f>'Bauphysik - Bauakustik'!A1</f>
        <v>F.</v>
      </c>
      <c r="H20" s="828" t="s">
        <v>82</v>
      </c>
      <c r="I20" s="828" t="s">
        <v>929</v>
      </c>
      <c r="J20" s="829">
        <f>'Bauphysik - Bauakustik'!F21</f>
        <v>0</v>
      </c>
      <c r="K20" s="828" t="s">
        <v>931</v>
      </c>
      <c r="L20" s="830">
        <f>'Bauphysik - Bauakustik'!H120+'Bauphysik - Bauakustik'!H118</f>
        <v>0</v>
      </c>
      <c r="M20" s="828" t="s">
        <v>930</v>
      </c>
      <c r="N20" s="830">
        <f>'Bauphysik - Bauakustik'!H122</f>
        <v>0</v>
      </c>
      <c r="O20" s="828" t="s">
        <v>832</v>
      </c>
      <c r="P20" s="830">
        <f t="shared" si="0"/>
        <v>0</v>
      </c>
    </row>
    <row r="21" spans="1:16" ht="15" customHeight="1" x14ac:dyDescent="0.3">
      <c r="F21" s="827">
        <f>IF(P21&gt;0,MAX(F10:F20)+1,0)</f>
        <v>0</v>
      </c>
      <c r="G21" s="827" t="str">
        <f>'Bauphysik - Raumakustik'!A1</f>
        <v>G.</v>
      </c>
      <c r="H21" s="828" t="s">
        <v>941</v>
      </c>
      <c r="I21" s="828" t="s">
        <v>929</v>
      </c>
      <c r="J21" s="829">
        <f>'Bauphysik - Raumakustik'!F21</f>
        <v>0</v>
      </c>
      <c r="K21" s="828" t="s">
        <v>931</v>
      </c>
      <c r="L21" s="830">
        <f>'Bauphysik - Raumakustik'!H118+'Bauphysik - Raumakustik'!H120</f>
        <v>0</v>
      </c>
      <c r="M21" s="828" t="s">
        <v>930</v>
      </c>
      <c r="N21" s="830">
        <f>'Bauphysik - Raumakustik'!H122</f>
        <v>0</v>
      </c>
      <c r="O21" s="828" t="s">
        <v>832</v>
      </c>
      <c r="P21" s="830">
        <f t="shared" si="0"/>
        <v>0</v>
      </c>
    </row>
    <row r="22" spans="1:16" ht="15" customHeight="1" x14ac:dyDescent="0.3">
      <c r="B22" s="817" t="str">
        <f>IFERROR(VLOOKUP(A23,$F$10:$P$27,2,0),"")</f>
        <v/>
      </c>
      <c r="C22" s="818" t="str">
        <f>IFERROR(VLOOKUP(A23,$F$10:$P$27,3,0),"")</f>
        <v/>
      </c>
      <c r="D22" s="821"/>
      <c r="F22" s="827">
        <f>IF(P22&gt;0,MAX(F10:F21)+1,0)</f>
        <v>0</v>
      </c>
      <c r="G22" s="827" t="str">
        <f>Tragwerksplanung!A1</f>
        <v>H.</v>
      </c>
      <c r="H22" s="828" t="s">
        <v>942</v>
      </c>
      <c r="I22" s="828" t="s">
        <v>929</v>
      </c>
      <c r="J22" s="829">
        <f>Tragwerksplanung!F23</f>
        <v>0</v>
      </c>
      <c r="K22" s="828" t="s">
        <v>931</v>
      </c>
      <c r="L22" s="830">
        <f>Tragwerksplanung!H148+Tragwerksplanung!H150</f>
        <v>0</v>
      </c>
      <c r="M22" s="828" t="s">
        <v>930</v>
      </c>
      <c r="N22" s="830">
        <f>Tragwerksplanung!H152</f>
        <v>0</v>
      </c>
      <c r="O22" s="828" t="s">
        <v>832</v>
      </c>
      <c r="P22" s="830">
        <f t="shared" si="0"/>
        <v>0</v>
      </c>
    </row>
    <row r="23" spans="1:16" ht="15" customHeight="1" x14ac:dyDescent="0.3">
      <c r="A23" s="819">
        <v>3</v>
      </c>
      <c r="B23" s="815"/>
      <c r="C23" s="816" t="str">
        <f>IFERROR(VLOOKUP(A23,$F$10:$P$27,4,0),"")</f>
        <v/>
      </c>
      <c r="D23" s="813" t="str">
        <f>IFERROR(VLOOKUP(A23,$F$10:$P$27,5,0),"")</f>
        <v/>
      </c>
      <c r="F23" s="827">
        <f>IF(P23&gt;0,MAX(F10:F22)+1,0)</f>
        <v>0</v>
      </c>
      <c r="G23" s="827" t="str">
        <f>Freianlagen!A1</f>
        <v/>
      </c>
      <c r="H23" s="828" t="s">
        <v>943</v>
      </c>
      <c r="I23" s="828" t="s">
        <v>929</v>
      </c>
      <c r="J23" s="829">
        <f>Freianlagen!F21</f>
        <v>0</v>
      </c>
      <c r="K23" s="828" t="s">
        <v>931</v>
      </c>
      <c r="L23" s="830">
        <f>Freianlagen!H222+Freianlagen!H224</f>
        <v>0</v>
      </c>
      <c r="M23" s="828" t="s">
        <v>930</v>
      </c>
      <c r="N23" s="830">
        <f>Freianlagen!H226</f>
        <v>0</v>
      </c>
      <c r="O23" s="828" t="s">
        <v>832</v>
      </c>
      <c r="P23" s="830">
        <f t="shared" si="0"/>
        <v>0</v>
      </c>
    </row>
    <row r="24" spans="1:16" ht="15" customHeight="1" x14ac:dyDescent="0.3">
      <c r="C24" s="816" t="str">
        <f>IFERROR(VLOOKUP(A23,$F$10:$P$27,6,0),"")</f>
        <v/>
      </c>
      <c r="D24" s="814" t="str">
        <f>IFERROR(VLOOKUP(A23,$F$10:$P$27,7,0),"")</f>
        <v/>
      </c>
      <c r="F24" s="827">
        <f>IF(P24&gt;0,MAX(F10:F23)+1,0)</f>
        <v>0</v>
      </c>
      <c r="G24" s="827" t="str">
        <f>Bebauungsplan!A1</f>
        <v/>
      </c>
      <c r="H24" s="828" t="s">
        <v>944</v>
      </c>
      <c r="I24" s="828" t="s">
        <v>929</v>
      </c>
      <c r="J24" s="829">
        <f>Bebauungsplan!F20</f>
        <v>0</v>
      </c>
      <c r="K24" s="828" t="s">
        <v>931</v>
      </c>
      <c r="L24" s="830">
        <f>Bebauungsplan!H98+Bebauungsplan!H100</f>
        <v>0</v>
      </c>
      <c r="M24" s="828" t="s">
        <v>930</v>
      </c>
      <c r="N24" s="830">
        <f>Bebauungsplan!H102</f>
        <v>0</v>
      </c>
      <c r="O24" s="828" t="s">
        <v>832</v>
      </c>
      <c r="P24" s="830">
        <f t="shared" si="0"/>
        <v>0</v>
      </c>
    </row>
    <row r="25" spans="1:16" ht="15" customHeight="1" x14ac:dyDescent="0.3">
      <c r="C25" s="816" t="str">
        <f>IFERROR(VLOOKUP(A23,$F$10:$P$27,8,0),"")</f>
        <v/>
      </c>
      <c r="D25" s="814" t="str">
        <f>IFERROR(VLOOKUP(A23,$F$10:$P$27,9,0),"")</f>
        <v/>
      </c>
      <c r="F25" s="827">
        <f>IF(P25&gt;0,MAX(F10:F24)+1,0)</f>
        <v>0</v>
      </c>
      <c r="G25" s="827" t="str">
        <f>'weitere Besondere Leistungen'!A1</f>
        <v>T.</v>
      </c>
      <c r="H25" s="828" t="s">
        <v>945</v>
      </c>
      <c r="M25" s="828" t="s">
        <v>930</v>
      </c>
      <c r="N25" s="830">
        <f>'weitere Besondere Leistungen'!H357</f>
        <v>0</v>
      </c>
      <c r="O25" s="828" t="s">
        <v>832</v>
      </c>
      <c r="P25" s="830">
        <f>I32+N25</f>
        <v>0</v>
      </c>
    </row>
    <row r="26" spans="1:16" ht="15" customHeight="1" x14ac:dyDescent="0.3">
      <c r="C26" s="816" t="str">
        <f>IFERROR(VLOOKUP(A23,$F$10:$P$27,10,0),"")</f>
        <v/>
      </c>
      <c r="D26" s="814" t="str">
        <f>IFERROR(VLOOKUP(A23,$F$10:$P$27,11,0),"")</f>
        <v/>
      </c>
      <c r="F26" s="827">
        <f>IF(P26&gt;0,MAX(F10:F25)+1,0)</f>
        <v>0</v>
      </c>
      <c r="G26" s="827" t="str">
        <f>'Besondere Leistungen GÜ-Berater'!A1</f>
        <v>T.</v>
      </c>
      <c r="H26" s="828" t="s">
        <v>95</v>
      </c>
      <c r="M26" s="828" t="s">
        <v>930</v>
      </c>
      <c r="N26" s="830">
        <f>'Besondere Leistungen GÜ-Berater'!H215</f>
        <v>0</v>
      </c>
      <c r="O26" s="828" t="s">
        <v>832</v>
      </c>
      <c r="P26" s="830">
        <f>I38+N26</f>
        <v>0</v>
      </c>
    </row>
    <row r="27" spans="1:16" ht="15" customHeight="1" x14ac:dyDescent="0.3">
      <c r="D27" s="820"/>
      <c r="F27" s="827">
        <f>IF(P27&gt;0,MAX(F10:F26)+1,0)</f>
        <v>0</v>
      </c>
      <c r="G27" s="827" t="str">
        <f>'Auftragsänderungen &amp; -ergänzung'!A1</f>
        <v/>
      </c>
      <c r="H27" s="828" t="s">
        <v>946</v>
      </c>
      <c r="I27" s="829"/>
      <c r="M27" s="828" t="s">
        <v>947</v>
      </c>
      <c r="N27" s="830">
        <f>'Auftragsänderungen &amp; -ergänzung'!H82</f>
        <v>0</v>
      </c>
      <c r="O27" s="828" t="s">
        <v>832</v>
      </c>
      <c r="P27" s="830">
        <f>I29+N27</f>
        <v>0</v>
      </c>
    </row>
    <row r="28" spans="1:16" ht="15" customHeight="1" x14ac:dyDescent="0.3">
      <c r="B28" s="817" t="str">
        <f>IFERROR(VLOOKUP(A29,$F$10:$P$27,2,0),"")</f>
        <v/>
      </c>
      <c r="C28" s="818" t="str">
        <f>IFERROR(VLOOKUP(A29,$F$10:$P$27,3,0),"")</f>
        <v/>
      </c>
      <c r="D28" s="821"/>
      <c r="H28" s="828"/>
      <c r="I28" s="829"/>
    </row>
    <row r="29" spans="1:16" ht="15" customHeight="1" x14ac:dyDescent="0.3">
      <c r="A29" s="819">
        <v>4</v>
      </c>
      <c r="B29" s="815"/>
      <c r="C29" s="816" t="str">
        <f>IFERROR(VLOOKUP(A29,$F$10:$P$27,4,0),"")</f>
        <v/>
      </c>
      <c r="D29" s="813" t="str">
        <f>IFERROR(VLOOKUP(A29,$F$10:$P$27,5,0),"")</f>
        <v/>
      </c>
      <c r="H29" s="828"/>
      <c r="I29" s="829"/>
    </row>
    <row r="30" spans="1:16" ht="15" customHeight="1" x14ac:dyDescent="0.3">
      <c r="C30" s="816" t="str">
        <f>IFERROR(VLOOKUP(A29,$F$10:$P$27,6,0),"")</f>
        <v/>
      </c>
      <c r="D30" s="814" t="str">
        <f>IFERROR(VLOOKUP(A29,$F$10:$P$27,7,0),"")</f>
        <v/>
      </c>
    </row>
    <row r="31" spans="1:16" ht="15" customHeight="1" x14ac:dyDescent="0.3">
      <c r="C31" s="816" t="str">
        <f>IFERROR(VLOOKUP(A29,$F$10:$P$27,8,0),"")</f>
        <v/>
      </c>
      <c r="D31" s="814" t="str">
        <f>IFERROR(VLOOKUP(A29,$F$10:$P$27,9,0),"")</f>
        <v/>
      </c>
    </row>
    <row r="32" spans="1:16" ht="15" customHeight="1" x14ac:dyDescent="0.3">
      <c r="C32" s="816" t="str">
        <f>IFERROR(VLOOKUP(A29,$F$10:$P$27,10,0),"")</f>
        <v/>
      </c>
      <c r="D32" s="814" t="str">
        <f>IFERROR(VLOOKUP(A29,$F$10:$P$27,11,0),"")</f>
        <v/>
      </c>
      <c r="H32" s="828"/>
      <c r="I32" s="829"/>
    </row>
    <row r="33" spans="1:9" ht="15" customHeight="1" x14ac:dyDescent="0.3"/>
    <row r="34" spans="1:9" ht="15" customHeight="1" x14ac:dyDescent="0.3">
      <c r="B34" s="817" t="str">
        <f>IFERROR(VLOOKUP(A35,$F$10:$P$27,2,0),"")</f>
        <v/>
      </c>
      <c r="C34" s="818" t="str">
        <f>IFERROR(VLOOKUP(A35,$F$10:$P$27,3,0),"")</f>
        <v/>
      </c>
      <c r="D34" s="821"/>
    </row>
    <row r="35" spans="1:9" ht="15" customHeight="1" x14ac:dyDescent="0.3">
      <c r="A35" s="819">
        <v>5</v>
      </c>
      <c r="B35" s="815"/>
      <c r="C35" s="816" t="str">
        <f>IFERROR(VLOOKUP(A35,$F$10:$P$27,4,0),"")</f>
        <v/>
      </c>
      <c r="D35" s="813" t="str">
        <f>IFERROR(VLOOKUP(A35,$F$10:$P$27,5,0),"")</f>
        <v/>
      </c>
      <c r="I35" s="829"/>
    </row>
    <row r="36" spans="1:9" ht="15" customHeight="1" x14ac:dyDescent="0.3">
      <c r="C36" s="816" t="str">
        <f>IFERROR(VLOOKUP(A35,$F$10:$P$27,6,0),"")</f>
        <v/>
      </c>
      <c r="D36" s="814" t="str">
        <f>IFERROR(VLOOKUP(A35,$F$10:$P$27,7,0),"")</f>
        <v/>
      </c>
      <c r="I36" s="829"/>
    </row>
    <row r="37" spans="1:9" ht="15" customHeight="1" x14ac:dyDescent="0.3">
      <c r="C37" s="816" t="str">
        <f>IFERROR(VLOOKUP(A35,$F$10:$P$27,8,0),"")</f>
        <v/>
      </c>
      <c r="D37" s="814" t="str">
        <f>IFERROR(VLOOKUP(A35,$F$10:$P$27,9,0),"")</f>
        <v/>
      </c>
      <c r="H37" s="828"/>
      <c r="I37" s="829"/>
    </row>
    <row r="38" spans="1:9" ht="15" customHeight="1" x14ac:dyDescent="0.3">
      <c r="C38" s="816" t="str">
        <f>IFERROR(VLOOKUP(A35,$F$10:$P$27,10,0),"")</f>
        <v/>
      </c>
      <c r="D38" s="814" t="str">
        <f>IFERROR(VLOOKUP(A35,$F$10:$P$27,11,0),"")</f>
        <v/>
      </c>
      <c r="H38" s="828"/>
      <c r="I38" s="829"/>
    </row>
    <row r="39" spans="1:9" ht="15" customHeight="1" x14ac:dyDescent="0.3"/>
    <row r="40" spans="1:9" ht="15" customHeight="1" x14ac:dyDescent="0.3">
      <c r="B40" s="817" t="str">
        <f>IFERROR(VLOOKUP(A41,$F$10:$P$27,2,0),"")</f>
        <v/>
      </c>
      <c r="C40" s="818" t="str">
        <f>IFERROR(VLOOKUP(A41,$F$10:$P$27,3,0),"")</f>
        <v/>
      </c>
      <c r="D40" s="821"/>
    </row>
    <row r="41" spans="1:9" ht="15" customHeight="1" x14ac:dyDescent="0.3">
      <c r="A41" s="819">
        <v>6</v>
      </c>
      <c r="B41" s="815"/>
      <c r="C41" s="816" t="str">
        <f>IFERROR(VLOOKUP(A41,$F$10:$P$27,4,0),"")</f>
        <v/>
      </c>
      <c r="D41" s="813" t="str">
        <f>IFERROR(VLOOKUP(A41,$F$10:$P$27,5,0),"")</f>
        <v/>
      </c>
      <c r="I41" s="829"/>
    </row>
    <row r="42" spans="1:9" ht="15" customHeight="1" x14ac:dyDescent="0.3">
      <c r="C42" s="816" t="str">
        <f>IFERROR(VLOOKUP(A41,$F$10:$P$27,6,0),"")</f>
        <v/>
      </c>
      <c r="D42" s="814" t="str">
        <f>IFERROR(VLOOKUP(A41,$F$10:$P$27,7,0),"")</f>
        <v/>
      </c>
    </row>
    <row r="43" spans="1:9" ht="15" customHeight="1" x14ac:dyDescent="0.3">
      <c r="C43" s="816" t="str">
        <f>IFERROR(VLOOKUP(A41,$F$10:$P$27,8,0),"")</f>
        <v/>
      </c>
      <c r="D43" s="814" t="str">
        <f>IFERROR(VLOOKUP(A41,$F$10:$P$27,9,0),"")</f>
        <v/>
      </c>
    </row>
    <row r="44" spans="1:9" ht="15" customHeight="1" x14ac:dyDescent="0.3">
      <c r="C44" s="816" t="str">
        <f>IFERROR(VLOOKUP(A41,$F$10:$P$27,10,0),"")</f>
        <v/>
      </c>
      <c r="D44" s="814" t="str">
        <f>IFERROR(VLOOKUP(A41,$F$10:$P$27,11,0),"")</f>
        <v/>
      </c>
    </row>
    <row r="45" spans="1:9" ht="15" customHeight="1" x14ac:dyDescent="0.3"/>
    <row r="46" spans="1:9" ht="15" customHeight="1" x14ac:dyDescent="0.3">
      <c r="B46" s="823" t="str">
        <f>IFERROR(VLOOKUP(A47,$F$10:$P$27,2,0),"")</f>
        <v/>
      </c>
      <c r="C46" s="822" t="str">
        <f>IFERROR(VLOOKUP(A47,$F$10:$P$27,3,0),"")</f>
        <v/>
      </c>
      <c r="D46" s="824"/>
    </row>
    <row r="47" spans="1:9" ht="15" customHeight="1" x14ac:dyDescent="0.3">
      <c r="A47" s="819">
        <v>7</v>
      </c>
      <c r="B47" s="815"/>
      <c r="C47" s="822" t="str">
        <f>IFERROR(VLOOKUP(A47,$F$10:$P$27,4,0),"")</f>
        <v/>
      </c>
      <c r="D47" s="825" t="str">
        <f>IFERROR(VLOOKUP(A47,$F$10:$P$27,5,0),"")</f>
        <v/>
      </c>
    </row>
    <row r="48" spans="1:9" ht="15" customHeight="1" x14ac:dyDescent="0.3">
      <c r="C48" s="822" t="str">
        <f>IFERROR(VLOOKUP(A47,$F$10:$P$27,6,0),"")</f>
        <v/>
      </c>
      <c r="D48" s="826" t="str">
        <f>IFERROR(VLOOKUP(A47,$F$10:$P$27,7,0),"")</f>
        <v/>
      </c>
      <c r="I48" s="829"/>
    </row>
    <row r="49" spans="1:4" ht="15" customHeight="1" x14ac:dyDescent="0.3">
      <c r="C49" s="822" t="str">
        <f>IFERROR(VLOOKUP(A47,$F$10:$P$27,8,0),"")</f>
        <v/>
      </c>
      <c r="D49" s="826" t="str">
        <f>IFERROR(VLOOKUP(A47,$F$10:$P$27,9,0),"")</f>
        <v/>
      </c>
    </row>
    <row r="50" spans="1:4" ht="15" customHeight="1" x14ac:dyDescent="0.3">
      <c r="C50" s="822" t="str">
        <f>IFERROR(VLOOKUP(A47,$F$10:$P$27,10,0),"")</f>
        <v/>
      </c>
      <c r="D50" s="826" t="str">
        <f>IFERROR(VLOOKUP(A47,$F$10:$P$27,11,0),"")</f>
        <v/>
      </c>
    </row>
    <row r="51" spans="1:4" ht="15" customHeight="1" x14ac:dyDescent="0.3"/>
    <row r="52" spans="1:4" ht="15" customHeight="1" x14ac:dyDescent="0.3">
      <c r="B52" s="823" t="str">
        <f>IFERROR(VLOOKUP(A53,$F$10:$P$27,2,0),"")</f>
        <v/>
      </c>
      <c r="C52" s="822" t="str">
        <f>IFERROR(VLOOKUP(A53,$F$10:$P$27,3,0),"")</f>
        <v/>
      </c>
      <c r="D52" s="824"/>
    </row>
    <row r="53" spans="1:4" ht="15" customHeight="1" x14ac:dyDescent="0.3">
      <c r="A53" s="819">
        <v>8</v>
      </c>
      <c r="B53" s="815"/>
      <c r="C53" s="822" t="str">
        <f>IFERROR(VLOOKUP(A53,$F$10:$P$27,4,0),"")</f>
        <v/>
      </c>
      <c r="D53" s="825" t="str">
        <f>IFERROR(VLOOKUP(A53,$F$10:$P$27,5,0),"")</f>
        <v/>
      </c>
    </row>
    <row r="54" spans="1:4" ht="15" customHeight="1" x14ac:dyDescent="0.3">
      <c r="C54" s="822" t="str">
        <f>IFERROR(VLOOKUP(A53,$F$10:$P$27,6,0),"")</f>
        <v/>
      </c>
      <c r="D54" s="826" t="str">
        <f>IFERROR(VLOOKUP(A53,$F$10:$P$27,7,0),"")</f>
        <v/>
      </c>
    </row>
    <row r="55" spans="1:4" ht="15" customHeight="1" x14ac:dyDescent="0.3">
      <c r="C55" s="822" t="str">
        <f>IFERROR(VLOOKUP(A53,$F$10:$P$27,8,0),"")</f>
        <v/>
      </c>
      <c r="D55" s="826" t="str">
        <f>IFERROR(VLOOKUP(A53,$F$10:$P$27,9,0),"")</f>
        <v/>
      </c>
    </row>
    <row r="56" spans="1:4" ht="15" customHeight="1" x14ac:dyDescent="0.3">
      <c r="C56" s="822" t="str">
        <f>IFERROR(VLOOKUP(A53,$F$10:$P$27,10,0),"")</f>
        <v/>
      </c>
      <c r="D56" s="826" t="str">
        <f>IFERROR(VLOOKUP(A53,$F$10:$P$27,11,0),"")</f>
        <v/>
      </c>
    </row>
    <row r="57" spans="1:4" ht="15" customHeight="1" x14ac:dyDescent="0.3"/>
    <row r="58" spans="1:4" ht="15" customHeight="1" x14ac:dyDescent="0.3">
      <c r="B58" s="823" t="str">
        <f>IFERROR(VLOOKUP(A59,$F$10:$P$27,2,0),"")</f>
        <v/>
      </c>
      <c r="C58" s="818" t="str">
        <f>IFERROR(VLOOKUP(A59,$F$10:$P$27,3,0),"")</f>
        <v/>
      </c>
      <c r="D58" s="821"/>
    </row>
    <row r="59" spans="1:4" ht="15" customHeight="1" x14ac:dyDescent="0.3">
      <c r="A59" s="819">
        <v>9</v>
      </c>
      <c r="B59" s="815"/>
      <c r="C59" s="816" t="str">
        <f>IFERROR(VLOOKUP(A59,$F$10:$P$27,4,0),"")</f>
        <v/>
      </c>
      <c r="D59" s="813" t="str">
        <f>IFERROR(VLOOKUP(A59,$F$10:$P$27,5,0),"")</f>
        <v/>
      </c>
    </row>
    <row r="60" spans="1:4" ht="15" customHeight="1" x14ac:dyDescent="0.3">
      <c r="C60" s="816" t="str">
        <f>IFERROR(VLOOKUP(A59,$F$10:$P$27,6,0),"")</f>
        <v/>
      </c>
      <c r="D60" s="814" t="str">
        <f>IFERROR(VLOOKUP(A59,$F$10:$P$27,7,0),"")</f>
        <v/>
      </c>
    </row>
    <row r="61" spans="1:4" ht="15" customHeight="1" x14ac:dyDescent="0.3">
      <c r="C61" s="816" t="str">
        <f>IFERROR(VLOOKUP(A59,$F$10:$P$27,8,0),"")</f>
        <v/>
      </c>
      <c r="D61" s="814" t="str">
        <f>IFERROR(VLOOKUP(A59,$F$10:$P$27,9,0),"")</f>
        <v/>
      </c>
    </row>
    <row r="62" spans="1:4" ht="15" customHeight="1" x14ac:dyDescent="0.3">
      <c r="C62" s="816" t="str">
        <f>IFERROR(VLOOKUP(A59,$F$10:$P$27,10,0),"")</f>
        <v/>
      </c>
      <c r="D62" s="814" t="str">
        <f>IFERROR(VLOOKUP(A59,$F$10:$P$27,11,0),"")</f>
        <v/>
      </c>
    </row>
    <row r="63" spans="1:4" ht="15" customHeight="1" x14ac:dyDescent="0.3"/>
    <row r="64" spans="1:4" ht="15" customHeight="1" x14ac:dyDescent="0.3">
      <c r="B64" s="823" t="str">
        <f>IFERROR(VLOOKUP(A65,$F$10:$P$27,2,0),"")</f>
        <v/>
      </c>
      <c r="C64" s="818" t="str">
        <f>IFERROR(VLOOKUP(A65,$F$10:$P$27,3,0),"")</f>
        <v/>
      </c>
      <c r="D64" s="821"/>
    </row>
    <row r="65" spans="1:4" ht="15" customHeight="1" x14ac:dyDescent="0.3">
      <c r="A65" s="819">
        <v>10</v>
      </c>
      <c r="B65" s="815"/>
      <c r="C65" s="816" t="str">
        <f>IFERROR(VLOOKUP(A65,$F$10:$P$27,4,0),"")</f>
        <v/>
      </c>
      <c r="D65" s="813" t="str">
        <f>IFERROR(VLOOKUP(A65,$F$10:$P$27,5,0),"")</f>
        <v/>
      </c>
    </row>
    <row r="66" spans="1:4" ht="15" customHeight="1" x14ac:dyDescent="0.3">
      <c r="C66" s="816" t="str">
        <f>IFERROR(VLOOKUP(A65,$F$10:$P$27,6,0),"")</f>
        <v/>
      </c>
      <c r="D66" s="814" t="str">
        <f>IFERROR(VLOOKUP(A65,$F$10:$P$27,7,0),"")</f>
        <v/>
      </c>
    </row>
    <row r="67" spans="1:4" ht="15" customHeight="1" x14ac:dyDescent="0.3">
      <c r="C67" s="816" t="str">
        <f>IFERROR(VLOOKUP(A65,$F$10:$P$27,8,0),"")</f>
        <v/>
      </c>
      <c r="D67" s="814" t="str">
        <f>IFERROR(VLOOKUP(A65,$F$10:$P$27,9,0),"")</f>
        <v/>
      </c>
    </row>
    <row r="68" spans="1:4" ht="15" customHeight="1" x14ac:dyDescent="0.3">
      <c r="C68" s="816" t="str">
        <f>IFERROR(VLOOKUP(A65,$F$10:$P$27,10,0),"")</f>
        <v/>
      </c>
      <c r="D68" s="814" t="str">
        <f>IFERROR(VLOOKUP(A65,$F$10:$P$27,11,0),"")</f>
        <v/>
      </c>
    </row>
    <row r="69" spans="1:4" ht="15" customHeight="1" x14ac:dyDescent="0.3"/>
    <row r="70" spans="1:4" ht="15" customHeight="1" x14ac:dyDescent="0.3">
      <c r="B70" s="823" t="str">
        <f>IFERROR(VLOOKUP(A71,$F$10:$P$27,2,0),"")</f>
        <v/>
      </c>
      <c r="C70" s="818" t="str">
        <f>IFERROR(VLOOKUP(A71,$F$10:$P$27,3,0),"")</f>
        <v/>
      </c>
      <c r="D70" s="821"/>
    </row>
    <row r="71" spans="1:4" ht="15" customHeight="1" x14ac:dyDescent="0.3">
      <c r="A71" s="819">
        <v>11</v>
      </c>
      <c r="B71" s="815"/>
      <c r="C71" s="816" t="str">
        <f>IFERROR(VLOOKUP(A71,$F$10:$P$27,4,0),"")</f>
        <v/>
      </c>
      <c r="D71" s="813" t="str">
        <f>IFERROR(VLOOKUP(A71,$F$10:$P$27,5,0),"")</f>
        <v/>
      </c>
    </row>
    <row r="72" spans="1:4" ht="15" customHeight="1" x14ac:dyDescent="0.3">
      <c r="C72" s="816" t="str">
        <f>IFERROR(VLOOKUP(A71,$F$10:$P$27,6,0),"")</f>
        <v/>
      </c>
      <c r="D72" s="814" t="str">
        <f>IFERROR(VLOOKUP(A71,$F$10:$P$27,7,0),"")</f>
        <v/>
      </c>
    </row>
    <row r="73" spans="1:4" ht="15" customHeight="1" x14ac:dyDescent="0.3">
      <c r="C73" s="816" t="str">
        <f>IFERROR(VLOOKUP(A71,$F$10:$P$27,8,0),"")</f>
        <v/>
      </c>
      <c r="D73" s="814" t="str">
        <f>IFERROR(VLOOKUP(A71,$F$10:$P$27,9,0),"")</f>
        <v/>
      </c>
    </row>
    <row r="74" spans="1:4" ht="15" customHeight="1" x14ac:dyDescent="0.3">
      <c r="C74" s="816" t="str">
        <f>IFERROR(VLOOKUP(A71,$F$10:$P$27,10,0),"")</f>
        <v/>
      </c>
      <c r="D74" s="814" t="str">
        <f>IFERROR(VLOOKUP(A71,$F$10:$P$27,11,0),"")</f>
        <v/>
      </c>
    </row>
    <row r="75" spans="1:4" ht="15" customHeight="1" x14ac:dyDescent="0.3"/>
    <row r="76" spans="1:4" ht="15" customHeight="1" x14ac:dyDescent="0.3">
      <c r="B76" s="823" t="str">
        <f>IFERROR(VLOOKUP(A77,$F$10:$P$27,2,0),"")</f>
        <v/>
      </c>
      <c r="C76" s="818" t="str">
        <f>IFERROR(VLOOKUP(A77,$F$10:$P$27,3,0),"")</f>
        <v/>
      </c>
      <c r="D76" s="821"/>
    </row>
    <row r="77" spans="1:4" ht="15" customHeight="1" x14ac:dyDescent="0.3">
      <c r="A77" s="819">
        <v>12</v>
      </c>
      <c r="B77" s="815"/>
      <c r="C77" s="816" t="str">
        <f>IFERROR(VLOOKUP(A77,$F$10:$P$27,4,0),"")</f>
        <v/>
      </c>
      <c r="D77" s="813" t="str">
        <f>IFERROR(VLOOKUP(A77,$F$10:$P$27,5,0),"")</f>
        <v/>
      </c>
    </row>
    <row r="78" spans="1:4" ht="15" customHeight="1" x14ac:dyDescent="0.3">
      <c r="C78" s="816" t="str">
        <f>IFERROR(VLOOKUP(A77,$F$10:$P$27,6,0),"")</f>
        <v/>
      </c>
      <c r="D78" s="814" t="str">
        <f>IFERROR(VLOOKUP(A77,$F$10:$P$27,7,0),"")</f>
        <v/>
      </c>
    </row>
    <row r="79" spans="1:4" ht="15" customHeight="1" x14ac:dyDescent="0.3">
      <c r="C79" s="816" t="str">
        <f>IFERROR(VLOOKUP(A77,$F$10:$P$27,8,0),"")</f>
        <v/>
      </c>
      <c r="D79" s="814" t="str">
        <f>IFERROR(VLOOKUP(A77,$F$10:$P$27,9,0),"")</f>
        <v/>
      </c>
    </row>
    <row r="80" spans="1:4" ht="15" customHeight="1" x14ac:dyDescent="0.3">
      <c r="C80" s="816" t="str">
        <f>IFERROR(VLOOKUP(A77,$F$10:$P$27,10,0),"")</f>
        <v/>
      </c>
      <c r="D80" s="814" t="str">
        <f>IFERROR(VLOOKUP(A77,$F$10:$P$27,11,0),"")</f>
        <v/>
      </c>
    </row>
    <row r="81" spans="1:4" ht="15" customHeight="1" x14ac:dyDescent="0.3"/>
    <row r="82" spans="1:4" ht="15" customHeight="1" x14ac:dyDescent="0.3">
      <c r="B82" s="823" t="str">
        <f>IFERROR(VLOOKUP(A83,$F$10:$P$27,2,0),"")</f>
        <v/>
      </c>
      <c r="C82" s="818" t="str">
        <f>IFERROR(VLOOKUP(A83,$F$10:$P$27,3,0),"")</f>
        <v/>
      </c>
      <c r="D82" s="821"/>
    </row>
    <row r="83" spans="1:4" ht="15" customHeight="1" x14ac:dyDescent="0.3">
      <c r="A83" s="819">
        <v>13</v>
      </c>
      <c r="B83" s="815"/>
      <c r="C83" s="816" t="str">
        <f>IFERROR(VLOOKUP(A83,$F$10:$P$27,4,0),"")</f>
        <v/>
      </c>
      <c r="D83" s="813" t="str">
        <f>IFERROR(VLOOKUP(A83,$F$10:$P$27,5,0),"")</f>
        <v/>
      </c>
    </row>
    <row r="84" spans="1:4" ht="15" customHeight="1" x14ac:dyDescent="0.3">
      <c r="C84" s="816" t="str">
        <f>IFERROR(VLOOKUP(A83,$F$10:$P$27,6,0),"")</f>
        <v/>
      </c>
      <c r="D84" s="814" t="str">
        <f>IFERROR(VLOOKUP(A83,$F$10:$P$27,7,0),"")</f>
        <v/>
      </c>
    </row>
    <row r="85" spans="1:4" ht="15" customHeight="1" x14ac:dyDescent="0.3">
      <c r="C85" s="816" t="str">
        <f>IFERROR(VLOOKUP(A83,$F$10:$P$27,8,0),"")</f>
        <v/>
      </c>
      <c r="D85" s="814" t="str">
        <f>IFERROR(VLOOKUP(A83,$F$10:$P$27,9,0),"")</f>
        <v/>
      </c>
    </row>
    <row r="86" spans="1:4" ht="15" customHeight="1" x14ac:dyDescent="0.3">
      <c r="C86" s="816" t="str">
        <f>IFERROR(VLOOKUP(A83,$F$10:$P$27,10,0),"")</f>
        <v/>
      </c>
      <c r="D86" s="814" t="str">
        <f>IFERROR(VLOOKUP(A83,$F$10:$P$27,11,0),"")</f>
        <v/>
      </c>
    </row>
    <row r="87" spans="1:4" ht="15" customHeight="1" x14ac:dyDescent="0.3"/>
    <row r="88" spans="1:4" ht="15" customHeight="1" x14ac:dyDescent="0.3">
      <c r="B88" s="823" t="str">
        <f>IFERROR(VLOOKUP(A89,$F$10:$P$27,2,0),"")</f>
        <v/>
      </c>
      <c r="C88" s="818" t="str">
        <f>IFERROR(VLOOKUP(A89,$F$10:$P$27,3,0),"")</f>
        <v/>
      </c>
      <c r="D88" s="821"/>
    </row>
    <row r="89" spans="1:4" ht="15" customHeight="1" x14ac:dyDescent="0.3">
      <c r="A89" s="819">
        <v>14</v>
      </c>
      <c r="B89" s="815"/>
      <c r="C89" s="816" t="str">
        <f>IFERROR(VLOOKUP(A89,$F$10:$P$27,4,0),"")</f>
        <v/>
      </c>
      <c r="D89" s="813" t="str">
        <f>IFERROR(VLOOKUP(A89,$F$10:$P$27,5,0),"")</f>
        <v/>
      </c>
    </row>
    <row r="90" spans="1:4" ht="15" customHeight="1" x14ac:dyDescent="0.3">
      <c r="C90" s="816" t="str">
        <f>IFERROR(VLOOKUP(A89,$F$10:$P$27,6,0),"")</f>
        <v/>
      </c>
      <c r="D90" s="814" t="str">
        <f>IFERROR(VLOOKUP(A89,$F$10:$P$27,7,0),"")</f>
        <v/>
      </c>
    </row>
    <row r="91" spans="1:4" ht="15" customHeight="1" x14ac:dyDescent="0.3">
      <c r="C91" s="816" t="str">
        <f>IFERROR(VLOOKUP(A89,$F$10:$P$27,8,0),"")</f>
        <v/>
      </c>
      <c r="D91" s="814" t="str">
        <f>IFERROR(VLOOKUP(A89,$F$10:$P$27,9,0),"")</f>
        <v/>
      </c>
    </row>
    <row r="92" spans="1:4" ht="15" customHeight="1" x14ac:dyDescent="0.3">
      <c r="C92" s="816" t="str">
        <f>IFERROR(VLOOKUP(A89,$F$10:$P$27,10,0),"")</f>
        <v/>
      </c>
      <c r="D92" s="814" t="str">
        <f>IFERROR(VLOOKUP(A89,$F$10:$P$27,11,0),"")</f>
        <v/>
      </c>
    </row>
    <row r="93" spans="1:4" ht="15" customHeight="1" x14ac:dyDescent="0.3"/>
    <row r="94" spans="1:4" ht="15" customHeight="1" x14ac:dyDescent="0.3">
      <c r="B94" s="823" t="str">
        <f>IFERROR(VLOOKUP(A95,$F$10:$P$27,2,0),"")</f>
        <v/>
      </c>
      <c r="C94" s="818" t="str">
        <f>IFERROR(VLOOKUP(A95,$F$10:$P$27,3,0),"")</f>
        <v/>
      </c>
      <c r="D94" s="821"/>
    </row>
    <row r="95" spans="1:4" ht="15" customHeight="1" x14ac:dyDescent="0.3">
      <c r="A95" s="819">
        <v>15</v>
      </c>
      <c r="B95" s="815"/>
      <c r="C95" s="816" t="str">
        <f>IFERROR(VLOOKUP(A95,$F$10:$P$27,4,0),"")</f>
        <v/>
      </c>
      <c r="D95" s="813" t="str">
        <f>IFERROR(VLOOKUP(A95,$F$10:$P$27,5,0),"")</f>
        <v/>
      </c>
    </row>
    <row r="96" spans="1:4" ht="15" customHeight="1" x14ac:dyDescent="0.3">
      <c r="C96" s="816" t="str">
        <f>IFERROR(VLOOKUP(A95,$F$10:$P$27,6,0),"")</f>
        <v/>
      </c>
      <c r="D96" s="814" t="str">
        <f>IFERROR(VLOOKUP(A95,$F$10:$P$27,7,0),"")</f>
        <v/>
      </c>
    </row>
    <row r="97" spans="1:4" ht="15" customHeight="1" x14ac:dyDescent="0.3">
      <c r="C97" s="816" t="str">
        <f>IFERROR(VLOOKUP(A95,$F$10:$P$27,8,0),"")</f>
        <v/>
      </c>
      <c r="D97" s="814" t="str">
        <f>IFERROR(VLOOKUP(A95,$F$10:$P$27,9,0),"")</f>
        <v/>
      </c>
    </row>
    <row r="98" spans="1:4" ht="15" customHeight="1" x14ac:dyDescent="0.3">
      <c r="C98" s="816" t="str">
        <f>IFERROR(VLOOKUP(A95,$F$10:$P$27,10,0),"")</f>
        <v/>
      </c>
      <c r="D98" s="814" t="str">
        <f>IFERROR(VLOOKUP(A95,$F$10:$P$27,11,0),"")</f>
        <v/>
      </c>
    </row>
    <row r="99" spans="1:4" ht="15" customHeight="1" x14ac:dyDescent="0.3"/>
    <row r="100" spans="1:4" ht="15" customHeight="1" x14ac:dyDescent="0.3">
      <c r="B100" s="823" t="str">
        <f>IFERROR(VLOOKUP(A101,$F$10:$P$27,2,0),"")</f>
        <v/>
      </c>
      <c r="C100" s="818" t="str">
        <f>IFERROR(VLOOKUP(A101,$F$10:$P$27,3,0),"")</f>
        <v/>
      </c>
      <c r="D100" s="821"/>
    </row>
    <row r="101" spans="1:4" ht="15" customHeight="1" x14ac:dyDescent="0.3">
      <c r="A101" s="819">
        <v>16</v>
      </c>
      <c r="B101" s="815"/>
      <c r="C101" s="816" t="str">
        <f>IFERROR(VLOOKUP(A101,$F$10:$P$27,4,0),"")</f>
        <v/>
      </c>
      <c r="D101" s="813" t="str">
        <f>IFERROR(VLOOKUP(A101,$F$10:$P$27,5,0),"")</f>
        <v/>
      </c>
    </row>
    <row r="102" spans="1:4" ht="15" customHeight="1" x14ac:dyDescent="0.3">
      <c r="C102" s="816" t="str">
        <f>IFERROR(VLOOKUP(A101,$F$10:$P$27,6,0),"")</f>
        <v/>
      </c>
      <c r="D102" s="814" t="str">
        <f>IFERROR(VLOOKUP(A101,$F$10:$P$27,7,0),"")</f>
        <v/>
      </c>
    </row>
    <row r="103" spans="1:4" ht="15" customHeight="1" x14ac:dyDescent="0.3">
      <c r="C103" s="816" t="str">
        <f>IFERROR(VLOOKUP(A101,$F$10:$P$27,8,0),"")</f>
        <v/>
      </c>
      <c r="D103" s="814" t="str">
        <f>IFERROR(VLOOKUP(A101,$F$10:$P$27,9,0),"")</f>
        <v/>
      </c>
    </row>
    <row r="104" spans="1:4" ht="15" customHeight="1" x14ac:dyDescent="0.3">
      <c r="C104" s="816" t="str">
        <f>IFERROR(VLOOKUP(A101,$F$10:$P$27,10,0),"")</f>
        <v/>
      </c>
      <c r="D104" s="814" t="str">
        <f>IFERROR(VLOOKUP(A101,$F$10:$P$27,11,0),"")</f>
        <v/>
      </c>
    </row>
    <row r="105" spans="1:4" ht="15" customHeight="1" x14ac:dyDescent="0.3"/>
    <row r="106" spans="1:4" ht="15" customHeight="1" x14ac:dyDescent="0.3">
      <c r="B106" s="823" t="str">
        <f>IFERROR(VLOOKUP(A107,$F$10:$P$27,2,0),"")</f>
        <v/>
      </c>
      <c r="C106" s="818" t="str">
        <f>IFERROR(VLOOKUP(A107,$F$10:$P$27,3,0),"")</f>
        <v/>
      </c>
      <c r="D106" s="821"/>
    </row>
    <row r="107" spans="1:4" ht="15" customHeight="1" x14ac:dyDescent="0.3">
      <c r="A107" s="819">
        <v>17</v>
      </c>
      <c r="B107" s="815"/>
      <c r="C107" s="816" t="str">
        <f>IFERROR(VLOOKUP(A107,$F$10:$P$27,4,0),"")</f>
        <v/>
      </c>
      <c r="D107" s="813" t="str">
        <f>IFERROR(VLOOKUP(A107,$F$10:$P$27,5,0),"")</f>
        <v/>
      </c>
    </row>
    <row r="108" spans="1:4" ht="15" customHeight="1" x14ac:dyDescent="0.3">
      <c r="C108" s="816" t="str">
        <f>IFERROR(VLOOKUP(A107,$F$10:$P$27,6,0),"")</f>
        <v/>
      </c>
      <c r="D108" s="814" t="str">
        <f>IFERROR(VLOOKUP(A107,$F$10:$P$27,7,0),"")</f>
        <v/>
      </c>
    </row>
    <row r="109" spans="1:4" ht="15" customHeight="1" x14ac:dyDescent="0.3">
      <c r="C109" s="816" t="str">
        <f>IFERROR(VLOOKUP(A107,$F$10:$P$27,8,0),"")</f>
        <v/>
      </c>
      <c r="D109" s="814" t="str">
        <f>IFERROR(VLOOKUP(A107,$F$10:$P$27,9,0),"")</f>
        <v/>
      </c>
    </row>
    <row r="110" spans="1:4" ht="15" customHeight="1" x14ac:dyDescent="0.3">
      <c r="C110" s="816" t="str">
        <f>IFERROR(VLOOKUP(A107,$F$10:$P$27,10,0),"")</f>
        <v/>
      </c>
      <c r="D110" s="814" t="str">
        <f>IFERROR(VLOOKUP(A107,$F$10:$P$27,11,0),"")</f>
        <v/>
      </c>
    </row>
    <row r="111" spans="1:4" ht="15" customHeight="1" x14ac:dyDescent="0.3"/>
    <row r="112" spans="1:4" ht="15" customHeight="1" x14ac:dyDescent="0.3">
      <c r="B112" s="823" t="str">
        <f>IFERROR(VLOOKUP(A113,$F$10:$P$27,2,0),"")</f>
        <v/>
      </c>
      <c r="C112" s="818" t="str">
        <f>IFERROR(VLOOKUP(A113,$F$10:$P$27,3,0),"")</f>
        <v/>
      </c>
      <c r="D112" s="821"/>
    </row>
    <row r="113" spans="1:9" ht="15" customHeight="1" x14ac:dyDescent="0.3">
      <c r="A113" s="819">
        <v>18</v>
      </c>
      <c r="B113" s="815"/>
      <c r="C113" s="816" t="str">
        <f>IFERROR(VLOOKUP(A113,$F$10:$P$27,4,0),"")</f>
        <v/>
      </c>
      <c r="D113" s="813" t="str">
        <f>IFERROR(VLOOKUP(A113,$F$10:$P$27,5,0),"")</f>
        <v/>
      </c>
    </row>
    <row r="114" spans="1:9" ht="15" customHeight="1" x14ac:dyDescent="0.3">
      <c r="C114" s="816" t="str">
        <f>IFERROR(VLOOKUP(A113,$F$10:$P$27,6,0),"")</f>
        <v/>
      </c>
      <c r="D114" s="814" t="str">
        <f>IFERROR(VLOOKUP(A113,$F$10:$P$27,7,0),"")</f>
        <v/>
      </c>
    </row>
    <row r="115" spans="1:9" ht="15" customHeight="1" x14ac:dyDescent="0.3">
      <c r="C115" s="816" t="str">
        <f>IFERROR(VLOOKUP(A113,$F$10:$P$27,8,0),"")</f>
        <v/>
      </c>
      <c r="D115" s="814" t="str">
        <f>IFERROR(VLOOKUP(A113,$F$10:$P$27,9,0),"")</f>
        <v/>
      </c>
    </row>
    <row r="116" spans="1:9" ht="15" customHeight="1" x14ac:dyDescent="0.3">
      <c r="C116" s="816" t="str">
        <f>IFERROR(VLOOKUP(A113,$F$10:$P$27,10,0),"")</f>
        <v/>
      </c>
      <c r="D116" s="814" t="str">
        <f>IFERROR(VLOOKUP(A113,$F$10:$P$27,11,0),"")</f>
        <v/>
      </c>
    </row>
    <row r="117" spans="1:9" ht="15" customHeight="1" x14ac:dyDescent="0.3">
      <c r="I117" s="829"/>
    </row>
    <row r="118" spans="1:9" ht="15" customHeight="1" x14ac:dyDescent="0.3">
      <c r="I118" s="829"/>
    </row>
    <row r="119" spans="1:9" ht="15" customHeight="1" x14ac:dyDescent="0.3">
      <c r="I119" s="829"/>
    </row>
    <row r="120" spans="1:9" ht="15" customHeight="1" x14ac:dyDescent="0.3">
      <c r="I120" s="829"/>
    </row>
    <row r="121" spans="1:9" ht="15" customHeight="1" x14ac:dyDescent="0.3">
      <c r="I121" s="829"/>
    </row>
    <row r="122" spans="1:9" ht="15" customHeight="1" x14ac:dyDescent="0.3">
      <c r="I122" s="829"/>
    </row>
    <row r="123" spans="1:9" ht="15" customHeight="1" x14ac:dyDescent="0.3">
      <c r="I123" s="829"/>
    </row>
    <row r="124" spans="1:9" ht="15" customHeight="1" x14ac:dyDescent="0.3">
      <c r="I124" s="829"/>
    </row>
    <row r="125" spans="1:9" ht="15" customHeight="1" x14ac:dyDescent="0.3">
      <c r="I125" s="829"/>
    </row>
    <row r="126" spans="1:9" ht="15" customHeight="1" x14ac:dyDescent="0.3">
      <c r="I126" s="829"/>
    </row>
    <row r="127" spans="1:9" ht="15" customHeight="1" x14ac:dyDescent="0.3">
      <c r="I127" s="829"/>
    </row>
    <row r="128" spans="1:9" ht="15" customHeight="1" x14ac:dyDescent="0.3">
      <c r="I128" s="829"/>
    </row>
    <row r="129" spans="9:9" ht="15" customHeight="1" x14ac:dyDescent="0.3">
      <c r="I129" s="829"/>
    </row>
    <row r="130" spans="9:9" ht="15" customHeight="1" x14ac:dyDescent="0.3">
      <c r="I130" s="829"/>
    </row>
    <row r="131" spans="9:9" ht="15" customHeight="1" x14ac:dyDescent="0.3">
      <c r="I131" s="829"/>
    </row>
    <row r="132" spans="9:9" ht="15" customHeight="1" x14ac:dyDescent="0.3">
      <c r="I132" s="829"/>
    </row>
    <row r="133" spans="9:9" ht="15" customHeight="1" x14ac:dyDescent="0.3">
      <c r="I133" s="829"/>
    </row>
    <row r="134" spans="9:9" ht="15" customHeight="1" x14ac:dyDescent="0.3">
      <c r="I134" s="829"/>
    </row>
    <row r="135" spans="9:9" ht="15" customHeight="1" x14ac:dyDescent="0.3">
      <c r="I135" s="829"/>
    </row>
    <row r="136" spans="9:9" ht="15" customHeight="1" x14ac:dyDescent="0.3">
      <c r="I136" s="829"/>
    </row>
    <row r="137" spans="9:9" ht="15" customHeight="1" x14ac:dyDescent="0.3">
      <c r="I137" s="829"/>
    </row>
    <row r="138" spans="9:9" ht="15" customHeight="1" x14ac:dyDescent="0.3">
      <c r="I138" s="829"/>
    </row>
    <row r="139" spans="9:9" ht="15" customHeight="1" x14ac:dyDescent="0.3">
      <c r="I139" s="829"/>
    </row>
    <row r="140" spans="9:9" ht="15" customHeight="1" x14ac:dyDescent="0.3">
      <c r="I140" s="829"/>
    </row>
    <row r="141" spans="9:9" ht="15" customHeight="1" x14ac:dyDescent="0.3">
      <c r="I141" s="829"/>
    </row>
    <row r="142" spans="9:9" ht="15" customHeight="1" x14ac:dyDescent="0.3">
      <c r="I142" s="829"/>
    </row>
    <row r="143" spans="9:9" ht="15" customHeight="1" x14ac:dyDescent="0.3">
      <c r="I143" s="829"/>
    </row>
    <row r="144" spans="9:9" ht="15" customHeight="1" x14ac:dyDescent="0.3">
      <c r="I144" s="829"/>
    </row>
    <row r="145" spans="9:9" ht="15" customHeight="1" x14ac:dyDescent="0.3">
      <c r="I145" s="829"/>
    </row>
    <row r="146" spans="9:9" ht="15" customHeight="1" x14ac:dyDescent="0.3">
      <c r="I146" s="829"/>
    </row>
    <row r="147" spans="9:9" ht="15" customHeight="1" x14ac:dyDescent="0.3">
      <c r="I147" s="829"/>
    </row>
    <row r="148" spans="9:9" ht="15" customHeight="1" x14ac:dyDescent="0.3">
      <c r="I148" s="829"/>
    </row>
    <row r="149" spans="9:9" ht="15" customHeight="1" x14ac:dyDescent="0.3">
      <c r="I149" s="829"/>
    </row>
    <row r="150" spans="9:9" ht="15" customHeight="1" x14ac:dyDescent="0.3">
      <c r="I150" s="829"/>
    </row>
    <row r="151" spans="9:9" ht="15" customHeight="1" x14ac:dyDescent="0.3">
      <c r="I151" s="829"/>
    </row>
    <row r="152" spans="9:9" ht="15" customHeight="1" x14ac:dyDescent="0.3">
      <c r="I152" s="829"/>
    </row>
    <row r="153" spans="9:9" ht="15" customHeight="1" x14ac:dyDescent="0.3">
      <c r="I153" s="829"/>
    </row>
    <row r="154" spans="9:9" ht="15" customHeight="1" x14ac:dyDescent="0.3">
      <c r="I154" s="829"/>
    </row>
    <row r="155" spans="9:9" ht="15" customHeight="1" x14ac:dyDescent="0.3">
      <c r="I155" s="829"/>
    </row>
    <row r="156" spans="9:9" ht="15" customHeight="1" x14ac:dyDescent="0.3">
      <c r="I156" s="829"/>
    </row>
    <row r="157" spans="9:9" ht="15" customHeight="1" x14ac:dyDescent="0.3">
      <c r="I157" s="829"/>
    </row>
    <row r="158" spans="9:9" ht="15" customHeight="1" x14ac:dyDescent="0.3">
      <c r="I158" s="829"/>
    </row>
    <row r="159" spans="9:9" ht="15" customHeight="1" x14ac:dyDescent="0.3">
      <c r="I159" s="829"/>
    </row>
    <row r="160" spans="9:9" ht="15" customHeight="1" x14ac:dyDescent="0.3">
      <c r="I160" s="829"/>
    </row>
    <row r="161" spans="9:9" ht="15" customHeight="1" x14ac:dyDescent="0.3">
      <c r="I161" s="829"/>
    </row>
    <row r="162" spans="9:9" ht="15" customHeight="1" x14ac:dyDescent="0.3">
      <c r="I162" s="829"/>
    </row>
    <row r="163" spans="9:9" ht="15" customHeight="1" x14ac:dyDescent="0.3">
      <c r="I163" s="829"/>
    </row>
    <row r="164" spans="9:9" ht="15" customHeight="1" x14ac:dyDescent="0.3">
      <c r="I164" s="829"/>
    </row>
    <row r="165" spans="9:9" ht="15" customHeight="1" x14ac:dyDescent="0.3">
      <c r="I165" s="829"/>
    </row>
    <row r="166" spans="9:9" ht="15" customHeight="1" x14ac:dyDescent="0.3">
      <c r="I166" s="829"/>
    </row>
    <row r="167" spans="9:9" ht="15" customHeight="1" x14ac:dyDescent="0.3">
      <c r="I167" s="829"/>
    </row>
    <row r="168" spans="9:9" ht="15" customHeight="1" x14ac:dyDescent="0.3">
      <c r="I168" s="829"/>
    </row>
    <row r="169" spans="9:9" ht="15" customHeight="1" x14ac:dyDescent="0.3">
      <c r="I169" s="829"/>
    </row>
    <row r="170" spans="9:9" ht="15" customHeight="1" x14ac:dyDescent="0.3">
      <c r="I170" s="829"/>
    </row>
    <row r="171" spans="9:9" ht="15" customHeight="1" x14ac:dyDescent="0.3">
      <c r="I171" s="829"/>
    </row>
    <row r="172" spans="9:9" ht="15" customHeight="1" x14ac:dyDescent="0.3">
      <c r="I172" s="829"/>
    </row>
    <row r="173" spans="9:9" ht="15" customHeight="1" x14ac:dyDescent="0.3">
      <c r="I173" s="829"/>
    </row>
    <row r="174" spans="9:9" ht="15" customHeight="1" x14ac:dyDescent="0.3">
      <c r="I174" s="829"/>
    </row>
    <row r="175" spans="9:9" ht="15" customHeight="1" x14ac:dyDescent="0.3">
      <c r="I175" s="829"/>
    </row>
    <row r="176" spans="9:9" ht="15" customHeight="1" x14ac:dyDescent="0.3">
      <c r="I176" s="829"/>
    </row>
    <row r="177" spans="9:9" ht="15" customHeight="1" x14ac:dyDescent="0.3">
      <c r="I177" s="829"/>
    </row>
    <row r="178" spans="9:9" ht="15" customHeight="1" x14ac:dyDescent="0.3">
      <c r="I178" s="829"/>
    </row>
    <row r="179" spans="9:9" ht="15" customHeight="1" x14ac:dyDescent="0.3">
      <c r="I179" s="829"/>
    </row>
    <row r="180" spans="9:9" ht="15" customHeight="1" x14ac:dyDescent="0.3">
      <c r="I180" s="829"/>
    </row>
    <row r="181" spans="9:9" ht="15" customHeight="1" x14ac:dyDescent="0.3">
      <c r="I181" s="829"/>
    </row>
    <row r="182" spans="9:9" ht="15" customHeight="1" x14ac:dyDescent="0.3">
      <c r="I182" s="829"/>
    </row>
    <row r="183" spans="9:9" ht="15" customHeight="1" x14ac:dyDescent="0.3">
      <c r="I183" s="829"/>
    </row>
    <row r="184" spans="9:9" ht="15" customHeight="1" x14ac:dyDescent="0.3">
      <c r="I184" s="829"/>
    </row>
    <row r="185" spans="9:9" ht="15" customHeight="1" x14ac:dyDescent="0.3">
      <c r="I185" s="829"/>
    </row>
    <row r="186" spans="9:9" ht="15" customHeight="1" x14ac:dyDescent="0.3">
      <c r="I186" s="829"/>
    </row>
    <row r="187" spans="9:9" ht="15" customHeight="1" x14ac:dyDescent="0.3">
      <c r="I187" s="829"/>
    </row>
    <row r="188" spans="9:9" ht="15" customHeight="1" x14ac:dyDescent="0.3">
      <c r="I188" s="829"/>
    </row>
    <row r="189" spans="9:9" ht="15" customHeight="1" x14ac:dyDescent="0.3">
      <c r="I189" s="829"/>
    </row>
    <row r="190" spans="9:9" ht="15" customHeight="1" x14ac:dyDescent="0.3">
      <c r="I190" s="829"/>
    </row>
    <row r="191" spans="9:9" ht="15" customHeight="1" x14ac:dyDescent="0.3">
      <c r="I191" s="829"/>
    </row>
    <row r="192" spans="9:9" ht="15" customHeight="1" x14ac:dyDescent="0.3">
      <c r="I192" s="829"/>
    </row>
    <row r="193" spans="9:9" ht="15" customHeight="1" x14ac:dyDescent="0.3">
      <c r="I193" s="829"/>
    </row>
    <row r="194" spans="9:9" ht="15" customHeight="1" x14ac:dyDescent="0.3">
      <c r="I194" s="829"/>
    </row>
    <row r="195" spans="9:9" ht="15" customHeight="1" x14ac:dyDescent="0.3">
      <c r="I195" s="829"/>
    </row>
    <row r="196" spans="9:9" ht="15" customHeight="1" x14ac:dyDescent="0.3">
      <c r="I196" s="829"/>
    </row>
    <row r="197" spans="9:9" ht="15" customHeight="1" x14ac:dyDescent="0.3">
      <c r="I197" s="829"/>
    </row>
    <row r="198" spans="9:9" ht="15" customHeight="1" x14ac:dyDescent="0.3">
      <c r="I198" s="829"/>
    </row>
    <row r="199" spans="9:9" ht="15" customHeight="1" x14ac:dyDescent="0.3">
      <c r="I199" s="829"/>
    </row>
    <row r="200" spans="9:9" ht="15" customHeight="1" x14ac:dyDescent="0.3">
      <c r="I200" s="829"/>
    </row>
    <row r="201" spans="9:9" ht="15" customHeight="1" x14ac:dyDescent="0.3">
      <c r="I201" s="829"/>
    </row>
    <row r="202" spans="9:9" ht="15" customHeight="1" x14ac:dyDescent="0.3">
      <c r="I202" s="829"/>
    </row>
    <row r="203" spans="9:9" ht="15" customHeight="1" x14ac:dyDescent="0.3">
      <c r="I203" s="829"/>
    </row>
    <row r="204" spans="9:9" ht="15" customHeight="1" x14ac:dyDescent="0.3">
      <c r="I204" s="829"/>
    </row>
    <row r="205" spans="9:9" ht="15" customHeight="1" x14ac:dyDescent="0.3">
      <c r="I205" s="829"/>
    </row>
    <row r="206" spans="9:9" ht="15" customHeight="1" x14ac:dyDescent="0.3">
      <c r="I206" s="829"/>
    </row>
    <row r="207" spans="9:9" ht="15" customHeight="1" x14ac:dyDescent="0.3">
      <c r="I207" s="829"/>
    </row>
    <row r="208" spans="9:9" ht="15" customHeight="1" x14ac:dyDescent="0.3">
      <c r="I208" s="829"/>
    </row>
    <row r="209" spans="9:9" ht="15" customHeight="1" x14ac:dyDescent="0.3">
      <c r="I209" s="829"/>
    </row>
    <row r="210" spans="9:9" ht="15" customHeight="1" x14ac:dyDescent="0.3">
      <c r="I210" s="829"/>
    </row>
    <row r="211" spans="9:9" ht="15" customHeight="1" x14ac:dyDescent="0.3">
      <c r="I211" s="829"/>
    </row>
    <row r="212" spans="9:9" ht="15" customHeight="1" x14ac:dyDescent="0.3">
      <c r="I212" s="829"/>
    </row>
    <row r="213" spans="9:9" ht="15" customHeight="1" x14ac:dyDescent="0.3">
      <c r="I213" s="829"/>
    </row>
    <row r="214" spans="9:9" ht="15" customHeight="1" x14ac:dyDescent="0.3">
      <c r="I214" s="829"/>
    </row>
    <row r="215" spans="9:9" ht="15" customHeight="1" x14ac:dyDescent="0.3">
      <c r="I215" s="829"/>
    </row>
    <row r="216" spans="9:9" ht="15" customHeight="1" x14ac:dyDescent="0.3">
      <c r="I216" s="829"/>
    </row>
    <row r="217" spans="9:9" ht="15" customHeight="1" x14ac:dyDescent="0.3">
      <c r="I217" s="829"/>
    </row>
    <row r="218" spans="9:9" ht="15" customHeight="1" x14ac:dyDescent="0.3">
      <c r="I218" s="829"/>
    </row>
    <row r="219" spans="9:9" ht="15" customHeight="1" x14ac:dyDescent="0.3">
      <c r="I219" s="829"/>
    </row>
    <row r="220" spans="9:9" ht="15" customHeight="1" x14ac:dyDescent="0.3">
      <c r="I220" s="829"/>
    </row>
    <row r="221" spans="9:9" ht="15" customHeight="1" x14ac:dyDescent="0.3">
      <c r="I221" s="829"/>
    </row>
    <row r="222" spans="9:9" ht="15" customHeight="1" x14ac:dyDescent="0.3">
      <c r="I222" s="829"/>
    </row>
    <row r="223" spans="9:9" ht="15" customHeight="1" x14ac:dyDescent="0.3">
      <c r="I223" s="829"/>
    </row>
    <row r="224" spans="9:9" ht="15" customHeight="1" x14ac:dyDescent="0.3">
      <c r="I224" s="829"/>
    </row>
    <row r="225" spans="9:9" ht="15" customHeight="1" x14ac:dyDescent="0.3">
      <c r="I225" s="829"/>
    </row>
    <row r="226" spans="9:9" ht="15" customHeight="1" x14ac:dyDescent="0.3">
      <c r="I226" s="829"/>
    </row>
    <row r="227" spans="9:9" ht="15" customHeight="1" x14ac:dyDescent="0.3">
      <c r="I227" s="829"/>
    </row>
    <row r="228" spans="9:9" ht="15" customHeight="1" x14ac:dyDescent="0.3">
      <c r="I228" s="829"/>
    </row>
    <row r="229" spans="9:9" ht="15" customHeight="1" x14ac:dyDescent="0.3">
      <c r="I229" s="829"/>
    </row>
    <row r="230" spans="9:9" ht="15" customHeight="1" x14ac:dyDescent="0.3">
      <c r="I230" s="829"/>
    </row>
    <row r="231" spans="9:9" ht="15" customHeight="1" x14ac:dyDescent="0.3">
      <c r="I231" s="829"/>
    </row>
    <row r="232" spans="9:9" ht="15" customHeight="1" x14ac:dyDescent="0.3">
      <c r="I232" s="829"/>
    </row>
    <row r="233" spans="9:9" ht="15" customHeight="1" x14ac:dyDescent="0.3">
      <c r="I233" s="829"/>
    </row>
    <row r="234" spans="9:9" ht="15" customHeight="1" x14ac:dyDescent="0.3">
      <c r="I234" s="829"/>
    </row>
    <row r="235" spans="9:9" ht="15" customHeight="1" x14ac:dyDescent="0.3">
      <c r="I235" s="829"/>
    </row>
    <row r="236" spans="9:9" ht="15" customHeight="1" x14ac:dyDescent="0.3">
      <c r="I236" s="829"/>
    </row>
    <row r="237" spans="9:9" ht="15" customHeight="1" x14ac:dyDescent="0.3">
      <c r="I237" s="829"/>
    </row>
    <row r="238" spans="9:9" ht="15" customHeight="1" x14ac:dyDescent="0.3">
      <c r="I238" s="829"/>
    </row>
    <row r="239" spans="9:9" ht="15" customHeight="1" x14ac:dyDescent="0.3">
      <c r="I239" s="829"/>
    </row>
    <row r="240" spans="9:9" ht="15" customHeight="1" x14ac:dyDescent="0.3">
      <c r="I240" s="829"/>
    </row>
    <row r="241" spans="9:9" ht="15" customHeight="1" x14ac:dyDescent="0.3">
      <c r="I241" s="829"/>
    </row>
    <row r="242" spans="9:9" ht="15" customHeight="1" x14ac:dyDescent="0.3">
      <c r="I242" s="829"/>
    </row>
    <row r="243" spans="9:9" ht="15" customHeight="1" x14ac:dyDescent="0.3">
      <c r="I243" s="829"/>
    </row>
    <row r="244" spans="9:9" ht="15" customHeight="1" x14ac:dyDescent="0.3">
      <c r="I244" s="829"/>
    </row>
    <row r="245" spans="9:9" ht="15" customHeight="1" x14ac:dyDescent="0.3">
      <c r="I245" s="829"/>
    </row>
    <row r="246" spans="9:9" ht="15" customHeight="1" x14ac:dyDescent="0.3">
      <c r="I246" s="829"/>
    </row>
    <row r="247" spans="9:9" ht="15" customHeight="1" x14ac:dyDescent="0.3">
      <c r="I247" s="829"/>
    </row>
    <row r="248" spans="9:9" ht="15" customHeight="1" x14ac:dyDescent="0.3">
      <c r="I248" s="829"/>
    </row>
    <row r="249" spans="9:9" ht="15" customHeight="1" x14ac:dyDescent="0.3">
      <c r="I249" s="829"/>
    </row>
    <row r="250" spans="9:9" ht="15" customHeight="1" x14ac:dyDescent="0.3">
      <c r="I250" s="829"/>
    </row>
    <row r="251" spans="9:9" ht="15" customHeight="1" x14ac:dyDescent="0.3">
      <c r="I251" s="829"/>
    </row>
    <row r="252" spans="9:9" ht="15" customHeight="1" x14ac:dyDescent="0.3">
      <c r="I252" s="829"/>
    </row>
    <row r="253" spans="9:9" ht="15" customHeight="1" x14ac:dyDescent="0.3">
      <c r="I253" s="829"/>
    </row>
    <row r="254" spans="9:9" ht="15" customHeight="1" x14ac:dyDescent="0.3">
      <c r="I254" s="829"/>
    </row>
    <row r="255" spans="9:9" ht="15" customHeight="1" x14ac:dyDescent="0.3">
      <c r="I255" s="829"/>
    </row>
    <row r="256" spans="9:9" ht="15" customHeight="1" x14ac:dyDescent="0.3">
      <c r="I256" s="829"/>
    </row>
    <row r="257" spans="9:9" ht="15" customHeight="1" x14ac:dyDescent="0.3">
      <c r="I257" s="829"/>
    </row>
    <row r="258" spans="9:9" ht="15" customHeight="1" x14ac:dyDescent="0.3">
      <c r="I258" s="829"/>
    </row>
    <row r="259" spans="9:9" ht="15" customHeight="1" x14ac:dyDescent="0.3">
      <c r="I259" s="829"/>
    </row>
    <row r="260" spans="9:9" ht="15" customHeight="1" x14ac:dyDescent="0.3">
      <c r="I260" s="829"/>
    </row>
    <row r="261" spans="9:9" ht="15" customHeight="1" x14ac:dyDescent="0.3">
      <c r="I261" s="829"/>
    </row>
    <row r="262" spans="9:9" ht="15" customHeight="1" x14ac:dyDescent="0.3">
      <c r="I262" s="829"/>
    </row>
    <row r="263" spans="9:9" ht="15" customHeight="1" x14ac:dyDescent="0.3">
      <c r="I263" s="829"/>
    </row>
    <row r="264" spans="9:9" ht="15" customHeight="1" x14ac:dyDescent="0.3">
      <c r="I264" s="829"/>
    </row>
    <row r="265" spans="9:9" ht="15" customHeight="1" x14ac:dyDescent="0.3">
      <c r="I265" s="829"/>
    </row>
    <row r="266" spans="9:9" ht="15" customHeight="1" x14ac:dyDescent="0.3">
      <c r="I266" s="829"/>
    </row>
    <row r="267" spans="9:9" ht="15" customHeight="1" x14ac:dyDescent="0.3">
      <c r="I267" s="829"/>
    </row>
    <row r="268" spans="9:9" ht="15" customHeight="1" x14ac:dyDescent="0.3">
      <c r="I268" s="829"/>
    </row>
    <row r="269" spans="9:9" ht="15" customHeight="1" x14ac:dyDescent="0.3">
      <c r="I269" s="829"/>
    </row>
    <row r="270" spans="9:9" x14ac:dyDescent="0.3">
      <c r="I270" s="829"/>
    </row>
    <row r="271" spans="9:9" x14ac:dyDescent="0.3">
      <c r="I271" s="829"/>
    </row>
    <row r="272" spans="9:9" x14ac:dyDescent="0.3">
      <c r="I272" s="829"/>
    </row>
    <row r="273" spans="9:9" x14ac:dyDescent="0.3">
      <c r="I273" s="829"/>
    </row>
    <row r="274" spans="9:9" x14ac:dyDescent="0.3">
      <c r="I274" s="829"/>
    </row>
    <row r="275" spans="9:9" x14ac:dyDescent="0.3">
      <c r="I275" s="829"/>
    </row>
    <row r="276" spans="9:9" x14ac:dyDescent="0.3">
      <c r="I276" s="829"/>
    </row>
    <row r="277" spans="9:9" x14ac:dyDescent="0.3">
      <c r="I277" s="829"/>
    </row>
    <row r="278" spans="9:9" x14ac:dyDescent="0.3">
      <c r="I278" s="829"/>
    </row>
    <row r="279" spans="9:9" x14ac:dyDescent="0.3">
      <c r="I279" s="829"/>
    </row>
    <row r="280" spans="9:9" x14ac:dyDescent="0.3">
      <c r="I280" s="829"/>
    </row>
    <row r="281" spans="9:9" x14ac:dyDescent="0.3">
      <c r="I281" s="829"/>
    </row>
    <row r="282" spans="9:9" x14ac:dyDescent="0.3">
      <c r="I282" s="829"/>
    </row>
    <row r="283" spans="9:9" x14ac:dyDescent="0.3">
      <c r="I283" s="829"/>
    </row>
    <row r="284" spans="9:9" x14ac:dyDescent="0.3">
      <c r="I284" s="829"/>
    </row>
  </sheetData>
  <pageMargins left="0.7" right="0.7" top="0.78740157499999996" bottom="0.78740157499999996" header="0.3" footer="0.3"/>
  <pageSetup paperSize="9" orientation="portrait" r:id="rId1"/>
  <ignoredErrors>
    <ignoredError sqref="F12"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35AC-B4D2-4C62-A0F6-EAD2BA146C19}">
  <sheetPr>
    <tabColor rgb="FF00B050"/>
  </sheetPr>
  <dimension ref="A1:V427"/>
  <sheetViews>
    <sheetView workbookViewId="0"/>
  </sheetViews>
  <sheetFormatPr baseColWidth="10" defaultColWidth="11.44140625" defaultRowHeight="13.9" x14ac:dyDescent="0.25"/>
  <cols>
    <col min="1" max="1" width="10.21875" style="1" customWidth="1"/>
    <col min="2" max="2" width="6.77734375" style="1" bestFit="1" customWidth="1"/>
    <col min="3" max="3" width="19.77734375" style="1" customWidth="1"/>
    <col min="4" max="5" width="15.77734375" style="1" customWidth="1"/>
    <col min="6" max="6" width="9.5546875" style="1" bestFit="1" customWidth="1"/>
    <col min="7" max="7" width="17" style="1" customWidth="1"/>
    <col min="8" max="8" width="15.77734375" style="1" customWidth="1"/>
    <col min="9" max="9" width="11.44140625" style="1" customWidth="1"/>
    <col min="10" max="11" width="15.77734375" style="1" customWidth="1"/>
    <col min="12" max="12" width="10.5546875" style="1" bestFit="1" customWidth="1"/>
    <col min="13" max="14" width="15.77734375" style="1" customWidth="1"/>
    <col min="15" max="15" width="10.5546875" style="1" bestFit="1" customWidth="1"/>
    <col min="16" max="17" width="15.77734375" style="1" customWidth="1"/>
    <col min="18" max="19" width="11.44140625" style="1"/>
    <col min="20" max="20" width="49" style="1" bestFit="1" customWidth="1"/>
    <col min="21" max="21" width="27.44140625" style="1" bestFit="1" customWidth="1"/>
    <col min="22" max="22" width="98.77734375" style="1" customWidth="1"/>
    <col min="23" max="16384" width="11.44140625" style="1"/>
  </cols>
  <sheetData>
    <row r="1" spans="2:22" x14ac:dyDescent="0.25">
      <c r="B1" s="2159"/>
      <c r="C1" s="2160"/>
      <c r="E1" s="2159"/>
      <c r="F1" s="2160"/>
      <c r="H1" s="109"/>
      <c r="I1" s="109"/>
      <c r="K1" s="109"/>
      <c r="L1" s="109"/>
      <c r="N1" s="109"/>
      <c r="O1" s="109"/>
    </row>
    <row r="2" spans="2:22" ht="15" customHeight="1" x14ac:dyDescent="0.25">
      <c r="B2" s="2161"/>
      <c r="C2" s="2162"/>
      <c r="E2" s="2161"/>
      <c r="F2" s="2162"/>
      <c r="H2" s="109"/>
      <c r="I2" s="109"/>
      <c r="K2" s="109"/>
      <c r="L2" s="109"/>
      <c r="N2" s="109"/>
      <c r="O2" s="109"/>
    </row>
    <row r="3" spans="2:22" ht="15" customHeight="1" x14ac:dyDescent="0.25">
      <c r="B3" s="2161"/>
      <c r="C3" s="2162"/>
      <c r="E3" s="2161"/>
      <c r="F3" s="2162"/>
      <c r="H3" s="109"/>
      <c r="I3" s="109"/>
      <c r="K3" s="109"/>
      <c r="L3" s="109"/>
      <c r="M3" s="109"/>
      <c r="N3" s="109"/>
      <c r="O3" s="109"/>
    </row>
    <row r="4" spans="2:22" ht="15" customHeight="1" x14ac:dyDescent="0.25">
      <c r="B4" s="2161"/>
      <c r="C4" s="2162"/>
      <c r="E4" s="2161"/>
      <c r="F4" s="2162"/>
      <c r="H4" s="109"/>
      <c r="I4" s="109"/>
      <c r="K4" s="109"/>
      <c r="L4" s="109"/>
      <c r="M4" s="109"/>
      <c r="N4" s="109"/>
      <c r="O4" s="109"/>
    </row>
    <row r="5" spans="2:22" ht="15.95" customHeight="1" x14ac:dyDescent="0.25">
      <c r="B5" s="2161"/>
      <c r="C5" s="2162"/>
      <c r="E5" s="2161"/>
      <c r="F5" s="2162"/>
      <c r="H5" s="109"/>
      <c r="I5" s="109"/>
      <c r="K5" s="109"/>
      <c r="L5" s="109"/>
      <c r="M5" s="83"/>
      <c r="N5" s="109"/>
      <c r="O5" s="109"/>
      <c r="T5" s="9"/>
      <c r="U5" s="9"/>
      <c r="V5" s="9"/>
    </row>
    <row r="6" spans="2:22" ht="14.55" x14ac:dyDescent="0.3">
      <c r="B6" s="2163"/>
      <c r="C6" s="2007"/>
      <c r="E6" s="2163"/>
      <c r="F6" s="2007"/>
      <c r="H6" s="83"/>
      <c r="I6" s="83"/>
      <c r="K6" s="83"/>
      <c r="L6" s="83"/>
      <c r="M6" s="83"/>
      <c r="N6" s="83"/>
      <c r="O6" s="83"/>
      <c r="T6"/>
      <c r="U6"/>
      <c r="V6"/>
    </row>
    <row r="7" spans="2:22" ht="14.55" x14ac:dyDescent="0.3">
      <c r="B7" s="2133">
        <f>IF('Auftragsänderungen &amp; -ergänzung'!J8="ja",'Auftragsänderungen &amp; -ergänzung'!I8,0)</f>
        <v>0</v>
      </c>
      <c r="C7" s="2134"/>
      <c r="E7" s="284">
        <f>IF('Auftragsänderungen &amp; -ergänzung'!J44="ja",'Auftragsänderungen &amp; -ergänzung'!I44,0)</f>
        <v>0</v>
      </c>
      <c r="F7" s="283"/>
      <c r="H7" s="289"/>
      <c r="I7" s="289"/>
      <c r="J7" s="249"/>
      <c r="K7" s="289"/>
      <c r="L7" s="289"/>
      <c r="M7" s="250"/>
      <c r="N7" s="289"/>
      <c r="O7" s="289"/>
      <c r="T7" s="14"/>
      <c r="U7" s="13"/>
      <c r="V7" s="15"/>
    </row>
    <row r="8" spans="2:22" ht="14.55" x14ac:dyDescent="0.3">
      <c r="B8" s="2133">
        <f>IF('Auftragsänderungen &amp; -ergänzung'!J10="ja",'Auftragsänderungen &amp; -ergänzung'!I10,0)</f>
        <v>0</v>
      </c>
      <c r="C8" s="2134"/>
      <c r="E8" s="284">
        <f>IF('Auftragsänderungen &amp; -ergänzung'!J46="ja",'Auftragsänderungen &amp; -ergänzung'!I46,0)</f>
        <v>0</v>
      </c>
      <c r="F8" s="283"/>
      <c r="H8" s="289"/>
      <c r="I8" s="289"/>
      <c r="J8" s="249"/>
      <c r="K8" s="289"/>
      <c r="L8" s="289"/>
      <c r="M8" s="250"/>
      <c r="N8" s="289"/>
      <c r="O8" s="289"/>
      <c r="T8" s="14"/>
      <c r="U8" s="13"/>
      <c r="V8" s="15"/>
    </row>
    <row r="9" spans="2:22" ht="14.55" x14ac:dyDescent="0.3">
      <c r="B9" s="2133">
        <f>IF('Auftragsänderungen &amp; -ergänzung'!J12="ja",'Auftragsänderungen &amp; -ergänzung'!I12,0)</f>
        <v>0</v>
      </c>
      <c r="C9" s="2134"/>
      <c r="E9" s="284">
        <f>IF('Auftragsänderungen &amp; -ergänzung'!J48="ja",'Auftragsänderungen &amp; -ergänzung'!I48,0)</f>
        <v>0</v>
      </c>
      <c r="F9" s="283"/>
      <c r="H9" s="289"/>
      <c r="I9" s="289"/>
      <c r="J9" s="249"/>
      <c r="K9" s="289"/>
      <c r="L9" s="289"/>
      <c r="M9" s="250"/>
      <c r="N9" s="289"/>
      <c r="O9" s="289"/>
      <c r="T9" s="14"/>
      <c r="U9" s="13"/>
      <c r="V9" s="15"/>
    </row>
    <row r="10" spans="2:22" ht="14.55" x14ac:dyDescent="0.3">
      <c r="B10" s="2133">
        <f>IF('Auftragsänderungen &amp; -ergänzung'!J14="ja",'Auftragsänderungen &amp; -ergänzung'!I14,0)</f>
        <v>0</v>
      </c>
      <c r="C10" s="2134"/>
      <c r="E10" s="284">
        <f>IF('Auftragsänderungen &amp; -ergänzung'!J50="ja",'Auftragsänderungen &amp; -ergänzung'!I50,0)</f>
        <v>0</v>
      </c>
      <c r="F10" s="283"/>
      <c r="H10" s="289"/>
      <c r="I10" s="289"/>
      <c r="J10" s="249"/>
      <c r="K10" s="289"/>
      <c r="L10" s="289"/>
      <c r="M10" s="250"/>
      <c r="N10" s="289"/>
      <c r="O10" s="289"/>
      <c r="T10" s="14"/>
      <c r="U10" s="13"/>
      <c r="V10" s="15"/>
    </row>
    <row r="11" spans="2:22" ht="14.55" x14ac:dyDescent="0.3">
      <c r="B11" s="2133">
        <f>IF('Auftragsänderungen &amp; -ergänzung'!J16="ja",'Auftragsänderungen &amp; -ergänzung'!I16,0)</f>
        <v>0</v>
      </c>
      <c r="C11" s="2134"/>
      <c r="E11" s="284">
        <f>IF('Auftragsänderungen &amp; -ergänzung'!J52="ja",'Auftragsänderungen &amp; -ergänzung'!I52,0)</f>
        <v>0</v>
      </c>
      <c r="F11" s="283"/>
      <c r="L11" s="83"/>
      <c r="M11" s="83"/>
      <c r="T11" s="14"/>
      <c r="U11" s="13"/>
      <c r="V11" s="15"/>
    </row>
    <row r="12" spans="2:22" ht="14.55" x14ac:dyDescent="0.3">
      <c r="B12" s="2133">
        <f>IF('Auftragsänderungen &amp; -ergänzung'!J18="ja",'Auftragsänderungen &amp; -ergänzung'!I18,0)</f>
        <v>0</v>
      </c>
      <c r="C12" s="2134"/>
      <c r="E12" s="284">
        <f>IF('Auftragsänderungen &amp; -ergänzung'!J54="ja",'Auftragsänderungen &amp; -ergänzung'!I54,0)</f>
        <v>0</v>
      </c>
      <c r="F12" s="283"/>
      <c r="L12" s="83"/>
      <c r="M12" s="83"/>
      <c r="T12" s="14"/>
      <c r="U12" s="13"/>
      <c r="V12" s="15"/>
    </row>
    <row r="13" spans="2:22" ht="14.55" x14ac:dyDescent="0.3">
      <c r="B13" s="2133">
        <f>IF('Auftragsänderungen &amp; -ergänzung'!J20="ja",'Auftragsänderungen &amp; -ergänzung'!I20,0)</f>
        <v>0</v>
      </c>
      <c r="C13" s="2134"/>
      <c r="E13" s="284">
        <f>IF('Auftragsänderungen &amp; -ergänzung'!J56="ja",'Auftragsänderungen &amp; -ergänzung'!I56,0)</f>
        <v>0</v>
      </c>
      <c r="F13" s="283"/>
      <c r="L13" s="83"/>
      <c r="M13" s="83"/>
      <c r="T13" s="14"/>
      <c r="U13" s="13"/>
      <c r="V13" s="15"/>
    </row>
    <row r="14" spans="2:22" ht="14.55" x14ac:dyDescent="0.3">
      <c r="B14" s="2133">
        <f>IF('Auftragsänderungen &amp; -ergänzung'!J22="ja",'Auftragsänderungen &amp; -ergänzung'!I22,0)</f>
        <v>0</v>
      </c>
      <c r="C14" s="2134"/>
      <c r="E14" s="284">
        <f>IF('Auftragsänderungen &amp; -ergänzung'!J58="ja",'Auftragsänderungen &amp; -ergänzung'!I58,0)</f>
        <v>0</v>
      </c>
      <c r="F14" s="283"/>
      <c r="L14" s="83"/>
      <c r="M14" s="83"/>
      <c r="T14" s="14"/>
      <c r="U14" s="13"/>
      <c r="V14" s="15"/>
    </row>
    <row r="15" spans="2:22" ht="14.55" x14ac:dyDescent="0.3">
      <c r="B15" s="2133">
        <f>IF('Auftragsänderungen &amp; -ergänzung'!J24="ja",'Auftragsänderungen &amp; -ergänzung'!I24,0)</f>
        <v>0</v>
      </c>
      <c r="C15" s="2134"/>
      <c r="E15" s="284">
        <f>IF('Auftragsänderungen &amp; -ergänzung'!J60="ja",'Auftragsänderungen &amp; -ergänzung'!I60,0)</f>
        <v>0</v>
      </c>
      <c r="F15" s="283"/>
      <c r="L15" s="83"/>
      <c r="M15" s="83"/>
      <c r="T15" s="14"/>
      <c r="U15" s="13"/>
      <c r="V15" s="15"/>
    </row>
    <row r="16" spans="2:22" ht="14.55" x14ac:dyDescent="0.3">
      <c r="B16" s="2133">
        <f>IF('Auftragsänderungen &amp; -ergänzung'!J26="ja",'Auftragsänderungen &amp; -ergänzung'!I26,0)</f>
        <v>0</v>
      </c>
      <c r="C16" s="2134"/>
      <c r="E16" s="284">
        <f>IF('Auftragsänderungen &amp; -ergänzung'!J62="ja",'Auftragsänderungen &amp; -ergänzung'!I62,0)</f>
        <v>0</v>
      </c>
      <c r="F16" s="283"/>
      <c r="L16" s="83"/>
      <c r="M16" s="83"/>
      <c r="T16" s="14"/>
      <c r="U16" s="13"/>
      <c r="V16" s="15"/>
    </row>
    <row r="17" spans="1:22" ht="14.55" x14ac:dyDescent="0.3">
      <c r="B17" s="2133">
        <f>IF('Auftragsänderungen &amp; -ergänzung'!J28="ja",'Auftragsänderungen &amp; -ergänzung'!I28,0)</f>
        <v>0</v>
      </c>
      <c r="C17" s="2134"/>
      <c r="E17" s="284">
        <f>IF('Auftragsänderungen &amp; -ergänzung'!J64="ja",'Auftragsänderungen &amp; -ergänzung'!I64,0)</f>
        <v>0</v>
      </c>
      <c r="F17" s="283"/>
      <c r="L17" s="83"/>
      <c r="M17" s="83"/>
      <c r="T17" s="14"/>
      <c r="U17" s="13"/>
      <c r="V17" s="15"/>
    </row>
    <row r="18" spans="1:22" ht="14.55" x14ac:dyDescent="0.3">
      <c r="B18" s="2133">
        <f>IF('Auftragsänderungen &amp; -ergänzung'!J30="ja",'Auftragsänderungen &amp; -ergänzung'!I30,0)</f>
        <v>0</v>
      </c>
      <c r="C18" s="2134"/>
      <c r="E18" s="284">
        <f>IF('Auftragsänderungen &amp; -ergänzung'!J66="ja",'Auftragsänderungen &amp; -ergänzung'!I66,0)</f>
        <v>0</v>
      </c>
      <c r="F18" s="283"/>
      <c r="L18" s="83"/>
      <c r="M18" s="83"/>
      <c r="T18" s="14"/>
      <c r="U18" s="13"/>
      <c r="V18" s="15"/>
    </row>
    <row r="19" spans="1:22" ht="14.55" x14ac:dyDescent="0.3">
      <c r="B19" s="2133">
        <f>IF('Auftragsänderungen &amp; -ergänzung'!J32="ja",'Auftragsänderungen &amp; -ergänzung'!I32,0)</f>
        <v>0</v>
      </c>
      <c r="C19" s="2134"/>
      <c r="D19" s="224"/>
      <c r="E19" s="284">
        <f>IF('Auftragsänderungen &amp; -ergänzung'!J68="ja",'Auftragsänderungen &amp; -ergänzung'!I68,0)</f>
        <v>0</v>
      </c>
      <c r="F19" s="283"/>
      <c r="G19" s="223"/>
      <c r="H19" s="84"/>
      <c r="I19" s="84"/>
      <c r="J19" s="84"/>
      <c r="K19" s="84"/>
      <c r="L19" s="84"/>
      <c r="M19" s="84"/>
      <c r="T19" s="14"/>
      <c r="U19" s="13"/>
      <c r="V19" s="15"/>
    </row>
    <row r="20" spans="1:22" ht="14.55" x14ac:dyDescent="0.3">
      <c r="B20" s="2133">
        <f>IF('Auftragsänderungen &amp; -ergänzung'!J34="ja",'Auftragsänderungen &amp; -ergänzung'!I34,0)</f>
        <v>0</v>
      </c>
      <c r="C20" s="2134"/>
      <c r="D20" s="224"/>
      <c r="E20" s="284">
        <f>IF('Auftragsänderungen &amp; -ergänzung'!J70="ja",'Auftragsänderungen &amp; -ergänzung'!I70,0)</f>
        <v>0</v>
      </c>
      <c r="F20" s="283"/>
      <c r="G20" s="223"/>
      <c r="H20" s="84"/>
      <c r="I20" s="84"/>
      <c r="J20" s="84"/>
      <c r="K20" s="84"/>
      <c r="L20" s="84"/>
      <c r="M20" s="84"/>
      <c r="T20" s="14"/>
      <c r="U20" s="13"/>
      <c r="V20" s="15"/>
    </row>
    <row r="21" spans="1:22" ht="14.55" x14ac:dyDescent="0.3">
      <c r="B21" s="2133">
        <f>IF('Auftragsänderungen &amp; -ergänzung'!J36="ja",'Auftragsänderungen &amp; -ergänzung'!I36,0)</f>
        <v>0</v>
      </c>
      <c r="C21" s="2134"/>
      <c r="D21" s="224"/>
      <c r="E21" s="284">
        <f>IF('Auftragsänderungen &amp; -ergänzung'!J72="ja",'Auftragsänderungen &amp; -ergänzung'!I72,0)</f>
        <v>0</v>
      </c>
      <c r="F21" s="283"/>
      <c r="G21" s="223"/>
      <c r="H21" s="84"/>
      <c r="I21" s="84"/>
      <c r="J21" s="84"/>
      <c r="K21" s="84"/>
      <c r="L21" s="84"/>
      <c r="M21" s="84"/>
      <c r="T21" s="14"/>
      <c r="U21" s="13"/>
      <c r="V21" s="15"/>
    </row>
    <row r="22" spans="1:22" ht="15.2" thickBot="1" x14ac:dyDescent="0.35">
      <c r="B22" s="2133">
        <f>IF('Auftragsänderungen &amp; -ergänzung'!J38="ja",'Auftragsänderungen &amp; -ergänzung'!I38,0)</f>
        <v>0</v>
      </c>
      <c r="C22" s="2134"/>
      <c r="E22" s="285">
        <f>IF('Auftragsänderungen &amp; -ergänzung'!J74="ja",'Auftragsänderungen &amp; -ergänzung'!I74,0)</f>
        <v>0</v>
      </c>
      <c r="F22" s="286"/>
      <c r="K22" s="83"/>
      <c r="T22" s="14"/>
      <c r="U22" s="13"/>
      <c r="V22" s="15"/>
    </row>
    <row r="23" spans="1:22" ht="14.55" x14ac:dyDescent="0.3">
      <c r="B23" s="2133">
        <f>IF('Auftragsänderungen &amp; -ergänzung'!J40="ja",'Auftragsänderungen &amp; -ergänzung'!I40,0)</f>
        <v>0</v>
      </c>
      <c r="C23" s="2134"/>
      <c r="E23" s="251"/>
      <c r="F23" s="251"/>
      <c r="K23" s="83"/>
      <c r="T23" s="14"/>
      <c r="U23" s="13"/>
      <c r="V23" s="15"/>
    </row>
    <row r="24" spans="1:22" ht="15.2" thickBot="1" x14ac:dyDescent="0.35">
      <c r="B24" s="2133">
        <f>IF('Auftragsänderungen &amp; -ergänzung'!J42="ja",'Auftragsänderungen &amp; -ergänzung'!I42,0)</f>
        <v>0</v>
      </c>
      <c r="C24" s="2134"/>
      <c r="E24" s="252"/>
      <c r="F24" s="253"/>
      <c r="K24" s="83"/>
      <c r="T24" s="14"/>
      <c r="U24" s="13"/>
      <c r="V24" s="15"/>
    </row>
    <row r="25" spans="1:22" ht="15.2" thickBot="1" x14ac:dyDescent="0.35">
      <c r="A25" s="1" t="s">
        <v>827</v>
      </c>
      <c r="B25" s="2222">
        <f>SUM(B7:C24)</f>
        <v>0</v>
      </c>
      <c r="C25" s="2223"/>
      <c r="E25" s="2153">
        <f>SUM(E7:F23)</f>
        <v>0</v>
      </c>
      <c r="F25" s="2154"/>
      <c r="H25" s="290">
        <f>SUM(B25:F25)</f>
        <v>0</v>
      </c>
      <c r="I25" s="290"/>
      <c r="K25" s="290"/>
      <c r="L25" s="290"/>
      <c r="N25" s="290"/>
      <c r="O25" s="290"/>
      <c r="Q25" s="83"/>
      <c r="T25" s="14"/>
      <c r="U25" s="13"/>
      <c r="V25" s="15"/>
    </row>
    <row r="26" spans="1:22" ht="14.55" x14ac:dyDescent="0.3">
      <c r="T26" s="14"/>
      <c r="U26" s="13"/>
      <c r="V26" s="15"/>
    </row>
    <row r="27" spans="1:22" ht="14.55" x14ac:dyDescent="0.3">
      <c r="B27" s="2220"/>
      <c r="C27" s="2220"/>
      <c r="D27" s="2220"/>
      <c r="E27" s="2220"/>
      <c r="F27" s="2220"/>
      <c r="G27" s="2220"/>
      <c r="H27" s="2220"/>
      <c r="I27" s="2220"/>
      <c r="J27" s="2220"/>
      <c r="T27" s="14"/>
      <c r="U27" s="13"/>
      <c r="V27" s="15"/>
    </row>
    <row r="28" spans="1:22" ht="15.2" thickBot="1" x14ac:dyDescent="0.35">
      <c r="T28" s="14"/>
      <c r="U28" s="13"/>
      <c r="V28" s="15"/>
    </row>
    <row r="29" spans="1:22" ht="15.2" thickBot="1" x14ac:dyDescent="0.35">
      <c r="B29" s="155" t="s">
        <v>105</v>
      </c>
      <c r="C29" s="367">
        <v>1</v>
      </c>
      <c r="D29" s="368">
        <v>2</v>
      </c>
      <c r="E29" s="368">
        <v>3</v>
      </c>
      <c r="F29" s="368">
        <v>4</v>
      </c>
      <c r="G29" s="368">
        <v>5</v>
      </c>
      <c r="H29" s="368">
        <v>6</v>
      </c>
      <c r="I29" s="368">
        <v>7</v>
      </c>
      <c r="J29" s="368">
        <v>8</v>
      </c>
      <c r="K29" s="385">
        <v>9</v>
      </c>
      <c r="L29" s="225"/>
      <c r="M29" s="225"/>
      <c r="N29" s="225"/>
      <c r="O29" s="225"/>
      <c r="P29" s="225"/>
      <c r="Q29" s="225"/>
      <c r="T29" s="14"/>
      <c r="U29" s="13"/>
      <c r="V29" s="15"/>
    </row>
    <row r="30" spans="1:22" ht="14.55" x14ac:dyDescent="0.3">
      <c r="B30" s="372"/>
      <c r="C30" s="230">
        <f>IF($C$29='Auftragsänderungen &amp; -ergänzung'!K8,'Auftragsänderungen &amp; -ergänzung'!I8,0)</f>
        <v>0</v>
      </c>
      <c r="D30" s="231">
        <f>IF($D$29='Auftragsänderungen &amp; -ergänzung'!K8,'Auftragsänderungen &amp; -ergänzung'!I8,0)</f>
        <v>0</v>
      </c>
      <c r="E30" s="231">
        <f>IF($E$29='Auftragsänderungen &amp; -ergänzung'!K8,'Auftragsänderungen &amp; -ergänzung'!I8,0)</f>
        <v>0</v>
      </c>
      <c r="F30" s="231">
        <f>IF($F$29='Auftragsänderungen &amp; -ergänzung'!K8,'Auftragsänderungen &amp; -ergänzung'!I8,0)</f>
        <v>0</v>
      </c>
      <c r="G30" s="231">
        <f>IF($G$29='Auftragsänderungen &amp; -ergänzung'!K8,'Auftragsänderungen &amp; -ergänzung'!I8,0)</f>
        <v>0</v>
      </c>
      <c r="H30" s="231">
        <f>IF($H$29='Auftragsänderungen &amp; -ergänzung'!K8,'Auftragsänderungen &amp; -ergänzung'!I8,0)</f>
        <v>0</v>
      </c>
      <c r="I30" s="231">
        <f>IF($I$29='Auftragsänderungen &amp; -ergänzung'!K8,'Auftragsänderungen &amp; -ergänzung'!I8,0)</f>
        <v>0</v>
      </c>
      <c r="J30" s="232">
        <f>IF(J29='Auftragsänderungen &amp; -ergänzung'!$K$8,'Auftragsänderungen &amp; -ergänzung'!$I$8,0)</f>
        <v>0</v>
      </c>
      <c r="K30" s="232">
        <f>IF(K29='Auftragsänderungen &amp; -ergänzung'!$K$8,'Auftragsänderungen &amp; -ergänzung'!$I$8,0)</f>
        <v>0</v>
      </c>
      <c r="L30" s="83"/>
      <c r="M30" s="83"/>
      <c r="N30" s="83"/>
      <c r="O30" s="83"/>
      <c r="P30" s="83"/>
      <c r="Q30" s="84"/>
      <c r="T30" s="14"/>
      <c r="U30" s="13"/>
      <c r="V30" s="15"/>
    </row>
    <row r="31" spans="1:22" ht="14.55" x14ac:dyDescent="0.3">
      <c r="B31" s="373"/>
      <c r="C31" s="233">
        <f>IF($C$29='Auftragsänderungen &amp; -ergänzung'!K10,'Auftragsänderungen &amp; -ergänzung'!I10,0)</f>
        <v>0</v>
      </c>
      <c r="D31" s="234">
        <f>IF($D$29='Auftragsänderungen &amp; -ergänzung'!K10,'Auftragsänderungen &amp; -ergänzung'!I10,0)</f>
        <v>0</v>
      </c>
      <c r="E31" s="234">
        <f>IF($E$29='Auftragsänderungen &amp; -ergänzung'!K10,'Auftragsänderungen &amp; -ergänzung'!I10,0)</f>
        <v>0</v>
      </c>
      <c r="F31" s="234">
        <f>IF($F$29='Auftragsänderungen &amp; -ergänzung'!K10,'Auftragsänderungen &amp; -ergänzung'!I10,0)</f>
        <v>0</v>
      </c>
      <c r="G31" s="234">
        <f>IF($G$29='Auftragsänderungen &amp; -ergänzung'!K10,'Auftragsänderungen &amp; -ergänzung'!I10,0)</f>
        <v>0</v>
      </c>
      <c r="H31" s="234">
        <f>IF($H$29='Auftragsänderungen &amp; -ergänzung'!K10,'Auftragsänderungen &amp; -ergänzung'!I10,0)</f>
        <v>0</v>
      </c>
      <c r="I31" s="234">
        <f>IF($I$29='Auftragsänderungen &amp; -ergänzung'!K10,'Auftragsänderungen &amp; -ergänzung'!I10,0)</f>
        <v>0</v>
      </c>
      <c r="J31" s="235">
        <f>IF(J29='Auftragsänderungen &amp; -ergänzung'!$K$10,'Auftragsänderungen &amp; -ergänzung'!$I$10,0)</f>
        <v>0</v>
      </c>
      <c r="K31" s="235">
        <f>IF(K29='Auftragsänderungen &amp; -ergänzung'!$K$10,'Auftragsänderungen &amp; -ergänzung'!$I$10,0)</f>
        <v>0</v>
      </c>
      <c r="L31" s="83"/>
      <c r="M31" s="83"/>
      <c r="N31" s="83"/>
      <c r="O31" s="83"/>
      <c r="P31" s="83"/>
      <c r="Q31" s="84"/>
      <c r="T31" s="14"/>
      <c r="U31" s="13"/>
      <c r="V31" s="15"/>
    </row>
    <row r="32" spans="1:22" ht="14.55" x14ac:dyDescent="0.3">
      <c r="B32" s="373"/>
      <c r="C32" s="233">
        <f>IF($C$29='Auftragsänderungen &amp; -ergänzung'!K12,'Auftragsänderungen &amp; -ergänzung'!I12,0)</f>
        <v>0</v>
      </c>
      <c r="D32" s="234">
        <f>IF($D$29='Auftragsänderungen &amp; -ergänzung'!K12,'Auftragsänderungen &amp; -ergänzung'!I12,0)</f>
        <v>0</v>
      </c>
      <c r="E32" s="234">
        <f>IF($E$29='Auftragsänderungen &amp; -ergänzung'!K12,'Auftragsänderungen &amp; -ergänzung'!I12,0)</f>
        <v>0</v>
      </c>
      <c r="F32" s="234">
        <f>IF($F$29='Auftragsänderungen &amp; -ergänzung'!K12,'Auftragsänderungen &amp; -ergänzung'!I12,0)</f>
        <v>0</v>
      </c>
      <c r="G32" s="234">
        <f>IF($G$29='Auftragsänderungen &amp; -ergänzung'!K12,'Auftragsänderungen &amp; -ergänzung'!I12,0)</f>
        <v>0</v>
      </c>
      <c r="H32" s="234">
        <f>IF($H$29='Auftragsänderungen &amp; -ergänzung'!K12,'Auftragsänderungen &amp; -ergänzung'!I12,0)</f>
        <v>0</v>
      </c>
      <c r="I32" s="234">
        <f>IF($I$29='Auftragsänderungen &amp; -ergänzung'!K12,'Auftragsänderungen &amp; -ergänzung'!I12,0)</f>
        <v>0</v>
      </c>
      <c r="J32" s="235">
        <f>IF(J29='Auftragsänderungen &amp; -ergänzung'!$K$12,'Auftragsänderungen &amp; -ergänzung'!$I$12,0)</f>
        <v>0</v>
      </c>
      <c r="K32" s="235">
        <f>IF(K29='Auftragsänderungen &amp; -ergänzung'!$K$12,'Auftragsänderungen &amp; -ergänzung'!$I$12,0)</f>
        <v>0</v>
      </c>
      <c r="L32" s="83"/>
      <c r="M32" s="83"/>
      <c r="N32" s="83"/>
      <c r="O32" s="83"/>
      <c r="P32" s="83"/>
      <c r="Q32" s="84"/>
      <c r="T32" s="14"/>
      <c r="U32" s="13"/>
      <c r="V32" s="15"/>
    </row>
    <row r="33" spans="2:22" ht="14.55" x14ac:dyDescent="0.3">
      <c r="B33" s="373"/>
      <c r="C33" s="233">
        <f>IF($C$29='Auftragsänderungen &amp; -ergänzung'!K14,'Auftragsänderungen &amp; -ergänzung'!I14,0)</f>
        <v>0</v>
      </c>
      <c r="D33" s="234">
        <f>IF($D$29='Auftragsänderungen &amp; -ergänzung'!K14,'Auftragsänderungen &amp; -ergänzung'!I14,0)</f>
        <v>0</v>
      </c>
      <c r="E33" s="234">
        <f>IF($E$29='Auftragsänderungen &amp; -ergänzung'!K14,'Auftragsänderungen &amp; -ergänzung'!I14,0)</f>
        <v>0</v>
      </c>
      <c r="F33" s="234">
        <f>IF($F$29='Auftragsänderungen &amp; -ergänzung'!K14,'Auftragsänderungen &amp; -ergänzung'!I14,0)</f>
        <v>0</v>
      </c>
      <c r="G33" s="234">
        <f>IF($G$29='Auftragsänderungen &amp; -ergänzung'!K14,'Auftragsänderungen &amp; -ergänzung'!I14,0)</f>
        <v>0</v>
      </c>
      <c r="H33" s="234">
        <f>IF($H$29='Auftragsänderungen &amp; -ergänzung'!K14,'Auftragsänderungen &amp; -ergänzung'!I14,0)</f>
        <v>0</v>
      </c>
      <c r="I33" s="234">
        <f>IF($I$29='Auftragsänderungen &amp; -ergänzung'!K14,'Auftragsänderungen &amp; -ergänzung'!I14,0)</f>
        <v>0</v>
      </c>
      <c r="J33" s="235">
        <f>IF(J29='Auftragsänderungen &amp; -ergänzung'!$K$14,'Auftragsänderungen &amp; -ergänzung'!$I$14,0)</f>
        <v>0</v>
      </c>
      <c r="K33" s="235">
        <f>IF(K29='Auftragsänderungen &amp; -ergänzung'!$K$14,'Auftragsänderungen &amp; -ergänzung'!$I$14,0)</f>
        <v>0</v>
      </c>
      <c r="L33" s="83"/>
      <c r="M33" s="83"/>
      <c r="N33" s="83"/>
      <c r="O33" s="83"/>
      <c r="P33" s="83"/>
      <c r="Q33" s="84"/>
      <c r="T33" s="14"/>
      <c r="U33" s="13"/>
      <c r="V33" s="15"/>
    </row>
    <row r="34" spans="2:22" ht="14.55" x14ac:dyDescent="0.3">
      <c r="B34" s="374"/>
      <c r="C34" s="233">
        <f>IF($C$29='Auftragsänderungen &amp; -ergänzung'!K16,'Auftragsänderungen &amp; -ergänzung'!I16,0)</f>
        <v>0</v>
      </c>
      <c r="D34" s="234">
        <f>IF($D$29='Auftragsänderungen &amp; -ergänzung'!K16,'Auftragsänderungen &amp; -ergänzung'!I16,0)</f>
        <v>0</v>
      </c>
      <c r="E34" s="234">
        <f>IF($E$29='Auftragsänderungen &amp; -ergänzung'!K16,'Auftragsänderungen &amp; -ergänzung'!I16,0)</f>
        <v>0</v>
      </c>
      <c r="F34" s="234">
        <f>IF($F$29='Auftragsänderungen &amp; -ergänzung'!K16,'Auftragsänderungen &amp; -ergänzung'!I16,0)</f>
        <v>0</v>
      </c>
      <c r="G34" s="234">
        <f>IF($G$29='Auftragsänderungen &amp; -ergänzung'!K16,'Auftragsänderungen &amp; -ergänzung'!I16,0)</f>
        <v>0</v>
      </c>
      <c r="H34" s="234">
        <f>IF($H$29='Auftragsänderungen &amp; -ergänzung'!K16,'Auftragsänderungen &amp; -ergänzung'!I16,0)</f>
        <v>0</v>
      </c>
      <c r="I34" s="234">
        <f>IF($I$29='Auftragsänderungen &amp; -ergänzung'!K16,'Auftragsänderungen &amp; -ergänzung'!I16,0)</f>
        <v>0</v>
      </c>
      <c r="J34" s="235">
        <f>IF(J29='Auftragsänderungen &amp; -ergänzung'!$K$16,'Auftragsänderungen &amp; -ergänzung'!$I$16,0)</f>
        <v>0</v>
      </c>
      <c r="K34" s="235">
        <f>IF(K29='Auftragsänderungen &amp; -ergänzung'!$K$16,'Auftragsänderungen &amp; -ergänzung'!$I$16,0)</f>
        <v>0</v>
      </c>
      <c r="Q34" s="226"/>
      <c r="T34" s="14"/>
      <c r="U34" s="13"/>
      <c r="V34" s="15"/>
    </row>
    <row r="35" spans="2:22" ht="14.55" x14ac:dyDescent="0.3">
      <c r="B35" s="374"/>
      <c r="C35" s="233">
        <f>IF($C$29='Auftragsänderungen &amp; -ergänzung'!K18,'Auftragsänderungen &amp; -ergänzung'!I18,0)</f>
        <v>0</v>
      </c>
      <c r="D35" s="234">
        <f>IF($D$29='Auftragsänderungen &amp; -ergänzung'!K18,'Auftragsänderungen &amp; -ergänzung'!I18,0)</f>
        <v>0</v>
      </c>
      <c r="E35" s="234">
        <f>IF($E$29='Auftragsänderungen &amp; -ergänzung'!K18,'Auftragsänderungen &amp; -ergänzung'!I18,0)</f>
        <v>0</v>
      </c>
      <c r="F35" s="234">
        <f>IF($F$29='Auftragsänderungen &amp; -ergänzung'!K18,'Auftragsänderungen &amp; -ergänzung'!I18,0)</f>
        <v>0</v>
      </c>
      <c r="G35" s="234">
        <f>IF($G$29='Auftragsänderungen &amp; -ergänzung'!K18,'Auftragsänderungen &amp; -ergänzung'!I18,0)</f>
        <v>0</v>
      </c>
      <c r="H35" s="234">
        <f>IF($H$29='Auftragsänderungen &amp; -ergänzung'!K18,'Auftragsänderungen &amp; -ergänzung'!I18,0)</f>
        <v>0</v>
      </c>
      <c r="I35" s="234">
        <f>IF($I$29='Auftragsänderungen &amp; -ergänzung'!K18,'Auftragsänderungen &amp; -ergänzung'!I18,0)</f>
        <v>0</v>
      </c>
      <c r="J35" s="235">
        <f>IF(J29='Auftragsänderungen &amp; -ergänzung'!$K$18,'Auftragsänderungen &amp; -ergänzung'!$I$18,0)</f>
        <v>0</v>
      </c>
      <c r="K35" s="235">
        <f>IF(K29='Auftragsänderungen &amp; -ergänzung'!$K$18,'Auftragsänderungen &amp; -ergänzung'!$I$18,0)</f>
        <v>0</v>
      </c>
      <c r="T35" s="14"/>
      <c r="U35" s="13"/>
      <c r="V35" s="15"/>
    </row>
    <row r="36" spans="2:22" ht="14.55" x14ac:dyDescent="0.3">
      <c r="B36" s="374"/>
      <c r="C36" s="233">
        <f>IF($C$29='Auftragsänderungen &amp; -ergänzung'!K20,'Auftragsänderungen &amp; -ergänzung'!I20,0)</f>
        <v>0</v>
      </c>
      <c r="D36" s="234">
        <f>IF($D$29='Auftragsänderungen &amp; -ergänzung'!K20,'Auftragsänderungen &amp; -ergänzung'!I20,0)</f>
        <v>0</v>
      </c>
      <c r="E36" s="234">
        <f>IF($E$29='Auftragsänderungen &amp; -ergänzung'!K20,'Auftragsänderungen &amp; -ergänzung'!I20,0)</f>
        <v>0</v>
      </c>
      <c r="F36" s="234">
        <f>IF($F$29='Auftragsänderungen &amp; -ergänzung'!K20,'Auftragsänderungen &amp; -ergänzung'!I20,0)</f>
        <v>0</v>
      </c>
      <c r="G36" s="234">
        <f>IF($G$29='Auftragsänderungen &amp; -ergänzung'!K20,'Auftragsänderungen &amp; -ergänzung'!I20,0)</f>
        <v>0</v>
      </c>
      <c r="H36" s="234">
        <f>IF($H$29='Auftragsänderungen &amp; -ergänzung'!K20,'Auftragsänderungen &amp; -ergänzung'!I20,0)</f>
        <v>0</v>
      </c>
      <c r="I36" s="234">
        <f>IF($I$29='Auftragsänderungen &amp; -ergänzung'!K20,'Auftragsänderungen &amp; -ergänzung'!I20,0)</f>
        <v>0</v>
      </c>
      <c r="J36" s="235">
        <f>IF(J29='Auftragsänderungen &amp; -ergänzung'!$K$20,'Auftragsänderungen &amp; -ergänzung'!$I$20,0)</f>
        <v>0</v>
      </c>
      <c r="K36" s="235">
        <f>IF(K29='Auftragsänderungen &amp; -ergänzung'!$K$20,'Auftragsänderungen &amp; -ergänzung'!$I$20,0)</f>
        <v>0</v>
      </c>
      <c r="T36" s="14"/>
      <c r="U36" s="13"/>
      <c r="V36" s="15"/>
    </row>
    <row r="37" spans="2:22" ht="14.55" x14ac:dyDescent="0.3">
      <c r="B37" s="374"/>
      <c r="C37" s="233">
        <f>IF($C$29='Auftragsänderungen &amp; -ergänzung'!K22,'Auftragsänderungen &amp; -ergänzung'!I22,0)</f>
        <v>0</v>
      </c>
      <c r="D37" s="234">
        <f>IF($D$29='Auftragsänderungen &amp; -ergänzung'!K22,'Auftragsänderungen &amp; -ergänzung'!I22,0)</f>
        <v>0</v>
      </c>
      <c r="E37" s="234">
        <f>IF($E$29='Auftragsänderungen &amp; -ergänzung'!K22,'Auftragsänderungen &amp; -ergänzung'!I22,0)</f>
        <v>0</v>
      </c>
      <c r="F37" s="234">
        <f>IF($F$29='Auftragsänderungen &amp; -ergänzung'!K22,'Auftragsänderungen &amp; -ergänzung'!I22,0)</f>
        <v>0</v>
      </c>
      <c r="G37" s="234">
        <f>IF($G$29='Auftragsänderungen &amp; -ergänzung'!K22,'Auftragsänderungen &amp; -ergänzung'!I22,0)</f>
        <v>0</v>
      </c>
      <c r="H37" s="234">
        <f>IF($H$29='Auftragsänderungen &amp; -ergänzung'!K22,'Auftragsänderungen &amp; -ergänzung'!I22,0)</f>
        <v>0</v>
      </c>
      <c r="I37" s="234">
        <f>IF($I$29='Auftragsänderungen &amp; -ergänzung'!K22,'Auftragsänderungen &amp; -ergänzung'!I22,0)</f>
        <v>0</v>
      </c>
      <c r="J37" s="235">
        <f>IF(J29='Auftragsänderungen &amp; -ergänzung'!$K$22,'Auftragsänderungen &amp; -ergänzung'!$I$22,0)</f>
        <v>0</v>
      </c>
      <c r="K37" s="235">
        <f>IF(K29='Auftragsänderungen &amp; -ergänzung'!$K$22,'Auftragsänderungen &amp; -ergänzung'!$I$22,0)</f>
        <v>0</v>
      </c>
      <c r="T37" s="14"/>
      <c r="U37" s="13"/>
      <c r="V37" s="15"/>
    </row>
    <row r="38" spans="2:22" ht="14.55" x14ac:dyDescent="0.3">
      <c r="B38" s="374"/>
      <c r="C38" s="233">
        <f>IF($C$29='Auftragsänderungen &amp; -ergänzung'!K24,'Auftragsänderungen &amp; -ergänzung'!I24,0)</f>
        <v>0</v>
      </c>
      <c r="D38" s="234">
        <f>IF($D$29='Auftragsänderungen &amp; -ergänzung'!K24,'Auftragsänderungen &amp; -ergänzung'!I24,0)</f>
        <v>0</v>
      </c>
      <c r="E38" s="234">
        <f>IF($E$29='Auftragsänderungen &amp; -ergänzung'!K24,'Auftragsänderungen &amp; -ergänzung'!I24,0)</f>
        <v>0</v>
      </c>
      <c r="F38" s="234">
        <f>IF($F$29='Auftragsänderungen &amp; -ergänzung'!K24,'Auftragsänderungen &amp; -ergänzung'!I24,0)</f>
        <v>0</v>
      </c>
      <c r="G38" s="234">
        <f>IF($G$29='Auftragsänderungen &amp; -ergänzung'!K24,'Auftragsänderungen &amp; -ergänzung'!I24,0)</f>
        <v>0</v>
      </c>
      <c r="H38" s="234">
        <f>IF($H$29='Auftragsänderungen &amp; -ergänzung'!K24,'Auftragsänderungen &amp; -ergänzung'!I24,0)</f>
        <v>0</v>
      </c>
      <c r="I38" s="234">
        <f>IF($I$29='Auftragsänderungen &amp; -ergänzung'!K24,'Auftragsänderungen &amp; -ergänzung'!I24,0)</f>
        <v>0</v>
      </c>
      <c r="J38" s="235">
        <f>IF(J29='Auftragsänderungen &amp; -ergänzung'!$K$24,'Auftragsänderungen &amp; -ergänzung'!$I$24,0)</f>
        <v>0</v>
      </c>
      <c r="K38" s="235">
        <f>IF(K29='Auftragsänderungen &amp; -ergänzung'!$K$24,'Auftragsänderungen &amp; -ergänzung'!$I$24,0)</f>
        <v>0</v>
      </c>
      <c r="T38" s="14"/>
      <c r="U38" s="13"/>
      <c r="V38" s="15"/>
    </row>
    <row r="39" spans="2:22" ht="14.55" x14ac:dyDescent="0.3">
      <c r="B39" s="374"/>
      <c r="C39" s="233">
        <f>IF($C$29='Auftragsänderungen &amp; -ergänzung'!K26,'Auftragsänderungen &amp; -ergänzung'!I26,0)</f>
        <v>0</v>
      </c>
      <c r="D39" s="234">
        <f>IF($D$29='Auftragsänderungen &amp; -ergänzung'!K26,'Auftragsänderungen &amp; -ergänzung'!I26,0)</f>
        <v>0</v>
      </c>
      <c r="E39" s="234">
        <f>IF($E$29='Auftragsänderungen &amp; -ergänzung'!K26,'Auftragsänderungen &amp; -ergänzung'!I26,0)</f>
        <v>0</v>
      </c>
      <c r="F39" s="234">
        <f>IF($F$29='Auftragsänderungen &amp; -ergänzung'!K26,'Auftragsänderungen &amp; -ergänzung'!I26,0)</f>
        <v>0</v>
      </c>
      <c r="G39" s="234">
        <f>IF($G$29='Auftragsänderungen &amp; -ergänzung'!K26,'Auftragsänderungen &amp; -ergänzung'!I26,0)</f>
        <v>0</v>
      </c>
      <c r="H39" s="234">
        <f>IF($H$29='Auftragsänderungen &amp; -ergänzung'!K26,'Auftragsänderungen &amp; -ergänzung'!I26,0)</f>
        <v>0</v>
      </c>
      <c r="I39" s="234">
        <f>IF($I$29='Auftragsänderungen &amp; -ergänzung'!K26,'Auftragsänderungen &amp; -ergänzung'!I26,0)</f>
        <v>0</v>
      </c>
      <c r="J39" s="235">
        <f>IF(J29='Auftragsänderungen &amp; -ergänzung'!$K$26,'Auftragsänderungen &amp; -ergänzung'!$I$26,0)</f>
        <v>0</v>
      </c>
      <c r="K39" s="235">
        <f>IF(K29='Auftragsänderungen &amp; -ergänzung'!$K$26,'Auftragsänderungen &amp; -ergänzung'!$I$26,0)</f>
        <v>0</v>
      </c>
      <c r="T39" s="14"/>
      <c r="U39" s="13"/>
      <c r="V39" s="15"/>
    </row>
    <row r="40" spans="2:22" ht="14.55" x14ac:dyDescent="0.3">
      <c r="B40" s="374"/>
      <c r="C40" s="233">
        <f>IF($C$29='Auftragsänderungen &amp; -ergänzung'!K28,'Auftragsänderungen &amp; -ergänzung'!I28,0)</f>
        <v>0</v>
      </c>
      <c r="D40" s="234">
        <f>IF($D$29='Auftragsänderungen &amp; -ergänzung'!K28,'Auftragsänderungen &amp; -ergänzung'!I28,0)</f>
        <v>0</v>
      </c>
      <c r="E40" s="234">
        <f>IF($E$29='Auftragsänderungen &amp; -ergänzung'!K28,'Auftragsänderungen &amp; -ergänzung'!I28,0)</f>
        <v>0</v>
      </c>
      <c r="F40" s="234">
        <f>IF($F$29='Auftragsänderungen &amp; -ergänzung'!K28,'Auftragsänderungen &amp; -ergänzung'!I28,0)</f>
        <v>0</v>
      </c>
      <c r="G40" s="234">
        <f>IF($G$29='Auftragsänderungen &amp; -ergänzung'!K28,'Auftragsänderungen &amp; -ergänzung'!I28,0)</f>
        <v>0</v>
      </c>
      <c r="H40" s="234">
        <f>IF($H$29='Auftragsänderungen &amp; -ergänzung'!K28,'Auftragsänderungen &amp; -ergänzung'!I28,0)</f>
        <v>0</v>
      </c>
      <c r="I40" s="234">
        <f>IF($I$29='Auftragsänderungen &amp; -ergänzung'!K28,'Auftragsänderungen &amp; -ergänzung'!I28,0)</f>
        <v>0</v>
      </c>
      <c r="J40" s="235">
        <f>IF(J29='Auftragsänderungen &amp; -ergänzung'!$K$28,'Auftragsänderungen &amp; -ergänzung'!$I$28,0)</f>
        <v>0</v>
      </c>
      <c r="K40" s="235">
        <f>IF(K29='Auftragsänderungen &amp; -ergänzung'!$K$28,'Auftragsänderungen &amp; -ergänzung'!$I$28,0)</f>
        <v>0</v>
      </c>
      <c r="T40" s="14"/>
      <c r="U40" s="13"/>
      <c r="V40" s="15"/>
    </row>
    <row r="41" spans="2:22" ht="14.55" x14ac:dyDescent="0.3">
      <c r="B41" s="374"/>
      <c r="C41" s="233">
        <f>IF($C$29='Auftragsänderungen &amp; -ergänzung'!K30,'Auftragsänderungen &amp; -ergänzung'!I30,0)</f>
        <v>0</v>
      </c>
      <c r="D41" s="234">
        <f>IF($D$29='Auftragsänderungen &amp; -ergänzung'!K30,'Auftragsänderungen &amp; -ergänzung'!I30,0)</f>
        <v>0</v>
      </c>
      <c r="E41" s="234">
        <f>IF($E$29='Auftragsänderungen &amp; -ergänzung'!K30,'Auftragsänderungen &amp; -ergänzung'!I30,0)</f>
        <v>0</v>
      </c>
      <c r="F41" s="234">
        <f>IF($F$29='Auftragsänderungen &amp; -ergänzung'!K30,'Auftragsänderungen &amp; -ergänzung'!I30,0)</f>
        <v>0</v>
      </c>
      <c r="G41" s="234">
        <f>IF($G$29='Auftragsänderungen &amp; -ergänzung'!K30,'Auftragsänderungen &amp; -ergänzung'!I30,0)</f>
        <v>0</v>
      </c>
      <c r="H41" s="234">
        <f>IF($H$29='Auftragsänderungen &amp; -ergänzung'!K30,'Auftragsänderungen &amp; -ergänzung'!I30,0)</f>
        <v>0</v>
      </c>
      <c r="I41" s="234">
        <f>IF($I$29='Auftragsänderungen &amp; -ergänzung'!K30,'Auftragsänderungen &amp; -ergänzung'!I30,0)</f>
        <v>0</v>
      </c>
      <c r="J41" s="235">
        <f>IF(J29='Auftragsänderungen &amp; -ergänzung'!$K$30,'Auftragsänderungen &amp; -ergänzung'!$I$30,0)</f>
        <v>0</v>
      </c>
      <c r="K41" s="235">
        <f>IF(K29='Auftragsänderungen &amp; -ergänzung'!$K$30,'Auftragsänderungen &amp; -ergänzung'!$I$30,0)</f>
        <v>0</v>
      </c>
      <c r="T41" s="14"/>
      <c r="U41" s="13"/>
      <c r="V41" s="15"/>
    </row>
    <row r="42" spans="2:22" ht="14.55" x14ac:dyDescent="0.3">
      <c r="B42" s="374"/>
      <c r="C42" s="233">
        <f>IF($C$29='Auftragsänderungen &amp; -ergänzung'!K32,'Auftragsänderungen &amp; -ergänzung'!I32,0)</f>
        <v>0</v>
      </c>
      <c r="D42" s="234">
        <f>IF($D$29='Auftragsänderungen &amp; -ergänzung'!K32,'Auftragsänderungen &amp; -ergänzung'!I32,0)</f>
        <v>0</v>
      </c>
      <c r="E42" s="234">
        <f>IF($E$29='Auftragsänderungen &amp; -ergänzung'!K32,'Auftragsänderungen &amp; -ergänzung'!I32,0)</f>
        <v>0</v>
      </c>
      <c r="F42" s="234">
        <f>IF($F$29='Auftragsänderungen &amp; -ergänzung'!K32,'Auftragsänderungen &amp; -ergänzung'!I32,0)</f>
        <v>0</v>
      </c>
      <c r="G42" s="234">
        <f>IF($G$29='Auftragsänderungen &amp; -ergänzung'!K32,'Auftragsänderungen &amp; -ergänzung'!I32,0)</f>
        <v>0</v>
      </c>
      <c r="H42" s="234">
        <f>IF($H$29='Auftragsänderungen &amp; -ergänzung'!K32,'Auftragsänderungen &amp; -ergänzung'!I32,0)</f>
        <v>0</v>
      </c>
      <c r="I42" s="234">
        <f>IF($I$29='Auftragsänderungen &amp; -ergänzung'!K32,'Auftragsänderungen &amp; -ergänzung'!I32,0)</f>
        <v>0</v>
      </c>
      <c r="J42" s="235">
        <f>IF(J29='Auftragsänderungen &amp; -ergänzung'!$K$32,'Auftragsänderungen &amp; -ergänzung'!$I$32,0)</f>
        <v>0</v>
      </c>
      <c r="K42" s="235">
        <f>IF(K29='Auftragsänderungen &amp; -ergänzung'!$K$32,'Auftragsänderungen &amp; -ergänzung'!$I$32,0)</f>
        <v>0</v>
      </c>
      <c r="T42" s="14"/>
      <c r="U42" s="13"/>
      <c r="V42" s="15"/>
    </row>
    <row r="43" spans="2:22" ht="14.55" x14ac:dyDescent="0.3">
      <c r="B43" s="374"/>
      <c r="C43" s="233">
        <f>IF($C$29='Auftragsänderungen &amp; -ergänzung'!K34,'Auftragsänderungen &amp; -ergänzung'!I34,0)</f>
        <v>0</v>
      </c>
      <c r="D43" s="234">
        <f>IF($D$29='Auftragsänderungen &amp; -ergänzung'!K34,'Auftragsänderungen &amp; -ergänzung'!I34,0)</f>
        <v>0</v>
      </c>
      <c r="E43" s="234">
        <f>IF($E$29='Auftragsänderungen &amp; -ergänzung'!K34,'Auftragsänderungen &amp; -ergänzung'!I34,0)</f>
        <v>0</v>
      </c>
      <c r="F43" s="234">
        <f>IF($F$29='Auftragsänderungen &amp; -ergänzung'!K34,'Auftragsänderungen &amp; -ergänzung'!I34,0)</f>
        <v>0</v>
      </c>
      <c r="G43" s="234">
        <f>IF($G$29='Auftragsänderungen &amp; -ergänzung'!K34,'Auftragsänderungen &amp; -ergänzung'!I34,0)</f>
        <v>0</v>
      </c>
      <c r="H43" s="234">
        <f>IF($H$29='Auftragsänderungen &amp; -ergänzung'!K34,'Auftragsänderungen &amp; -ergänzung'!I34,0)</f>
        <v>0</v>
      </c>
      <c r="I43" s="234">
        <f>IF($I$29='Auftragsänderungen &amp; -ergänzung'!K34,'Auftragsänderungen &amp; -ergänzung'!I34,0)</f>
        <v>0</v>
      </c>
      <c r="J43" s="235">
        <f>IF(J29='Auftragsänderungen &amp; -ergänzung'!$K$34,'Auftragsänderungen &amp; -ergänzung'!$I$34,0)</f>
        <v>0</v>
      </c>
      <c r="K43" s="235">
        <f>IF(K29='Auftragsänderungen &amp; -ergänzung'!$K$34,'Auftragsänderungen &amp; -ergänzung'!$I$34,0)</f>
        <v>0</v>
      </c>
      <c r="T43" s="14"/>
      <c r="U43" s="13"/>
      <c r="V43" s="15"/>
    </row>
    <row r="44" spans="2:22" ht="14.55" x14ac:dyDescent="0.3">
      <c r="B44" s="374"/>
      <c r="C44" s="233">
        <f>IF($C$29='Auftragsänderungen &amp; -ergänzung'!K36,'Auftragsänderungen &amp; -ergänzung'!I36,0)</f>
        <v>0</v>
      </c>
      <c r="D44" s="234">
        <f>IF($D$29='Auftragsänderungen &amp; -ergänzung'!K36,'Auftragsänderungen &amp; -ergänzung'!I36,0)</f>
        <v>0</v>
      </c>
      <c r="E44" s="234">
        <f>IF($E$29='Auftragsänderungen &amp; -ergänzung'!K36,'Auftragsänderungen &amp; -ergänzung'!I36,0)</f>
        <v>0</v>
      </c>
      <c r="F44" s="234">
        <f>IF($F$29='Auftragsänderungen &amp; -ergänzung'!K36,'Auftragsänderungen &amp; -ergänzung'!I36,0)</f>
        <v>0</v>
      </c>
      <c r="G44" s="234">
        <f>IF($G$29='Auftragsänderungen &amp; -ergänzung'!K36,'Auftragsänderungen &amp; -ergänzung'!I36,0)</f>
        <v>0</v>
      </c>
      <c r="H44" s="234">
        <f>IF($H$29='Auftragsänderungen &amp; -ergänzung'!K36,'Auftragsänderungen &amp; -ergänzung'!I36,0)</f>
        <v>0</v>
      </c>
      <c r="I44" s="234">
        <f>IF($I$29='Auftragsänderungen &amp; -ergänzung'!K36,'Auftragsänderungen &amp; -ergänzung'!I36,0)</f>
        <v>0</v>
      </c>
      <c r="J44" s="235">
        <f>IF(J29='Auftragsänderungen &amp; -ergänzung'!$K$36,'Auftragsänderungen &amp; -ergänzung'!$I$36,0)</f>
        <v>0</v>
      </c>
      <c r="K44" s="235">
        <f>IF(K29='Auftragsänderungen &amp; -ergänzung'!$K$36,'Auftragsänderungen &amp; -ergänzung'!$I$36,0)</f>
        <v>0</v>
      </c>
      <c r="T44" s="14"/>
      <c r="U44" s="13"/>
      <c r="V44" s="15"/>
    </row>
    <row r="45" spans="2:22" ht="14.55" x14ac:dyDescent="0.3">
      <c r="B45" s="374"/>
      <c r="C45" s="233">
        <f>IF($C$29='Auftragsänderungen &amp; -ergänzung'!K38,'Auftragsänderungen &amp; -ergänzung'!I38,0)</f>
        <v>0</v>
      </c>
      <c r="D45" s="234">
        <f>IF($D$29='Auftragsänderungen &amp; -ergänzung'!K38,'Auftragsänderungen &amp; -ergänzung'!I38,0)</f>
        <v>0</v>
      </c>
      <c r="E45" s="234">
        <f>IF($E$29='Auftragsänderungen &amp; -ergänzung'!K38,'Auftragsänderungen &amp; -ergänzung'!I38,0)</f>
        <v>0</v>
      </c>
      <c r="F45" s="234">
        <f>IF($F$29='Auftragsänderungen &amp; -ergänzung'!K38,'Auftragsänderungen &amp; -ergänzung'!I38,0)</f>
        <v>0</v>
      </c>
      <c r="G45" s="234">
        <f>IF($G$29='Auftragsänderungen &amp; -ergänzung'!K38,'Auftragsänderungen &amp; -ergänzung'!I38,0)</f>
        <v>0</v>
      </c>
      <c r="H45" s="234">
        <f>IF($H$29='Auftragsänderungen &amp; -ergänzung'!K38,'Auftragsänderungen &amp; -ergänzung'!I38,0)</f>
        <v>0</v>
      </c>
      <c r="I45" s="234">
        <f>IF($I$29='Auftragsänderungen &amp; -ergänzung'!K38,'Auftragsänderungen &amp; -ergänzung'!I38,0)</f>
        <v>0</v>
      </c>
      <c r="J45" s="235">
        <f>IF(J29='Auftragsänderungen &amp; -ergänzung'!$K$38,'Auftragsänderungen &amp; -ergänzung'!$I$38,0)</f>
        <v>0</v>
      </c>
      <c r="K45" s="235">
        <f>IF(K29='Auftragsänderungen &amp; -ergänzung'!$K$38,'Auftragsänderungen &amp; -ergänzung'!$I$38,0)</f>
        <v>0</v>
      </c>
      <c r="T45" s="14"/>
      <c r="U45" s="13"/>
      <c r="V45" s="15"/>
    </row>
    <row r="46" spans="2:22" ht="14.55" x14ac:dyDescent="0.3">
      <c r="B46" s="374"/>
      <c r="C46" s="233">
        <f>IF($C$29='Auftragsänderungen &amp; -ergänzung'!K40,'Auftragsänderungen &amp; -ergänzung'!I40,0)</f>
        <v>0</v>
      </c>
      <c r="D46" s="234">
        <f>IF($D$29='Auftragsänderungen &amp; -ergänzung'!K40,'Auftragsänderungen &amp; -ergänzung'!I40,0)</f>
        <v>0</v>
      </c>
      <c r="E46" s="234">
        <f>IF($E$29='Auftragsänderungen &amp; -ergänzung'!K40,'Auftragsänderungen &amp; -ergänzung'!I40,0)</f>
        <v>0</v>
      </c>
      <c r="F46" s="234">
        <f>IF($F$29='Auftragsänderungen &amp; -ergänzung'!K40,'Auftragsänderungen &amp; -ergänzung'!I40,0)</f>
        <v>0</v>
      </c>
      <c r="G46" s="234">
        <f>IF($G$29='Auftragsänderungen &amp; -ergänzung'!K40,'Auftragsänderungen &amp; -ergänzung'!I40,0)</f>
        <v>0</v>
      </c>
      <c r="H46" s="234">
        <f>IF($H$29='Auftragsänderungen &amp; -ergänzung'!K40,'Auftragsänderungen &amp; -ergänzung'!I40,0)</f>
        <v>0</v>
      </c>
      <c r="I46" s="234">
        <f>IF($I$29='Auftragsänderungen &amp; -ergänzung'!K40,'Auftragsänderungen &amp; -ergänzung'!I40,0)</f>
        <v>0</v>
      </c>
      <c r="J46" s="235">
        <f>IF(J29='Auftragsänderungen &amp; -ergänzung'!$K$40,'Auftragsänderungen &amp; -ergänzung'!$I$40,0)</f>
        <v>0</v>
      </c>
      <c r="K46" s="235">
        <f>IF(K29='Auftragsänderungen &amp; -ergänzung'!$K$40,'Auftragsänderungen &amp; -ergänzung'!$I$40,0)</f>
        <v>0</v>
      </c>
      <c r="T46" s="14"/>
      <c r="U46" s="13"/>
      <c r="V46" s="15"/>
    </row>
    <row r="47" spans="2:22" ht="15.2" thickBot="1" x14ac:dyDescent="0.35">
      <c r="B47" s="374"/>
      <c r="C47" s="236">
        <f>IF($C$29='Auftragsänderungen &amp; -ergänzung'!K42,'Auftragsänderungen &amp; -ergänzung'!I42,0)</f>
        <v>0</v>
      </c>
      <c r="D47" s="237">
        <f>IF($D$29='Auftragsänderungen &amp; -ergänzung'!K42,'Auftragsänderungen &amp; -ergänzung'!I42,0)</f>
        <v>0</v>
      </c>
      <c r="E47" s="237">
        <f>IF($E$29='Auftragsänderungen &amp; -ergänzung'!K42,'Auftragsänderungen &amp; -ergänzung'!I42,0)</f>
        <v>0</v>
      </c>
      <c r="F47" s="237">
        <f>IF($F$29='Auftragsänderungen &amp; -ergänzung'!K42,'Auftragsänderungen &amp; -ergänzung'!I42,0)</f>
        <v>0</v>
      </c>
      <c r="G47" s="237">
        <f>IF($G$29='Auftragsänderungen &amp; -ergänzung'!K42,'Auftragsänderungen &amp; -ergänzung'!I42,0)</f>
        <v>0</v>
      </c>
      <c r="H47" s="237">
        <f>IF($H$29='Auftragsänderungen &amp; -ergänzung'!K42,'Auftragsänderungen &amp; -ergänzung'!I42,0)</f>
        <v>0</v>
      </c>
      <c r="I47" s="237">
        <f>IF($I$29='Auftragsänderungen &amp; -ergänzung'!K42,'Auftragsänderungen &amp; -ergänzung'!I42,0)</f>
        <v>0</v>
      </c>
      <c r="J47" s="238">
        <f>IF(J29='Auftragsänderungen &amp; -ergänzung'!$K$42,'Auftragsänderungen &amp; -ergänzung'!$I$42,0)</f>
        <v>0</v>
      </c>
      <c r="K47" s="238">
        <f>IF(K29='Auftragsänderungen &amp; -ergänzung'!$K$42,'Auftragsänderungen &amp; -ergänzung'!$I$42,0)</f>
        <v>0</v>
      </c>
      <c r="T47" s="14"/>
      <c r="U47" s="13"/>
      <c r="V47" s="15"/>
    </row>
    <row r="48" spans="2:22" ht="15.2" thickBot="1" x14ac:dyDescent="0.35">
      <c r="B48" s="374"/>
      <c r="C48" s="239">
        <f t="shared" ref="C48" si="0">SUM(C30:C47)</f>
        <v>0</v>
      </c>
      <c r="D48" s="239">
        <f t="shared" ref="D48:J48" si="1">SUM(D30:D47)</f>
        <v>0</v>
      </c>
      <c r="E48" s="239">
        <f t="shared" si="1"/>
        <v>0</v>
      </c>
      <c r="F48" s="239">
        <f t="shared" si="1"/>
        <v>0</v>
      </c>
      <c r="G48" s="239">
        <f t="shared" si="1"/>
        <v>0</v>
      </c>
      <c r="H48" s="239">
        <f t="shared" si="1"/>
        <v>0</v>
      </c>
      <c r="I48" s="239">
        <f t="shared" si="1"/>
        <v>0</v>
      </c>
      <c r="J48" s="239">
        <f t="shared" si="1"/>
        <v>0</v>
      </c>
      <c r="K48" s="239">
        <f t="shared" ref="K48" si="2">SUM(K30:K47)</f>
        <v>0</v>
      </c>
      <c r="T48" s="14"/>
      <c r="U48" s="13"/>
      <c r="V48" s="15"/>
    </row>
    <row r="49" spans="2:22" s="112" customFormat="1" ht="14.55" x14ac:dyDescent="0.3">
      <c r="T49" s="369"/>
      <c r="U49" s="370"/>
      <c r="V49" s="371"/>
    </row>
    <row r="50" spans="2:22" s="112" customFormat="1" ht="14.55" x14ac:dyDescent="0.3">
      <c r="B50" s="2221"/>
      <c r="C50" s="2221"/>
      <c r="D50" s="2221"/>
      <c r="E50" s="2221"/>
      <c r="F50" s="2221"/>
      <c r="G50" s="2221"/>
      <c r="H50" s="2221"/>
      <c r="I50" s="2221"/>
      <c r="J50" s="2221"/>
      <c r="T50" s="369"/>
      <c r="U50" s="370"/>
      <c r="V50" s="371"/>
    </row>
    <row r="51" spans="2:22" s="112" customFormat="1" ht="15.2" thickBot="1" x14ac:dyDescent="0.35">
      <c r="T51" s="369"/>
      <c r="U51" s="370"/>
      <c r="V51" s="371"/>
    </row>
    <row r="52" spans="2:22" ht="15.2" thickBot="1" x14ac:dyDescent="0.35">
      <c r="B52" s="375" t="s">
        <v>105</v>
      </c>
      <c r="C52" s="367">
        <v>1</v>
      </c>
      <c r="D52" s="368">
        <v>2</v>
      </c>
      <c r="E52" s="368">
        <v>3</v>
      </c>
      <c r="F52" s="368">
        <v>4</v>
      </c>
      <c r="G52" s="368">
        <v>5</v>
      </c>
      <c r="H52" s="368">
        <v>6</v>
      </c>
      <c r="I52" s="368">
        <v>7</v>
      </c>
      <c r="J52" s="368">
        <v>8</v>
      </c>
      <c r="K52" s="384">
        <v>9</v>
      </c>
      <c r="T52" s="14"/>
      <c r="U52" s="13"/>
      <c r="V52" s="15"/>
    </row>
    <row r="53" spans="2:22" ht="14.55" x14ac:dyDescent="0.3">
      <c r="B53" s="249"/>
      <c r="C53" s="376">
        <f>IF($C$52='Auftragsänderungen &amp; -ergänzung'!K44,'Auftragsänderungen &amp; -ergänzung'!I44,0)</f>
        <v>0</v>
      </c>
      <c r="D53" s="377">
        <f>IF($D$52='Auftragsänderungen &amp; -ergänzung'!K44,'Auftragsänderungen &amp; -ergänzung'!I44,0)</f>
        <v>0</v>
      </c>
      <c r="E53" s="377">
        <f>IF($E$52='Auftragsänderungen &amp; -ergänzung'!K44,'Auftragsänderungen &amp; -ergänzung'!I44,0)</f>
        <v>0</v>
      </c>
      <c r="F53" s="377">
        <f>IF($F$52='Auftragsänderungen &amp; -ergänzung'!K44,'Auftragsänderungen &amp; -ergänzung'!I44,0)</f>
        <v>0</v>
      </c>
      <c r="G53" s="377">
        <f>IF($G$52='Auftragsänderungen &amp; -ergänzung'!K44,'Auftragsänderungen &amp; -ergänzung'!I44,0)</f>
        <v>0</v>
      </c>
      <c r="H53" s="377">
        <f>IF($H$52='Auftragsänderungen &amp; -ergänzung'!K44,'Auftragsänderungen &amp; -ergänzung'!I44,0)</f>
        <v>0</v>
      </c>
      <c r="I53" s="377">
        <f>IF($I$52='Auftragsänderungen &amp; -ergänzung'!K44,'Auftragsänderungen &amp; -ergänzung'!I44,0)</f>
        <v>0</v>
      </c>
      <c r="J53" s="377">
        <f>IF(J52='Auftragsänderungen &amp; -ergänzung'!$K$44,'Auftragsänderungen &amp; -ergänzung'!$I$44,0)</f>
        <v>0</v>
      </c>
      <c r="K53" s="378">
        <f>IF(K52='Auftragsänderungen &amp; -ergänzung'!$K$44,'Auftragsänderungen &amp; -ergänzung'!$I$44,0)</f>
        <v>0</v>
      </c>
      <c r="T53" s="14"/>
      <c r="U53" s="13"/>
      <c r="V53" s="15"/>
    </row>
    <row r="54" spans="2:22" ht="14.55" x14ac:dyDescent="0.3">
      <c r="B54" s="249"/>
      <c r="C54" s="233">
        <f>IF($C$52='Auftragsänderungen &amp; -ergänzung'!K46,'Auftragsänderungen &amp; -ergänzung'!I46,0)</f>
        <v>0</v>
      </c>
      <c r="D54" s="234">
        <f>IF($D$52='Auftragsänderungen &amp; -ergänzung'!K46,'Auftragsänderungen &amp; -ergänzung'!I46,0)</f>
        <v>0</v>
      </c>
      <c r="E54" s="234">
        <f>IF($E$52='Auftragsänderungen &amp; -ergänzung'!K46,'Auftragsänderungen &amp; -ergänzung'!I46,0)</f>
        <v>0</v>
      </c>
      <c r="F54" s="234">
        <f>IF($F$52='Auftragsänderungen &amp; -ergänzung'!K46,'Auftragsänderungen &amp; -ergänzung'!I46,0)</f>
        <v>0</v>
      </c>
      <c r="G54" s="234">
        <f>IF($G$52='Auftragsänderungen &amp; -ergänzung'!K46,'Auftragsänderungen &amp; -ergänzung'!I46,0)</f>
        <v>0</v>
      </c>
      <c r="H54" s="234">
        <f>IF($H$52='Auftragsänderungen &amp; -ergänzung'!K46,'Auftragsänderungen &amp; -ergänzung'!I46,0)</f>
        <v>0</v>
      </c>
      <c r="I54" s="234">
        <f>IF($I$52='Auftragsänderungen &amp; -ergänzung'!K46,'Auftragsänderungen &amp; -ergänzung'!I46,0)</f>
        <v>0</v>
      </c>
      <c r="J54" s="234">
        <f>IF(J52='Auftragsänderungen &amp; -ergänzung'!$K$46,'Auftragsänderungen &amp; -ergänzung'!$I$46,0)</f>
        <v>0</v>
      </c>
      <c r="K54" s="235">
        <f>IF(K52='Auftragsänderungen &amp; -ergänzung'!$K$46,'Auftragsänderungen &amp; -ergänzung'!$I$46,0)</f>
        <v>0</v>
      </c>
      <c r="T54" s="14"/>
      <c r="U54" s="13"/>
      <c r="V54" s="15"/>
    </row>
    <row r="55" spans="2:22" ht="14.55" x14ac:dyDescent="0.3">
      <c r="C55" s="233">
        <f>IF($C$52='Auftragsänderungen &amp; -ergänzung'!K48,'Auftragsänderungen &amp; -ergänzung'!I48,0)</f>
        <v>0</v>
      </c>
      <c r="D55" s="234">
        <f>IF($D$52='Auftragsänderungen &amp; -ergänzung'!K48,'Auftragsänderungen &amp; -ergänzung'!I48,0)</f>
        <v>0</v>
      </c>
      <c r="E55" s="234">
        <f>IF($E$52='Auftragsänderungen &amp; -ergänzung'!K48,'Auftragsänderungen &amp; -ergänzung'!I48,0)</f>
        <v>0</v>
      </c>
      <c r="F55" s="234">
        <f>IF($F$52='Auftragsänderungen &amp; -ergänzung'!K48,'Auftragsänderungen &amp; -ergänzung'!I48,0)</f>
        <v>0</v>
      </c>
      <c r="G55" s="234">
        <f>IF($G$52='Auftragsänderungen &amp; -ergänzung'!K48,'Auftragsänderungen &amp; -ergänzung'!I48,0)</f>
        <v>0</v>
      </c>
      <c r="H55" s="234">
        <f>IF($H$52='Auftragsänderungen &amp; -ergänzung'!K48,'Auftragsänderungen &amp; -ergänzung'!I48,0)</f>
        <v>0</v>
      </c>
      <c r="I55" s="234">
        <f>IF($I$52='Auftragsänderungen &amp; -ergänzung'!K48,'Auftragsänderungen &amp; -ergänzung'!I48,0)</f>
        <v>0</v>
      </c>
      <c r="J55" s="234">
        <f>IF(J52='Auftragsänderungen &amp; -ergänzung'!$K$48,'Auftragsänderungen &amp; -ergänzung'!$I$48,0)</f>
        <v>0</v>
      </c>
      <c r="K55" s="235">
        <f>IF(K52='Auftragsänderungen &amp; -ergänzung'!$K$48,'Auftragsänderungen &amp; -ergänzung'!$I$48,0)</f>
        <v>0</v>
      </c>
      <c r="T55" s="14"/>
      <c r="U55" s="13"/>
      <c r="V55" s="15"/>
    </row>
    <row r="56" spans="2:22" ht="14.55" x14ac:dyDescent="0.3">
      <c r="C56" s="233">
        <f>IF($C$52='Auftragsänderungen &amp; -ergänzung'!K50,'Auftragsänderungen &amp; -ergänzung'!I50,0)</f>
        <v>0</v>
      </c>
      <c r="D56" s="234">
        <f>IF($D$52='Auftragsänderungen &amp; -ergänzung'!K50,'Auftragsänderungen &amp; -ergänzung'!I50,0)</f>
        <v>0</v>
      </c>
      <c r="E56" s="234">
        <f>IF($E$52='Auftragsänderungen &amp; -ergänzung'!K50,'Auftragsänderungen &amp; -ergänzung'!I50,0)</f>
        <v>0</v>
      </c>
      <c r="F56" s="234">
        <f>IF($F$52='Auftragsänderungen &amp; -ergänzung'!K50,'Auftragsänderungen &amp; -ergänzung'!I50,0)</f>
        <v>0</v>
      </c>
      <c r="G56" s="234">
        <f>IF($G$52='Auftragsänderungen &amp; -ergänzung'!K50,'Auftragsänderungen &amp; -ergänzung'!I50,0)</f>
        <v>0</v>
      </c>
      <c r="H56" s="234">
        <f>IF($H$52='Auftragsänderungen &amp; -ergänzung'!K50,'Auftragsänderungen &amp; -ergänzung'!I50,0)</f>
        <v>0</v>
      </c>
      <c r="I56" s="234">
        <f>IF($I$52='Auftragsänderungen &amp; -ergänzung'!K50,'Auftragsänderungen &amp; -ergänzung'!I50,0)</f>
        <v>0</v>
      </c>
      <c r="J56" s="234">
        <f>IF(J52='Auftragsänderungen &amp; -ergänzung'!$K$50,'Auftragsänderungen &amp; -ergänzung'!$I$50,0)</f>
        <v>0</v>
      </c>
      <c r="K56" s="235">
        <f>IF(K52='Auftragsänderungen &amp; -ergänzung'!$K$50,'Auftragsänderungen &amp; -ergänzung'!$I$50,0)</f>
        <v>0</v>
      </c>
      <c r="T56" s="14"/>
      <c r="U56" s="13"/>
      <c r="V56" s="15"/>
    </row>
    <row r="57" spans="2:22" ht="14.55" x14ac:dyDescent="0.3">
      <c r="C57" s="233">
        <f>IF($C$52='Auftragsänderungen &amp; -ergänzung'!K52,'Auftragsänderungen &amp; -ergänzung'!I52,0)</f>
        <v>0</v>
      </c>
      <c r="D57" s="234">
        <f>IF($D$52='Auftragsänderungen &amp; -ergänzung'!K52,'Auftragsänderungen &amp; -ergänzung'!I52,0)</f>
        <v>0</v>
      </c>
      <c r="E57" s="234">
        <f>IF($E$52='Auftragsänderungen &amp; -ergänzung'!K52,'Auftragsänderungen &amp; -ergänzung'!I52,0)</f>
        <v>0</v>
      </c>
      <c r="F57" s="234">
        <f>IF($F$52='Auftragsänderungen &amp; -ergänzung'!K52,'Auftragsänderungen &amp; -ergänzung'!I52,0)</f>
        <v>0</v>
      </c>
      <c r="G57" s="234">
        <f>IF($G$52='Auftragsänderungen &amp; -ergänzung'!K52,'Auftragsänderungen &amp; -ergänzung'!I52,0)</f>
        <v>0</v>
      </c>
      <c r="H57" s="234">
        <f>IF($H$52='Auftragsänderungen &amp; -ergänzung'!K52,'Auftragsänderungen &amp; -ergänzung'!I52,0)</f>
        <v>0</v>
      </c>
      <c r="I57" s="234">
        <f>IF($I$52='Auftragsänderungen &amp; -ergänzung'!K52,'Auftragsänderungen &amp; -ergänzung'!I52,0)</f>
        <v>0</v>
      </c>
      <c r="J57" s="234">
        <f>IF(J52='Auftragsänderungen &amp; -ergänzung'!$K$52,'Auftragsänderungen &amp; -ergänzung'!$I$52,0)</f>
        <v>0</v>
      </c>
      <c r="K57" s="235">
        <f>IF(K52='Auftragsänderungen &amp; -ergänzung'!$K$52,'Auftragsänderungen &amp; -ergänzung'!$I$52,0)</f>
        <v>0</v>
      </c>
      <c r="T57" s="14"/>
      <c r="U57" s="13"/>
      <c r="V57" s="15"/>
    </row>
    <row r="58" spans="2:22" ht="14.55" x14ac:dyDescent="0.3">
      <c r="C58" s="233">
        <f>IF($C$52='Auftragsänderungen &amp; -ergänzung'!K54,'Auftragsänderungen &amp; -ergänzung'!I54,0)</f>
        <v>0</v>
      </c>
      <c r="D58" s="234">
        <f>IF($D$52='Auftragsänderungen &amp; -ergänzung'!K54,'Auftragsänderungen &amp; -ergänzung'!I54,0)</f>
        <v>0</v>
      </c>
      <c r="E58" s="234">
        <f>IF($E$52='Auftragsänderungen &amp; -ergänzung'!K54,'Auftragsänderungen &amp; -ergänzung'!I54,0)</f>
        <v>0</v>
      </c>
      <c r="F58" s="234">
        <f>IF($F$52='Auftragsänderungen &amp; -ergänzung'!K54,'Auftragsänderungen &amp; -ergänzung'!I54,0)</f>
        <v>0</v>
      </c>
      <c r="G58" s="234">
        <f>IF($G$52='Auftragsänderungen &amp; -ergänzung'!K54,'Auftragsänderungen &amp; -ergänzung'!I54,0)</f>
        <v>0</v>
      </c>
      <c r="H58" s="234">
        <f>IF($H$52='Auftragsänderungen &amp; -ergänzung'!K54,'Auftragsänderungen &amp; -ergänzung'!I54,0)</f>
        <v>0</v>
      </c>
      <c r="I58" s="234">
        <f>IF($I$52='Auftragsänderungen &amp; -ergänzung'!K54,'Auftragsänderungen &amp; -ergänzung'!I54,0)</f>
        <v>0</v>
      </c>
      <c r="J58" s="234">
        <f>IF(J52='Auftragsänderungen &amp; -ergänzung'!$K$54,'Auftragsänderungen &amp; -ergänzung'!$I$54,0)</f>
        <v>0</v>
      </c>
      <c r="K58" s="235">
        <f>IF(K52='Auftragsänderungen &amp; -ergänzung'!$K$54,'Auftragsänderungen &amp; -ergänzung'!$I$54,0)</f>
        <v>0</v>
      </c>
      <c r="T58" s="14"/>
      <c r="U58" s="13"/>
      <c r="V58" s="15"/>
    </row>
    <row r="59" spans="2:22" ht="14.55" x14ac:dyDescent="0.3">
      <c r="C59" s="233">
        <f>IF($C$52='Auftragsänderungen &amp; -ergänzung'!K56,'Auftragsänderungen &amp; -ergänzung'!I56,0)</f>
        <v>0</v>
      </c>
      <c r="D59" s="234">
        <f>IF($D$52='Auftragsänderungen &amp; -ergänzung'!K56,'Auftragsänderungen &amp; -ergänzung'!I56,0)</f>
        <v>0</v>
      </c>
      <c r="E59" s="234">
        <f>IF($E$52='Auftragsänderungen &amp; -ergänzung'!K56,'Auftragsänderungen &amp; -ergänzung'!I56,0)</f>
        <v>0</v>
      </c>
      <c r="F59" s="234">
        <f>IF($F$52='Auftragsänderungen &amp; -ergänzung'!K56,'Auftragsänderungen &amp; -ergänzung'!I56,0)</f>
        <v>0</v>
      </c>
      <c r="G59" s="234">
        <f>IF($G$52='Auftragsänderungen &amp; -ergänzung'!K56,'Auftragsänderungen &amp; -ergänzung'!I56,0)</f>
        <v>0</v>
      </c>
      <c r="H59" s="234">
        <f>IF($H$52='Auftragsänderungen &amp; -ergänzung'!K56,'Auftragsänderungen &amp; -ergänzung'!I56,0)</f>
        <v>0</v>
      </c>
      <c r="I59" s="234">
        <f>IF($I$52='Auftragsänderungen &amp; -ergänzung'!K56,'Auftragsänderungen &amp; -ergänzung'!I56,0)</f>
        <v>0</v>
      </c>
      <c r="J59" s="234">
        <f>IF(J52='Auftragsänderungen &amp; -ergänzung'!$K$56,'Auftragsänderungen &amp; -ergänzung'!$I$56,0)</f>
        <v>0</v>
      </c>
      <c r="K59" s="235">
        <f>IF(K52='Auftragsänderungen &amp; -ergänzung'!$K$56,'Auftragsänderungen &amp; -ergänzung'!$I$56,0)</f>
        <v>0</v>
      </c>
      <c r="T59" s="14"/>
      <c r="U59" s="13"/>
      <c r="V59" s="15"/>
    </row>
    <row r="60" spans="2:22" ht="14.55" x14ac:dyDescent="0.3">
      <c r="C60" s="233">
        <f>IF($C$52='Auftragsänderungen &amp; -ergänzung'!K58,'Auftragsänderungen &amp; -ergänzung'!I58,0)</f>
        <v>0</v>
      </c>
      <c r="D60" s="234">
        <f>IF($D$52='Auftragsänderungen &amp; -ergänzung'!K58,'Auftragsänderungen &amp; -ergänzung'!I58,0)</f>
        <v>0</v>
      </c>
      <c r="E60" s="234">
        <f>IF($E$52='Auftragsänderungen &amp; -ergänzung'!K58,'Auftragsänderungen &amp; -ergänzung'!I58,0)</f>
        <v>0</v>
      </c>
      <c r="F60" s="234">
        <f>IF($F$52='Auftragsänderungen &amp; -ergänzung'!K58,'Auftragsänderungen &amp; -ergänzung'!I58,0)</f>
        <v>0</v>
      </c>
      <c r="G60" s="234">
        <f>IF($G$52='Auftragsänderungen &amp; -ergänzung'!K58,'Auftragsänderungen &amp; -ergänzung'!I58,0)</f>
        <v>0</v>
      </c>
      <c r="H60" s="234">
        <f>IF($H$52='Auftragsänderungen &amp; -ergänzung'!K58,'Auftragsänderungen &amp; -ergänzung'!I58,0)</f>
        <v>0</v>
      </c>
      <c r="I60" s="234">
        <f>IF($I$52='Auftragsänderungen &amp; -ergänzung'!K58,'Auftragsänderungen &amp; -ergänzung'!I58,0)</f>
        <v>0</v>
      </c>
      <c r="J60" s="234">
        <f>IF(J52='Auftragsänderungen &amp; -ergänzung'!$K$58,'Auftragsänderungen &amp; -ergänzung'!$I$58,0)</f>
        <v>0</v>
      </c>
      <c r="K60" s="235">
        <f>IF(K52='Auftragsänderungen &amp; -ergänzung'!$K$58,'Auftragsänderungen &amp; -ergänzung'!$I$58,0)</f>
        <v>0</v>
      </c>
      <c r="T60" s="14"/>
      <c r="U60" s="13"/>
      <c r="V60" s="15"/>
    </row>
    <row r="61" spans="2:22" ht="14.55" x14ac:dyDescent="0.3">
      <c r="C61" s="233">
        <f>IF($C$52='Auftragsänderungen &amp; -ergänzung'!K60,'Auftragsänderungen &amp; -ergänzung'!I60,0)</f>
        <v>0</v>
      </c>
      <c r="D61" s="234">
        <f>IF($D$52='Auftragsänderungen &amp; -ergänzung'!K60,'Auftragsänderungen &amp; -ergänzung'!I60,0)</f>
        <v>0</v>
      </c>
      <c r="E61" s="234">
        <f>IF($E$52='Auftragsänderungen &amp; -ergänzung'!K60,'Auftragsänderungen &amp; -ergänzung'!I60,0)</f>
        <v>0</v>
      </c>
      <c r="F61" s="234">
        <f>IF($F$52='Auftragsänderungen &amp; -ergänzung'!K60,'Auftragsänderungen &amp; -ergänzung'!I60,0)</f>
        <v>0</v>
      </c>
      <c r="G61" s="234">
        <f>IF($G$52='Auftragsänderungen &amp; -ergänzung'!K60,'Auftragsänderungen &amp; -ergänzung'!I60,0)</f>
        <v>0</v>
      </c>
      <c r="H61" s="234">
        <f>IF($H$52='Auftragsänderungen &amp; -ergänzung'!K60,'Auftragsänderungen &amp; -ergänzung'!I60,0)</f>
        <v>0</v>
      </c>
      <c r="I61" s="234">
        <f>IF($I$52='Auftragsänderungen &amp; -ergänzung'!K60,'Auftragsänderungen &amp; -ergänzung'!I60,0)</f>
        <v>0</v>
      </c>
      <c r="J61" s="234">
        <f>IF(J52='Auftragsänderungen &amp; -ergänzung'!$K$60,'Auftragsänderungen &amp; -ergänzung'!$I$60,0)</f>
        <v>0</v>
      </c>
      <c r="K61" s="235">
        <f>IF(K52='Auftragsänderungen &amp; -ergänzung'!$K$60,'Auftragsänderungen &amp; -ergänzung'!$I$60,0)</f>
        <v>0</v>
      </c>
      <c r="T61" s="14"/>
      <c r="U61" s="13"/>
      <c r="V61" s="15"/>
    </row>
    <row r="62" spans="2:22" ht="14.55" x14ac:dyDescent="0.3">
      <c r="C62" s="233">
        <f>IF($C$52='Auftragsänderungen &amp; -ergänzung'!K62,'Auftragsänderungen &amp; -ergänzung'!I62,0)</f>
        <v>0</v>
      </c>
      <c r="D62" s="234">
        <f>IF($D$52='Auftragsänderungen &amp; -ergänzung'!K62,'Auftragsänderungen &amp; -ergänzung'!I62,0)</f>
        <v>0</v>
      </c>
      <c r="E62" s="234">
        <f>IF($E$52='Auftragsänderungen &amp; -ergänzung'!K62,'Auftragsänderungen &amp; -ergänzung'!I62,0)</f>
        <v>0</v>
      </c>
      <c r="F62" s="234">
        <f>IF($F$52='Auftragsänderungen &amp; -ergänzung'!K62,'Auftragsänderungen &amp; -ergänzung'!I62,0)</f>
        <v>0</v>
      </c>
      <c r="G62" s="234">
        <f>IF($G$52='Auftragsänderungen &amp; -ergänzung'!K62,'Auftragsänderungen &amp; -ergänzung'!I62,0)</f>
        <v>0</v>
      </c>
      <c r="H62" s="234">
        <f>IF($H$52='Auftragsänderungen &amp; -ergänzung'!K62,'Auftragsänderungen &amp; -ergänzung'!I62,0)</f>
        <v>0</v>
      </c>
      <c r="I62" s="234">
        <f>IF($I$52='Auftragsänderungen &amp; -ergänzung'!K62,'Auftragsänderungen &amp; -ergänzung'!I62,0)</f>
        <v>0</v>
      </c>
      <c r="J62" s="234">
        <f>IF(J52='Auftragsänderungen &amp; -ergänzung'!$K$62,'Auftragsänderungen &amp; -ergänzung'!$I$62,0)</f>
        <v>0</v>
      </c>
      <c r="K62" s="235">
        <f>IF(K52='Auftragsänderungen &amp; -ergänzung'!$K$62,'Auftragsänderungen &amp; -ergänzung'!$I$62,0)</f>
        <v>0</v>
      </c>
      <c r="T62" s="14"/>
      <c r="U62" s="13"/>
      <c r="V62" s="15"/>
    </row>
    <row r="63" spans="2:22" ht="14.55" x14ac:dyDescent="0.3">
      <c r="C63" s="233">
        <f>IF($C$52='Auftragsänderungen &amp; -ergänzung'!K64,'Auftragsänderungen &amp; -ergänzung'!I64,0)</f>
        <v>0</v>
      </c>
      <c r="D63" s="234">
        <f>IF($D$52='Auftragsänderungen &amp; -ergänzung'!K64,'Auftragsänderungen &amp; -ergänzung'!I64,0)</f>
        <v>0</v>
      </c>
      <c r="E63" s="234">
        <f>IF($E$52='Auftragsänderungen &amp; -ergänzung'!K64,'Auftragsänderungen &amp; -ergänzung'!I64,0)</f>
        <v>0</v>
      </c>
      <c r="F63" s="234">
        <f>IF($F$52='Auftragsänderungen &amp; -ergänzung'!K64,'Auftragsänderungen &amp; -ergänzung'!I64,0)</f>
        <v>0</v>
      </c>
      <c r="G63" s="234">
        <f>IF($G$52='Auftragsänderungen &amp; -ergänzung'!K64,'Auftragsänderungen &amp; -ergänzung'!I64,0)</f>
        <v>0</v>
      </c>
      <c r="H63" s="234">
        <f>IF($H$52='Auftragsänderungen &amp; -ergänzung'!K64,'Auftragsänderungen &amp; -ergänzung'!I64,0)</f>
        <v>0</v>
      </c>
      <c r="I63" s="234">
        <f>IF($I$52='Auftragsänderungen &amp; -ergänzung'!K64,'Auftragsänderungen &amp; -ergänzung'!I64,0)</f>
        <v>0</v>
      </c>
      <c r="J63" s="234">
        <f>IF(J52='Auftragsänderungen &amp; -ergänzung'!$K$64,'Auftragsänderungen &amp; -ergänzung'!$I$64,0)</f>
        <v>0</v>
      </c>
      <c r="K63" s="235">
        <f>IF(K52='Auftragsänderungen &amp; -ergänzung'!$K$64,'Auftragsänderungen &amp; -ergänzung'!$I$64,0)</f>
        <v>0</v>
      </c>
      <c r="T63" s="14"/>
      <c r="U63" s="13"/>
      <c r="V63" s="15"/>
    </row>
    <row r="64" spans="2:22" ht="14.55" x14ac:dyDescent="0.3">
      <c r="C64" s="233">
        <f>IF($C$52='Auftragsänderungen &amp; -ergänzung'!K66,'Auftragsänderungen &amp; -ergänzung'!I66,0)</f>
        <v>0</v>
      </c>
      <c r="D64" s="234">
        <f>IF($D$52='Auftragsänderungen &amp; -ergänzung'!K66,'Auftragsänderungen &amp; -ergänzung'!I66,0)</f>
        <v>0</v>
      </c>
      <c r="E64" s="234">
        <f>IF($E$52='Auftragsänderungen &amp; -ergänzung'!K66,'Auftragsänderungen &amp; -ergänzung'!I66,0)</f>
        <v>0</v>
      </c>
      <c r="F64" s="234">
        <f>IF($F$52='Auftragsänderungen &amp; -ergänzung'!K66,'Auftragsänderungen &amp; -ergänzung'!I66,0)</f>
        <v>0</v>
      </c>
      <c r="G64" s="234">
        <f>IF($G$52='Auftragsänderungen &amp; -ergänzung'!K66,'Auftragsänderungen &amp; -ergänzung'!I66,0)</f>
        <v>0</v>
      </c>
      <c r="H64" s="234">
        <f>IF($H$52='Auftragsänderungen &amp; -ergänzung'!K66,'Auftragsänderungen &amp; -ergänzung'!I66,0)</f>
        <v>0</v>
      </c>
      <c r="I64" s="234">
        <f>IF($I$52='Auftragsänderungen &amp; -ergänzung'!K66,'Auftragsänderungen &amp; -ergänzung'!I66,0)</f>
        <v>0</v>
      </c>
      <c r="J64" s="234">
        <f>IF(J52='Auftragsänderungen &amp; -ergänzung'!$K$66,'Auftragsänderungen &amp; -ergänzung'!$I$66,0)</f>
        <v>0</v>
      </c>
      <c r="K64" s="235">
        <f>IF(K52='Auftragsänderungen &amp; -ergänzung'!$K$66,'Auftragsänderungen &amp; -ergänzung'!$I$66,0)</f>
        <v>0</v>
      </c>
      <c r="T64" s="14"/>
      <c r="U64" s="13"/>
      <c r="V64" s="16"/>
    </row>
    <row r="65" spans="1:22" ht="14.55" x14ac:dyDescent="0.3">
      <c r="C65" s="233">
        <f>IF($C$52='Auftragsänderungen &amp; -ergänzung'!K68,'Auftragsänderungen &amp; -ergänzung'!I68,0)</f>
        <v>0</v>
      </c>
      <c r="D65" s="234">
        <f>IF($D$52='Auftragsänderungen &amp; -ergänzung'!K68,'Auftragsänderungen &amp; -ergänzung'!I68,0)</f>
        <v>0</v>
      </c>
      <c r="E65" s="234">
        <f>IF($E$52='Auftragsänderungen &amp; -ergänzung'!K68,'Auftragsänderungen &amp; -ergänzung'!I68,0)</f>
        <v>0</v>
      </c>
      <c r="F65" s="234">
        <f>IF($F$52='Auftragsänderungen &amp; -ergänzung'!K68,'Auftragsänderungen &amp; -ergänzung'!I68,0)</f>
        <v>0</v>
      </c>
      <c r="G65" s="234">
        <f>IF($G$52='Auftragsänderungen &amp; -ergänzung'!K68,'Auftragsänderungen &amp; -ergänzung'!I68,0)</f>
        <v>0</v>
      </c>
      <c r="H65" s="234">
        <f>IF($H$52='Auftragsänderungen &amp; -ergänzung'!K68,'Auftragsänderungen &amp; -ergänzung'!I68,0)</f>
        <v>0</v>
      </c>
      <c r="I65" s="234">
        <f>IF($I$52='Auftragsänderungen &amp; -ergänzung'!K68,'Auftragsänderungen &amp; -ergänzung'!I68,0)</f>
        <v>0</v>
      </c>
      <c r="J65" s="234">
        <f>IF(J52='Auftragsänderungen &amp; -ergänzung'!$K$68,'Auftragsänderungen &amp; -ergänzung'!$I$68,0)</f>
        <v>0</v>
      </c>
      <c r="K65" s="235">
        <f>IF(K52='Auftragsänderungen &amp; -ergänzung'!$K$68,'Auftragsänderungen &amp; -ergänzung'!$I$68,0)</f>
        <v>0</v>
      </c>
      <c r="T65" s="14"/>
      <c r="U65" s="13"/>
      <c r="V65" s="15"/>
    </row>
    <row r="66" spans="1:22" ht="14.55" x14ac:dyDescent="0.3">
      <c r="C66" s="233">
        <f>IF($C$52='Auftragsänderungen &amp; -ergänzung'!K70,'Auftragsänderungen &amp; -ergänzung'!I70,0)</f>
        <v>0</v>
      </c>
      <c r="D66" s="234">
        <f>IF($D$52='Auftragsänderungen &amp; -ergänzung'!K70,'Auftragsänderungen &amp; -ergänzung'!I70,0)</f>
        <v>0</v>
      </c>
      <c r="E66" s="234">
        <f>IF($E$52='Auftragsänderungen &amp; -ergänzung'!K70,'Auftragsänderungen &amp; -ergänzung'!I70,0)</f>
        <v>0</v>
      </c>
      <c r="F66" s="234">
        <f>IF($F$52='Auftragsänderungen &amp; -ergänzung'!K70,'Auftragsänderungen &amp; -ergänzung'!I70,0)</f>
        <v>0</v>
      </c>
      <c r="G66" s="234">
        <f>IF($G$52='Auftragsänderungen &amp; -ergänzung'!K70,'Auftragsänderungen &amp; -ergänzung'!I70,0)</f>
        <v>0</v>
      </c>
      <c r="H66" s="234">
        <f>IF($H$52='Auftragsänderungen &amp; -ergänzung'!K70,'Auftragsänderungen &amp; -ergänzung'!I70,0)</f>
        <v>0</v>
      </c>
      <c r="I66" s="234">
        <f>IF($I$52='Auftragsänderungen &amp; -ergänzung'!K70,'Auftragsänderungen &amp; -ergänzung'!I70,0)</f>
        <v>0</v>
      </c>
      <c r="J66" s="234">
        <f>IF(J52='Auftragsänderungen &amp; -ergänzung'!$K$70,'Auftragsänderungen &amp; -ergänzung'!$I$70,0)</f>
        <v>0</v>
      </c>
      <c r="K66" s="235">
        <f>IF(K52='Auftragsänderungen &amp; -ergänzung'!$K$70,'Auftragsänderungen &amp; -ergänzung'!$I$70,0)</f>
        <v>0</v>
      </c>
      <c r="T66" s="14"/>
      <c r="U66" s="13"/>
      <c r="V66" s="15"/>
    </row>
    <row r="67" spans="1:22" ht="14.55" x14ac:dyDescent="0.3">
      <c r="C67" s="233">
        <f>IF($C$52='Auftragsänderungen &amp; -ergänzung'!K72,'Auftragsänderungen &amp; -ergänzung'!I72,0)</f>
        <v>0</v>
      </c>
      <c r="D67" s="234">
        <f>IF($D$52='Auftragsänderungen &amp; -ergänzung'!K72,'Auftragsänderungen &amp; -ergänzung'!I72,0)</f>
        <v>0</v>
      </c>
      <c r="E67" s="234">
        <f>IF($E$52='Auftragsänderungen &amp; -ergänzung'!K72,'Auftragsänderungen &amp; -ergänzung'!I72,0)</f>
        <v>0</v>
      </c>
      <c r="F67" s="234">
        <f>IF($F$52='Auftragsänderungen &amp; -ergänzung'!K72,'Auftragsänderungen &amp; -ergänzung'!I72,0)</f>
        <v>0</v>
      </c>
      <c r="G67" s="234">
        <f>IF($G$52='Auftragsänderungen &amp; -ergänzung'!K72,'Auftragsänderungen &amp; -ergänzung'!I72,0)</f>
        <v>0</v>
      </c>
      <c r="H67" s="234">
        <f>IF($H$52='Auftragsänderungen &amp; -ergänzung'!K72,'Auftragsänderungen &amp; -ergänzung'!I72,0)</f>
        <v>0</v>
      </c>
      <c r="I67" s="234">
        <f>IF($I$52='Auftragsänderungen &amp; -ergänzung'!K72,'Auftragsänderungen &amp; -ergänzung'!I72,0)</f>
        <v>0</v>
      </c>
      <c r="J67" s="234">
        <f>IF(J52='Auftragsänderungen &amp; -ergänzung'!$K$72,'Auftragsänderungen &amp; -ergänzung'!$I$72,0)</f>
        <v>0</v>
      </c>
      <c r="K67" s="235">
        <f>IF(K52='Auftragsänderungen &amp; -ergänzung'!$K$72,'Auftragsänderungen &amp; -ergänzung'!$I$72,0)</f>
        <v>0</v>
      </c>
      <c r="T67" s="14"/>
      <c r="U67" s="13"/>
      <c r="V67" s="15"/>
    </row>
    <row r="68" spans="1:22" ht="15.2" thickBot="1" x14ac:dyDescent="0.35">
      <c r="C68" s="379">
        <f>IF($C$52='Auftragsänderungen &amp; -ergänzung'!K74,'Auftragsänderungen &amp; -ergänzung'!I74,0)</f>
        <v>0</v>
      </c>
      <c r="D68" s="380">
        <f>IF($D$52='Auftragsänderungen &amp; -ergänzung'!K74,'Auftragsänderungen &amp; -ergänzung'!I74,0)</f>
        <v>0</v>
      </c>
      <c r="E68" s="380">
        <f>IF($E$52='Auftragsänderungen &amp; -ergänzung'!K74,'Auftragsänderungen &amp; -ergänzung'!I74,0)</f>
        <v>0</v>
      </c>
      <c r="F68" s="380">
        <f>IF($F$52='Auftragsänderungen &amp; -ergänzung'!K74,'Auftragsänderungen &amp; -ergänzung'!I74,0)</f>
        <v>0</v>
      </c>
      <c r="G68" s="380">
        <f>IF($G$52='Auftragsänderungen &amp; -ergänzung'!K74,'Auftragsänderungen &amp; -ergänzung'!I74,0)</f>
        <v>0</v>
      </c>
      <c r="H68" s="380">
        <f>IF($H$52='Auftragsänderungen &amp; -ergänzung'!K74,'Auftragsänderungen &amp; -ergänzung'!I74,0)</f>
        <v>0</v>
      </c>
      <c r="I68" s="380">
        <f>IF($I$52='Auftragsänderungen &amp; -ergänzung'!K74,'Auftragsänderungen &amp; -ergänzung'!I74,0)</f>
        <v>0</v>
      </c>
      <c r="J68" s="380">
        <f>IF(J52='Auftragsänderungen &amp; -ergänzung'!$K$74,'Auftragsänderungen &amp; -ergänzung'!$I$74,0)</f>
        <v>0</v>
      </c>
      <c r="K68" s="381">
        <f>IF(K52='Auftragsänderungen &amp; -ergänzung'!$K$74,'Auftragsänderungen &amp; -ergänzung'!$I$74,0)</f>
        <v>0</v>
      </c>
      <c r="T68" s="14"/>
      <c r="U68" s="13"/>
      <c r="V68" s="15"/>
    </row>
    <row r="69" spans="1:22" ht="15.2" thickBot="1" x14ac:dyDescent="0.35">
      <c r="C69" s="239">
        <f>SUM(C53:C68)</f>
        <v>0</v>
      </c>
      <c r="D69" s="382">
        <f t="shared" ref="D69:K69" si="3">SUM(D53:D68)</f>
        <v>0</v>
      </c>
      <c r="E69" s="382">
        <f t="shared" si="3"/>
        <v>0</v>
      </c>
      <c r="F69" s="382">
        <f t="shared" si="3"/>
        <v>0</v>
      </c>
      <c r="G69" s="382">
        <f t="shared" si="3"/>
        <v>0</v>
      </c>
      <c r="H69" s="382">
        <f t="shared" si="3"/>
        <v>0</v>
      </c>
      <c r="I69" s="382">
        <f t="shared" si="3"/>
        <v>0</v>
      </c>
      <c r="J69" s="382">
        <f t="shared" si="3"/>
        <v>0</v>
      </c>
      <c r="K69" s="383">
        <f t="shared" si="3"/>
        <v>0</v>
      </c>
      <c r="T69" s="14"/>
      <c r="U69" s="13"/>
      <c r="V69" s="15"/>
    </row>
    <row r="70" spans="1:22" ht="14.55" x14ac:dyDescent="0.3">
      <c r="C70" s="245"/>
      <c r="D70" s="245"/>
      <c r="E70" s="245"/>
      <c r="F70" s="245"/>
      <c r="G70" s="245"/>
      <c r="H70" s="245"/>
      <c r="I70" s="245"/>
      <c r="J70" s="245"/>
      <c r="T70" s="14"/>
      <c r="U70" s="13"/>
      <c r="V70" s="15"/>
    </row>
    <row r="71" spans="1:22" ht="14.55" x14ac:dyDescent="0.3">
      <c r="C71" s="279">
        <v>1</v>
      </c>
      <c r="D71" s="279">
        <v>2</v>
      </c>
      <c r="E71" s="279">
        <v>3</v>
      </c>
      <c r="F71" s="279">
        <v>4</v>
      </c>
      <c r="G71" s="279">
        <v>5</v>
      </c>
      <c r="H71" s="279">
        <v>6</v>
      </c>
      <c r="I71" s="279">
        <v>7</v>
      </c>
      <c r="J71" s="279">
        <v>8</v>
      </c>
      <c r="L71" s="1" t="s">
        <v>922</v>
      </c>
      <c r="M71" s="1" t="s">
        <v>923</v>
      </c>
      <c r="T71" s="14"/>
      <c r="U71" s="13"/>
      <c r="V71" s="15"/>
    </row>
    <row r="72" spans="1:22" ht="14.55" x14ac:dyDescent="0.3">
      <c r="A72" s="2143" t="s">
        <v>832</v>
      </c>
      <c r="B72" s="2143"/>
      <c r="C72" s="254">
        <f t="shared" ref="C72:K72" si="4">C70+C48+C69</f>
        <v>0</v>
      </c>
      <c r="D72" s="254">
        <f t="shared" si="4"/>
        <v>0</v>
      </c>
      <c r="E72" s="254">
        <f t="shared" si="4"/>
        <v>0</v>
      </c>
      <c r="F72" s="254">
        <f t="shared" si="4"/>
        <v>0</v>
      </c>
      <c r="G72" s="254">
        <f t="shared" si="4"/>
        <v>0</v>
      </c>
      <c r="H72" s="254">
        <f t="shared" si="4"/>
        <v>0</v>
      </c>
      <c r="I72" s="254">
        <f t="shared" si="4"/>
        <v>0</v>
      </c>
      <c r="J72" s="254">
        <f t="shared" si="4"/>
        <v>0</v>
      </c>
      <c r="K72" s="254">
        <f t="shared" si="4"/>
        <v>0</v>
      </c>
      <c r="L72" s="1">
        <v>1</v>
      </c>
      <c r="M72" s="83">
        <f>C72</f>
        <v>0</v>
      </c>
      <c r="T72" s="14"/>
      <c r="U72" s="13"/>
      <c r="V72" s="15"/>
    </row>
    <row r="73" spans="1:22" ht="14.55" x14ac:dyDescent="0.3">
      <c r="C73" s="245"/>
      <c r="D73" s="245"/>
      <c r="E73" s="245"/>
      <c r="F73" s="245"/>
      <c r="G73" s="245"/>
      <c r="H73" s="245"/>
      <c r="I73" s="245"/>
      <c r="J73" s="245"/>
      <c r="L73" s="1">
        <v>2</v>
      </c>
      <c r="M73" s="83">
        <f>D72</f>
        <v>0</v>
      </c>
      <c r="T73" s="14"/>
      <c r="U73" s="13"/>
      <c r="V73" s="15"/>
    </row>
    <row r="74" spans="1:22" ht="14.55" x14ac:dyDescent="0.3">
      <c r="C74" s="245"/>
      <c r="D74" s="245"/>
      <c r="E74" s="245"/>
      <c r="F74" s="245"/>
      <c r="G74" s="245"/>
      <c r="H74" s="245"/>
      <c r="I74" s="245"/>
      <c r="J74" s="245"/>
      <c r="L74" s="1">
        <v>3</v>
      </c>
      <c r="M74" s="83">
        <f>E72</f>
        <v>0</v>
      </c>
      <c r="T74" s="14"/>
      <c r="U74" s="13"/>
      <c r="V74" s="15"/>
    </row>
    <row r="75" spans="1:22" ht="14.55" x14ac:dyDescent="0.3">
      <c r="C75" s="245"/>
      <c r="D75" s="245"/>
      <c r="E75" s="245"/>
      <c r="F75" s="245"/>
      <c r="G75" s="245"/>
      <c r="H75" s="245"/>
      <c r="I75" s="245"/>
      <c r="J75" s="245"/>
      <c r="L75" s="1">
        <v>4</v>
      </c>
      <c r="M75" s="83">
        <f>F72</f>
        <v>0</v>
      </c>
      <c r="T75" s="14"/>
      <c r="U75" s="13"/>
      <c r="V75" s="15"/>
    </row>
    <row r="76" spans="1:22" ht="14.55" x14ac:dyDescent="0.3">
      <c r="C76" s="245"/>
      <c r="D76" s="245"/>
      <c r="E76" s="245"/>
      <c r="F76" s="245"/>
      <c r="G76" s="245"/>
      <c r="H76" s="245"/>
      <c r="I76" s="245"/>
      <c r="J76" s="245"/>
      <c r="L76" s="1">
        <v>5</v>
      </c>
      <c r="M76" s="83">
        <f>G72</f>
        <v>0</v>
      </c>
      <c r="T76" s="14"/>
      <c r="U76" s="13"/>
      <c r="V76" s="15"/>
    </row>
    <row r="77" spans="1:22" ht="14.55" x14ac:dyDescent="0.3">
      <c r="C77" s="245"/>
      <c r="D77" s="245"/>
      <c r="E77" s="245"/>
      <c r="F77" s="245"/>
      <c r="G77" s="245"/>
      <c r="H77" s="245"/>
      <c r="I77" s="245"/>
      <c r="J77" s="245"/>
      <c r="L77" s="1">
        <v>6</v>
      </c>
      <c r="M77" s="83">
        <f>H72</f>
        <v>0</v>
      </c>
      <c r="T77" s="14"/>
      <c r="U77" s="13"/>
      <c r="V77" s="15"/>
    </row>
    <row r="78" spans="1:22" ht="14.55" x14ac:dyDescent="0.3">
      <c r="C78" s="245"/>
      <c r="D78" s="245"/>
      <c r="E78" s="245"/>
      <c r="F78" s="245"/>
      <c r="G78" s="245"/>
      <c r="H78" s="245"/>
      <c r="I78" s="245"/>
      <c r="J78" s="245"/>
      <c r="L78" s="1">
        <v>7</v>
      </c>
      <c r="M78" s="83">
        <f>I72</f>
        <v>0</v>
      </c>
      <c r="T78" s="14"/>
      <c r="U78" s="13"/>
      <c r="V78" s="15"/>
    </row>
    <row r="79" spans="1:22" ht="14.55" x14ac:dyDescent="0.3">
      <c r="C79" s="245"/>
      <c r="D79" s="245"/>
      <c r="E79" s="245"/>
      <c r="F79" s="245"/>
      <c r="G79" s="245"/>
      <c r="H79" s="245"/>
      <c r="I79" s="245"/>
      <c r="J79" s="245"/>
      <c r="L79" s="1">
        <v>8</v>
      </c>
      <c r="M79" s="83">
        <f>J72</f>
        <v>0</v>
      </c>
      <c r="T79" s="14"/>
      <c r="U79" s="13"/>
      <c r="V79" s="15"/>
    </row>
    <row r="80" spans="1:22" ht="14.55" x14ac:dyDescent="0.3">
      <c r="C80" s="245"/>
      <c r="D80" s="245"/>
      <c r="E80" s="245"/>
      <c r="F80" s="245"/>
      <c r="G80" s="245"/>
      <c r="H80" s="245"/>
      <c r="I80" s="245"/>
      <c r="J80" s="245"/>
      <c r="L80" s="1">
        <v>9</v>
      </c>
      <c r="M80" s="83">
        <f>K72</f>
        <v>0</v>
      </c>
      <c r="T80" s="14"/>
      <c r="U80" s="13"/>
      <c r="V80" s="15"/>
    </row>
    <row r="81" spans="3:22" ht="14.55" x14ac:dyDescent="0.3">
      <c r="C81" s="245"/>
      <c r="D81" s="245"/>
      <c r="E81" s="245"/>
      <c r="F81" s="245"/>
      <c r="G81" s="245"/>
      <c r="H81" s="245"/>
      <c r="I81" s="245"/>
      <c r="J81" s="245"/>
      <c r="M81" s="83">
        <f>SUM(M72:M79)</f>
        <v>0</v>
      </c>
      <c r="T81" s="14"/>
      <c r="U81" s="13"/>
      <c r="V81" s="15"/>
    </row>
    <row r="82" spans="3:22" ht="14.55" x14ac:dyDescent="0.3">
      <c r="C82" s="245"/>
      <c r="D82" s="245"/>
      <c r="E82" s="245"/>
      <c r="F82" s="245"/>
      <c r="G82" s="245"/>
      <c r="H82" s="245"/>
      <c r="I82" s="245"/>
      <c r="J82" s="245"/>
      <c r="T82" s="14"/>
      <c r="U82" s="13"/>
      <c r="V82" s="15"/>
    </row>
    <row r="83" spans="3:22" ht="14.55" x14ac:dyDescent="0.3">
      <c r="C83" s="245"/>
      <c r="D83" s="245"/>
      <c r="E83" s="245"/>
      <c r="F83" s="245"/>
      <c r="G83" s="245"/>
      <c r="H83" s="245"/>
      <c r="I83" s="245"/>
      <c r="J83" s="245"/>
      <c r="T83" s="14"/>
      <c r="U83" s="13"/>
      <c r="V83" s="15"/>
    </row>
    <row r="84" spans="3:22" ht="14.55" x14ac:dyDescent="0.3">
      <c r="C84" s="245"/>
      <c r="D84" s="245"/>
      <c r="E84" s="245"/>
      <c r="F84" s="245"/>
      <c r="G84" s="245"/>
      <c r="H84" s="245"/>
      <c r="I84" s="245"/>
      <c r="J84" s="245"/>
      <c r="T84" s="14"/>
      <c r="U84" s="13"/>
      <c r="V84" s="15"/>
    </row>
    <row r="85" spans="3:22" ht="14.55" x14ac:dyDescent="0.3">
      <c r="C85" s="245"/>
      <c r="D85" s="245"/>
      <c r="E85" s="245"/>
      <c r="F85" s="245"/>
      <c r="G85" s="245"/>
      <c r="H85" s="245"/>
      <c r="I85" s="245"/>
      <c r="J85" s="245"/>
      <c r="T85" s="14"/>
      <c r="U85" s="13"/>
      <c r="V85" s="15"/>
    </row>
    <row r="86" spans="3:22" ht="14.55" x14ac:dyDescent="0.3">
      <c r="C86" s="245"/>
      <c r="D86" s="245"/>
      <c r="E86" s="245"/>
      <c r="F86" s="245"/>
      <c r="G86" s="245"/>
      <c r="H86" s="245"/>
      <c r="I86" s="245"/>
      <c r="J86" s="245"/>
      <c r="T86" s="14"/>
      <c r="U86" s="13"/>
      <c r="V86" s="15"/>
    </row>
    <row r="87" spans="3:22" ht="14.55" x14ac:dyDescent="0.3">
      <c r="C87" s="245"/>
      <c r="D87" s="245"/>
      <c r="E87" s="245"/>
      <c r="F87" s="245"/>
      <c r="G87" s="245"/>
      <c r="H87" s="245"/>
      <c r="I87" s="245"/>
      <c r="J87" s="245"/>
      <c r="T87" s="14"/>
      <c r="U87" s="13"/>
      <c r="V87" s="15"/>
    </row>
    <row r="88" spans="3:22" ht="14.55" x14ac:dyDescent="0.3">
      <c r="T88" s="14"/>
      <c r="U88" s="13"/>
      <c r="V88" s="15"/>
    </row>
    <row r="89" spans="3:22" ht="14.55" x14ac:dyDescent="0.3">
      <c r="T89" s="14"/>
      <c r="U89" s="13"/>
      <c r="V89" s="15"/>
    </row>
    <row r="90" spans="3:22" ht="14.55" x14ac:dyDescent="0.3">
      <c r="T90" s="14"/>
      <c r="U90" s="13"/>
      <c r="V90" s="15"/>
    </row>
    <row r="91" spans="3:22" ht="14.55" x14ac:dyDescent="0.3">
      <c r="T91" s="14"/>
      <c r="U91" s="13"/>
      <c r="V91" s="15"/>
    </row>
    <row r="92" spans="3:22" ht="14.55" x14ac:dyDescent="0.3">
      <c r="T92" s="14"/>
      <c r="U92" s="13"/>
      <c r="V92" s="15"/>
    </row>
    <row r="93" spans="3:22" ht="14.55" x14ac:dyDescent="0.3">
      <c r="T93" s="14"/>
      <c r="U93" s="13"/>
      <c r="V93" s="15"/>
    </row>
    <row r="94" spans="3:22" ht="14.55" x14ac:dyDescent="0.3">
      <c r="T94" s="14"/>
      <c r="U94" s="13"/>
      <c r="V94" s="15"/>
    </row>
    <row r="95" spans="3:22" ht="14.55" x14ac:dyDescent="0.3">
      <c r="T95" s="14"/>
      <c r="U95" s="13"/>
      <c r="V95" s="15"/>
    </row>
    <row r="96" spans="3:22" ht="14.55" x14ac:dyDescent="0.3">
      <c r="T96" s="14"/>
      <c r="U96" s="13"/>
      <c r="V96" s="15"/>
    </row>
    <row r="97" spans="3:22" ht="14.55" x14ac:dyDescent="0.3">
      <c r="T97" s="14"/>
      <c r="U97" s="13"/>
      <c r="V97" s="15"/>
    </row>
    <row r="98" spans="3:22" ht="14.55" x14ac:dyDescent="0.3">
      <c r="T98" s="14"/>
      <c r="U98" s="13"/>
      <c r="V98" s="15"/>
    </row>
    <row r="99" spans="3:22" ht="14.55" x14ac:dyDescent="0.3">
      <c r="T99" s="14"/>
      <c r="U99" s="13"/>
      <c r="V99" s="15"/>
    </row>
    <row r="100" spans="3:22" ht="14.55" x14ac:dyDescent="0.3">
      <c r="T100" s="14"/>
      <c r="U100" s="13"/>
      <c r="V100" s="15"/>
    </row>
    <row r="101" spans="3:22" ht="14.55" x14ac:dyDescent="0.3">
      <c r="T101" s="14"/>
      <c r="U101" s="13"/>
      <c r="V101" s="15"/>
    </row>
    <row r="102" spans="3:22" ht="14.55" x14ac:dyDescent="0.3">
      <c r="T102" s="14"/>
      <c r="U102" s="13"/>
      <c r="V102" s="15"/>
    </row>
    <row r="103" spans="3:22" ht="14.55" x14ac:dyDescent="0.3">
      <c r="T103" s="14"/>
      <c r="U103" s="13"/>
      <c r="V103" s="15"/>
    </row>
    <row r="104" spans="3:22" ht="14.55" x14ac:dyDescent="0.3">
      <c r="T104" s="14"/>
      <c r="U104" s="13"/>
      <c r="V104" s="15"/>
    </row>
    <row r="105" spans="3:22" ht="14.55" x14ac:dyDescent="0.3">
      <c r="T105" s="14"/>
      <c r="U105" s="13"/>
      <c r="V105" s="15"/>
    </row>
    <row r="106" spans="3:22" ht="14.55" x14ac:dyDescent="0.3">
      <c r="T106" s="14"/>
      <c r="U106" s="13"/>
      <c r="V106" s="15"/>
    </row>
    <row r="107" spans="3:22" ht="14.55" x14ac:dyDescent="0.3">
      <c r="T107" s="14"/>
      <c r="U107" s="13"/>
      <c r="V107" s="15"/>
    </row>
    <row r="108" spans="3:22" ht="14.55" x14ac:dyDescent="0.3">
      <c r="T108" s="14"/>
      <c r="U108" s="13"/>
      <c r="V108" s="15"/>
    </row>
    <row r="109" spans="3:22" ht="14.55" x14ac:dyDescent="0.3">
      <c r="T109" s="14"/>
      <c r="U109" s="13"/>
      <c r="V109" s="15"/>
    </row>
    <row r="110" spans="3:22" ht="14.55" x14ac:dyDescent="0.3">
      <c r="T110" s="14"/>
      <c r="U110" s="13"/>
      <c r="V110" s="15"/>
    </row>
    <row r="111" spans="3:22" ht="14.55" x14ac:dyDescent="0.3">
      <c r="T111" s="14"/>
      <c r="U111" s="13"/>
      <c r="V111" s="15"/>
    </row>
    <row r="112" spans="3:22" ht="14.55" x14ac:dyDescent="0.3">
      <c r="C112" s="83"/>
      <c r="D112" s="83"/>
      <c r="E112" s="83"/>
      <c r="F112" s="83"/>
      <c r="G112" s="83"/>
      <c r="H112" s="83"/>
      <c r="I112" s="83"/>
      <c r="J112" s="83"/>
      <c r="K112" s="83"/>
      <c r="L112" s="83"/>
      <c r="M112" s="83"/>
      <c r="N112" s="83"/>
      <c r="O112" s="83"/>
      <c r="P112" s="83"/>
      <c r="T112" s="14"/>
      <c r="U112" s="13"/>
      <c r="V112" s="15"/>
    </row>
    <row r="113" spans="3:22" ht="14.55" x14ac:dyDescent="0.3">
      <c r="C113" s="83"/>
      <c r="D113" s="83"/>
      <c r="E113" s="83"/>
      <c r="F113" s="83"/>
      <c r="G113" s="83"/>
      <c r="H113" s="83"/>
      <c r="I113" s="83"/>
      <c r="J113" s="83"/>
      <c r="K113" s="83"/>
      <c r="L113" s="83"/>
      <c r="M113" s="83"/>
      <c r="N113" s="83"/>
      <c r="O113" s="83"/>
      <c r="P113" s="83"/>
      <c r="T113" s="14"/>
      <c r="U113" s="13"/>
      <c r="V113" s="15"/>
    </row>
    <row r="114" spans="3:22" ht="14.55" x14ac:dyDescent="0.3">
      <c r="C114" s="83"/>
      <c r="D114" s="83"/>
      <c r="E114" s="83"/>
      <c r="F114" s="83"/>
      <c r="G114" s="83"/>
      <c r="H114" s="83"/>
      <c r="I114" s="83"/>
      <c r="J114" s="83"/>
      <c r="K114" s="83"/>
      <c r="L114" s="83"/>
      <c r="M114" s="83"/>
      <c r="N114" s="83"/>
      <c r="O114" s="83"/>
      <c r="P114" s="83"/>
      <c r="T114" s="14"/>
      <c r="U114" s="13"/>
      <c r="V114" s="15"/>
    </row>
    <row r="115" spans="3:22" ht="14.55" x14ac:dyDescent="0.3">
      <c r="C115" s="83"/>
      <c r="D115" s="83"/>
      <c r="E115" s="83"/>
      <c r="F115" s="83"/>
      <c r="G115" s="83"/>
      <c r="H115" s="83"/>
      <c r="I115" s="83"/>
      <c r="J115" s="83"/>
      <c r="K115" s="83"/>
      <c r="L115" s="83"/>
      <c r="M115" s="83"/>
      <c r="N115" s="83"/>
      <c r="O115" s="83"/>
      <c r="P115" s="83"/>
      <c r="T115" s="14"/>
      <c r="U115" s="13"/>
      <c r="V115" s="15"/>
    </row>
    <row r="116" spans="3:22" ht="14.55" x14ac:dyDescent="0.3">
      <c r="C116" s="83"/>
      <c r="D116" s="83"/>
      <c r="E116" s="83"/>
      <c r="F116" s="83"/>
      <c r="G116" s="83"/>
      <c r="H116" s="83"/>
      <c r="I116" s="83"/>
      <c r="J116" s="83"/>
      <c r="K116" s="83"/>
      <c r="L116" s="83"/>
      <c r="M116" s="83"/>
      <c r="N116" s="83"/>
      <c r="O116" s="83"/>
      <c r="P116" s="83"/>
      <c r="T116" s="14"/>
      <c r="U116" s="13"/>
      <c r="V116" s="15"/>
    </row>
    <row r="117" spans="3:22" ht="14.55" x14ac:dyDescent="0.3">
      <c r="C117" s="83"/>
      <c r="D117" s="83"/>
      <c r="E117" s="83"/>
      <c r="F117" s="83"/>
      <c r="G117" s="83"/>
      <c r="H117" s="83"/>
      <c r="I117" s="83"/>
      <c r="J117" s="83"/>
      <c r="K117" s="83"/>
      <c r="L117" s="83"/>
      <c r="M117" s="83"/>
      <c r="N117" s="83"/>
      <c r="O117" s="83"/>
      <c r="P117" s="83"/>
      <c r="T117" s="14"/>
      <c r="U117" s="13"/>
      <c r="V117" s="15"/>
    </row>
    <row r="118" spans="3:22" ht="14.55" x14ac:dyDescent="0.3">
      <c r="C118" s="83"/>
      <c r="D118" s="83"/>
      <c r="E118" s="83"/>
      <c r="F118" s="83"/>
      <c r="G118" s="83"/>
      <c r="H118" s="83"/>
      <c r="I118" s="83"/>
      <c r="J118" s="83"/>
      <c r="K118" s="83"/>
      <c r="L118" s="83"/>
      <c r="M118" s="83"/>
      <c r="N118" s="83"/>
      <c r="O118" s="83"/>
      <c r="P118" s="83"/>
      <c r="T118" s="14"/>
      <c r="U118" s="13"/>
      <c r="V118" s="15"/>
    </row>
    <row r="119" spans="3:22" ht="14.55" x14ac:dyDescent="0.3">
      <c r="C119" s="83"/>
      <c r="D119" s="83"/>
      <c r="E119" s="83"/>
      <c r="F119" s="83"/>
      <c r="G119" s="83"/>
      <c r="H119" s="83"/>
      <c r="I119" s="83"/>
      <c r="J119" s="83"/>
      <c r="K119" s="83"/>
      <c r="L119" s="83"/>
      <c r="M119" s="83"/>
      <c r="N119" s="83"/>
      <c r="O119" s="83"/>
      <c r="P119" s="83"/>
      <c r="T119" s="14"/>
      <c r="U119" s="13"/>
      <c r="V119" s="15"/>
    </row>
    <row r="120" spans="3:22" ht="14.55" x14ac:dyDescent="0.3">
      <c r="T120" s="14"/>
      <c r="U120" s="13"/>
      <c r="V120" s="15"/>
    </row>
    <row r="121" spans="3:22" ht="14.55" x14ac:dyDescent="0.3">
      <c r="T121" s="14"/>
      <c r="U121" s="13"/>
      <c r="V121" s="15"/>
    </row>
    <row r="122" spans="3:22" ht="14.55" x14ac:dyDescent="0.3">
      <c r="T122" s="14"/>
      <c r="U122" s="13"/>
      <c r="V122" s="15"/>
    </row>
    <row r="123" spans="3:22" ht="14.55" x14ac:dyDescent="0.3">
      <c r="T123" s="14"/>
      <c r="U123" s="13"/>
      <c r="V123" s="15"/>
    </row>
    <row r="124" spans="3:22" ht="14.55" x14ac:dyDescent="0.3">
      <c r="T124" s="14"/>
      <c r="U124" s="13"/>
      <c r="V124" s="15"/>
    </row>
    <row r="125" spans="3:22" ht="14.55" x14ac:dyDescent="0.3">
      <c r="T125" s="14"/>
      <c r="U125" s="13"/>
      <c r="V125" s="15"/>
    </row>
    <row r="126" spans="3:22" ht="14.55" x14ac:dyDescent="0.3">
      <c r="T126" s="14"/>
      <c r="U126" s="13"/>
      <c r="V126" s="15"/>
    </row>
    <row r="127" spans="3:22" ht="14.55" x14ac:dyDescent="0.3">
      <c r="T127" s="14"/>
      <c r="U127" s="13"/>
      <c r="V127" s="15"/>
    </row>
    <row r="128" spans="3:22" ht="14.55" x14ac:dyDescent="0.3">
      <c r="T128" s="14"/>
      <c r="U128" s="13"/>
      <c r="V128" s="15"/>
    </row>
    <row r="129" spans="20:22" ht="14.55" x14ac:dyDescent="0.3">
      <c r="T129" s="14"/>
      <c r="U129" s="13"/>
      <c r="V129" s="15"/>
    </row>
    <row r="130" spans="20:22" ht="14.55" x14ac:dyDescent="0.3">
      <c r="T130" s="14"/>
      <c r="U130" s="13"/>
      <c r="V130" s="15"/>
    </row>
    <row r="131" spans="20:22" ht="14.55" x14ac:dyDescent="0.3">
      <c r="T131" s="14"/>
      <c r="U131" s="13"/>
      <c r="V131" s="15"/>
    </row>
    <row r="132" spans="20:22" ht="14.55" x14ac:dyDescent="0.3">
      <c r="T132" s="14"/>
      <c r="U132" s="13"/>
      <c r="V132" s="15"/>
    </row>
    <row r="133" spans="20:22" ht="14.55" x14ac:dyDescent="0.3">
      <c r="T133" s="14"/>
      <c r="U133" s="13"/>
      <c r="V133" s="15"/>
    </row>
    <row r="134" spans="20:22" ht="14.55" x14ac:dyDescent="0.3">
      <c r="T134" s="14"/>
      <c r="U134" s="13"/>
      <c r="V134" s="15"/>
    </row>
    <row r="135" spans="20:22" ht="14.55" x14ac:dyDescent="0.3">
      <c r="T135" s="14"/>
      <c r="U135" s="13"/>
      <c r="V135" s="15"/>
    </row>
    <row r="136" spans="20:22" ht="14.55" x14ac:dyDescent="0.3">
      <c r="T136" s="14"/>
      <c r="U136" s="13"/>
      <c r="V136" s="15"/>
    </row>
    <row r="137" spans="20:22" ht="14.55" x14ac:dyDescent="0.3">
      <c r="T137" s="14"/>
      <c r="U137" s="13"/>
      <c r="V137" s="15"/>
    </row>
    <row r="138" spans="20:22" ht="14.55" x14ac:dyDescent="0.3">
      <c r="T138" s="14"/>
      <c r="U138" s="13"/>
      <c r="V138" s="15"/>
    </row>
    <row r="139" spans="20:22" ht="14.55" x14ac:dyDescent="0.3">
      <c r="T139" s="14"/>
      <c r="U139" s="13"/>
      <c r="V139" s="15"/>
    </row>
    <row r="140" spans="20:22" ht="14.55" x14ac:dyDescent="0.3">
      <c r="T140" s="14"/>
      <c r="U140" s="13"/>
      <c r="V140" s="15"/>
    </row>
    <row r="141" spans="20:22" ht="14.55" x14ac:dyDescent="0.3">
      <c r="T141" s="14"/>
      <c r="U141" s="13"/>
      <c r="V141" s="15"/>
    </row>
    <row r="142" spans="20:22" ht="14.55" x14ac:dyDescent="0.3">
      <c r="T142" s="14"/>
      <c r="U142" s="13"/>
      <c r="V142" s="15"/>
    </row>
    <row r="143" spans="20:22" ht="14.55" x14ac:dyDescent="0.3">
      <c r="T143" s="14"/>
      <c r="U143" s="13"/>
      <c r="V143" s="15"/>
    </row>
    <row r="144" spans="20:22" ht="14.55" x14ac:dyDescent="0.3">
      <c r="T144" s="14"/>
      <c r="U144" s="13"/>
      <c r="V144" s="15"/>
    </row>
    <row r="145" spans="20:22" ht="14.55" x14ac:dyDescent="0.3">
      <c r="T145" s="14"/>
      <c r="U145" s="13"/>
      <c r="V145" s="15"/>
    </row>
    <row r="146" spans="20:22" ht="14.55" x14ac:dyDescent="0.3">
      <c r="T146" s="14"/>
      <c r="U146" s="13"/>
      <c r="V146" s="15"/>
    </row>
    <row r="147" spans="20:22" ht="14.55" x14ac:dyDescent="0.3">
      <c r="T147" s="14"/>
      <c r="U147" s="13"/>
      <c r="V147" s="15"/>
    </row>
    <row r="148" spans="20:22" ht="14.55" x14ac:dyDescent="0.3">
      <c r="T148" s="14"/>
      <c r="U148" s="13"/>
      <c r="V148" s="15"/>
    </row>
    <row r="149" spans="20:22" ht="14.55" x14ac:dyDescent="0.3">
      <c r="T149" s="14"/>
      <c r="U149" s="13"/>
      <c r="V149" s="15"/>
    </row>
    <row r="150" spans="20:22" ht="14.55" x14ac:dyDescent="0.3">
      <c r="T150" s="14"/>
      <c r="U150" s="13"/>
      <c r="V150" s="15"/>
    </row>
    <row r="151" spans="20:22" ht="14.55" x14ac:dyDescent="0.3">
      <c r="T151" s="14"/>
      <c r="U151" s="13"/>
      <c r="V151" s="15"/>
    </row>
    <row r="152" spans="20:22" ht="14.55" x14ac:dyDescent="0.3">
      <c r="T152" s="14"/>
      <c r="U152" s="13"/>
      <c r="V152" s="15"/>
    </row>
    <row r="153" spans="20:22" ht="14.55" x14ac:dyDescent="0.3">
      <c r="T153" s="14"/>
      <c r="U153" s="13"/>
      <c r="V153" s="15"/>
    </row>
    <row r="154" spans="20:22" ht="14.55" x14ac:dyDescent="0.3">
      <c r="T154" s="14"/>
      <c r="U154" s="13"/>
      <c r="V154" s="15"/>
    </row>
    <row r="155" spans="20:22" ht="14.55" x14ac:dyDescent="0.3">
      <c r="T155" s="14"/>
      <c r="U155" s="13"/>
      <c r="V155" s="15"/>
    </row>
    <row r="156" spans="20:22" ht="14.55" x14ac:dyDescent="0.3">
      <c r="T156" s="14"/>
      <c r="U156" s="13"/>
      <c r="V156" s="15"/>
    </row>
    <row r="157" spans="20:22" ht="14.55" x14ac:dyDescent="0.3">
      <c r="T157" s="14"/>
      <c r="U157" s="13"/>
      <c r="V157" s="15"/>
    </row>
    <row r="158" spans="20:22" ht="14.55" x14ac:dyDescent="0.3">
      <c r="T158" s="14"/>
      <c r="U158" s="13"/>
      <c r="V158" s="15"/>
    </row>
    <row r="159" spans="20:22" ht="14.55" x14ac:dyDescent="0.3">
      <c r="T159" s="14"/>
      <c r="U159" s="13"/>
      <c r="V159" s="15"/>
    </row>
    <row r="160" spans="20:22" ht="14.55" x14ac:dyDescent="0.3">
      <c r="T160" s="14"/>
      <c r="U160" s="13"/>
      <c r="V160" s="15"/>
    </row>
    <row r="161" spans="20:22" ht="14.55" x14ac:dyDescent="0.3">
      <c r="T161" s="14"/>
      <c r="U161" s="13"/>
      <c r="V161" s="15"/>
    </row>
    <row r="162" spans="20:22" ht="14.55" x14ac:dyDescent="0.3">
      <c r="T162" s="14"/>
      <c r="U162" s="13"/>
      <c r="V162" s="15"/>
    </row>
    <row r="163" spans="20:22" ht="14.55" x14ac:dyDescent="0.3">
      <c r="T163" s="14"/>
      <c r="U163" s="13"/>
      <c r="V163" s="15"/>
    </row>
    <row r="164" spans="20:22" ht="14.55" x14ac:dyDescent="0.3">
      <c r="T164" s="14"/>
      <c r="U164" s="13"/>
      <c r="V164" s="15"/>
    </row>
    <row r="165" spans="20:22" ht="14.55" x14ac:dyDescent="0.3">
      <c r="T165" s="14"/>
      <c r="U165" s="13"/>
      <c r="V165" s="15"/>
    </row>
    <row r="166" spans="20:22" ht="14.55" x14ac:dyDescent="0.3">
      <c r="T166" s="14"/>
      <c r="U166" s="13"/>
      <c r="V166" s="15"/>
    </row>
    <row r="167" spans="20:22" ht="14.55" x14ac:dyDescent="0.3">
      <c r="T167" s="14"/>
      <c r="U167" s="13"/>
      <c r="V167" s="15"/>
    </row>
    <row r="168" spans="20:22" ht="14.55" x14ac:dyDescent="0.3">
      <c r="T168" s="14"/>
      <c r="U168" s="13"/>
      <c r="V168" s="15"/>
    </row>
    <row r="169" spans="20:22" ht="14.55" x14ac:dyDescent="0.3">
      <c r="T169" s="14"/>
      <c r="U169" s="13"/>
      <c r="V169" s="15"/>
    </row>
    <row r="170" spans="20:22" ht="14.55" x14ac:dyDescent="0.3">
      <c r="T170" s="14"/>
      <c r="U170" s="13"/>
      <c r="V170" s="15"/>
    </row>
    <row r="171" spans="20:22" ht="14.55" x14ac:dyDescent="0.3">
      <c r="T171" s="14"/>
      <c r="U171" s="13"/>
      <c r="V171" s="15"/>
    </row>
    <row r="172" spans="20:22" ht="14.55" x14ac:dyDescent="0.3">
      <c r="T172" s="14"/>
      <c r="U172" s="13"/>
      <c r="V172" s="15"/>
    </row>
    <row r="173" spans="20:22" ht="14.55" x14ac:dyDescent="0.3">
      <c r="T173" s="14"/>
      <c r="U173" s="13"/>
      <c r="V173" s="15"/>
    </row>
    <row r="174" spans="20:22" ht="14.55" x14ac:dyDescent="0.3">
      <c r="T174" s="14"/>
      <c r="U174" s="13"/>
      <c r="V174" s="15"/>
    </row>
    <row r="175" spans="20:22" ht="14.55" x14ac:dyDescent="0.3">
      <c r="T175" s="14"/>
      <c r="U175" s="13"/>
      <c r="V175" s="15"/>
    </row>
    <row r="176" spans="20:22" ht="14.55" x14ac:dyDescent="0.3">
      <c r="T176" s="14"/>
      <c r="U176" s="13"/>
      <c r="V176" s="15"/>
    </row>
    <row r="177" spans="20:22" ht="14.55" x14ac:dyDescent="0.3">
      <c r="T177" s="14"/>
      <c r="U177" s="13"/>
      <c r="V177" s="15"/>
    </row>
    <row r="178" spans="20:22" ht="14.55" x14ac:dyDescent="0.3">
      <c r="T178" s="14"/>
      <c r="U178" s="13"/>
      <c r="V178" s="15"/>
    </row>
    <row r="179" spans="20:22" ht="14.55" x14ac:dyDescent="0.3">
      <c r="T179" s="14"/>
      <c r="U179" s="13"/>
      <c r="V179" s="15"/>
    </row>
    <row r="180" spans="20:22" ht="14.55" x14ac:dyDescent="0.3">
      <c r="T180" s="14"/>
      <c r="U180" s="13"/>
      <c r="V180" s="15"/>
    </row>
    <row r="181" spans="20:22" ht="14.55" x14ac:dyDescent="0.3">
      <c r="T181" s="14"/>
      <c r="U181" s="13"/>
      <c r="V181" s="15"/>
    </row>
    <row r="182" spans="20:22" ht="14.55" x14ac:dyDescent="0.3">
      <c r="T182" s="14"/>
      <c r="U182" s="13"/>
      <c r="V182" s="15"/>
    </row>
    <row r="183" spans="20:22" ht="14.55" x14ac:dyDescent="0.3">
      <c r="T183" s="14"/>
      <c r="U183" s="13"/>
      <c r="V183" s="15"/>
    </row>
    <row r="184" spans="20:22" ht="14.55" x14ac:dyDescent="0.3">
      <c r="T184" s="14"/>
      <c r="U184" s="13"/>
      <c r="V184" s="15"/>
    </row>
    <row r="185" spans="20:22" ht="14.55" x14ac:dyDescent="0.3">
      <c r="T185" s="14"/>
      <c r="U185" s="13"/>
      <c r="V185" s="15"/>
    </row>
    <row r="186" spans="20:22" ht="14.55" x14ac:dyDescent="0.3">
      <c r="T186" s="14"/>
      <c r="U186" s="13"/>
      <c r="V186" s="15"/>
    </row>
    <row r="187" spans="20:22" ht="14.55" x14ac:dyDescent="0.3">
      <c r="T187" s="14"/>
      <c r="U187" s="13"/>
      <c r="V187" s="15"/>
    </row>
    <row r="188" spans="20:22" ht="14.55" x14ac:dyDescent="0.3">
      <c r="T188" s="14"/>
      <c r="U188" s="13"/>
      <c r="V188" s="15"/>
    </row>
    <row r="189" spans="20:22" ht="14.55" x14ac:dyDescent="0.3">
      <c r="T189" s="14"/>
      <c r="U189" s="13"/>
      <c r="V189" s="15"/>
    </row>
    <row r="190" spans="20:22" ht="14.55" x14ac:dyDescent="0.3">
      <c r="T190" s="14"/>
      <c r="U190" s="13"/>
      <c r="V190" s="15"/>
    </row>
    <row r="191" spans="20:22" ht="14.55" x14ac:dyDescent="0.3">
      <c r="T191" s="14"/>
      <c r="U191" s="13"/>
      <c r="V191" s="15"/>
    </row>
    <row r="192" spans="20:22" ht="14.55" x14ac:dyDescent="0.3">
      <c r="T192" s="14"/>
      <c r="U192" s="13"/>
      <c r="V192" s="15"/>
    </row>
    <row r="193" spans="20:22" ht="14.55" x14ac:dyDescent="0.3">
      <c r="T193" s="14"/>
      <c r="U193" s="13"/>
      <c r="V193" s="15"/>
    </row>
    <row r="194" spans="20:22" ht="14.55" x14ac:dyDescent="0.3">
      <c r="T194" s="14"/>
      <c r="U194" s="13"/>
      <c r="V194" s="15"/>
    </row>
    <row r="195" spans="20:22" ht="14.55" x14ac:dyDescent="0.3">
      <c r="T195" s="14"/>
      <c r="U195" s="13"/>
      <c r="V195" s="15"/>
    </row>
    <row r="196" spans="20:22" ht="14.55" x14ac:dyDescent="0.3">
      <c r="T196" s="14"/>
      <c r="U196" s="13"/>
      <c r="V196" s="15"/>
    </row>
    <row r="197" spans="20:22" ht="14.55" x14ac:dyDescent="0.3">
      <c r="T197" s="14"/>
      <c r="U197" s="13"/>
      <c r="V197" s="15"/>
    </row>
    <row r="198" spans="20:22" ht="14.55" x14ac:dyDescent="0.3">
      <c r="T198" s="14"/>
      <c r="U198" s="13"/>
      <c r="V198" s="15"/>
    </row>
    <row r="199" spans="20:22" ht="14.55" x14ac:dyDescent="0.3">
      <c r="T199" s="14"/>
      <c r="U199" s="13"/>
      <c r="V199" s="15"/>
    </row>
    <row r="200" spans="20:22" ht="14.55" x14ac:dyDescent="0.3">
      <c r="T200" s="14"/>
      <c r="U200" s="13"/>
      <c r="V200" s="15"/>
    </row>
    <row r="201" spans="20:22" ht="14.55" x14ac:dyDescent="0.3">
      <c r="T201" s="14"/>
      <c r="U201" s="13"/>
      <c r="V201" s="15"/>
    </row>
    <row r="202" spans="20:22" ht="14.55" x14ac:dyDescent="0.3">
      <c r="T202" s="14"/>
      <c r="U202" s="13"/>
      <c r="V202" s="15"/>
    </row>
    <row r="203" spans="20:22" ht="14.55" x14ac:dyDescent="0.3">
      <c r="T203" s="14"/>
      <c r="U203" s="13"/>
      <c r="V203" s="15"/>
    </row>
    <row r="204" spans="20:22" ht="14.55" x14ac:dyDescent="0.3">
      <c r="T204" s="14"/>
      <c r="U204" s="13"/>
      <c r="V204" s="15"/>
    </row>
    <row r="205" spans="20:22" ht="14.55" x14ac:dyDescent="0.3">
      <c r="T205" s="14"/>
      <c r="U205" s="13"/>
      <c r="V205" s="15"/>
    </row>
    <row r="206" spans="20:22" ht="14.55" x14ac:dyDescent="0.3">
      <c r="T206" s="14"/>
      <c r="U206" s="13"/>
      <c r="V206" s="15"/>
    </row>
    <row r="207" spans="20:22" ht="14.55" x14ac:dyDescent="0.3">
      <c r="T207" s="14"/>
      <c r="U207" s="13"/>
      <c r="V207" s="15"/>
    </row>
    <row r="208" spans="20:22" ht="14.55" x14ac:dyDescent="0.3">
      <c r="T208" s="14"/>
      <c r="U208" s="13"/>
      <c r="V208" s="15"/>
    </row>
    <row r="209" spans="20:22" ht="14.55" x14ac:dyDescent="0.3">
      <c r="T209" s="14"/>
      <c r="U209" s="13"/>
      <c r="V209" s="15"/>
    </row>
    <row r="210" spans="20:22" ht="14.55" x14ac:dyDescent="0.3">
      <c r="T210" s="14"/>
      <c r="U210" s="13"/>
      <c r="V210" s="15"/>
    </row>
    <row r="211" spans="20:22" ht="14.55" x14ac:dyDescent="0.3">
      <c r="T211" s="14"/>
      <c r="U211" s="13"/>
      <c r="V211" s="15"/>
    </row>
    <row r="212" spans="20:22" ht="14.55" x14ac:dyDescent="0.3">
      <c r="T212" s="14"/>
      <c r="U212" s="13"/>
      <c r="V212" s="15"/>
    </row>
    <row r="213" spans="20:22" ht="14.55" x14ac:dyDescent="0.3">
      <c r="T213" s="14"/>
      <c r="U213" s="13"/>
      <c r="V213" s="15"/>
    </row>
    <row r="214" spans="20:22" ht="14.55" x14ac:dyDescent="0.3">
      <c r="T214" s="14"/>
      <c r="U214" s="13"/>
      <c r="V214" s="15"/>
    </row>
    <row r="215" spans="20:22" ht="14.55" x14ac:dyDescent="0.3">
      <c r="T215" s="14"/>
      <c r="U215" s="13"/>
      <c r="V215" s="15"/>
    </row>
    <row r="216" spans="20:22" ht="14.55" x14ac:dyDescent="0.3">
      <c r="T216" s="14"/>
      <c r="U216" s="13"/>
      <c r="V216" s="15"/>
    </row>
    <row r="217" spans="20:22" ht="14.55" x14ac:dyDescent="0.3">
      <c r="T217" s="14"/>
      <c r="U217" s="13"/>
      <c r="V217" s="15"/>
    </row>
    <row r="218" spans="20:22" ht="14.55" x14ac:dyDescent="0.3">
      <c r="T218" s="14"/>
      <c r="U218" s="13"/>
      <c r="V218" s="15"/>
    </row>
    <row r="219" spans="20:22" ht="14.55" x14ac:dyDescent="0.3">
      <c r="T219" s="14"/>
      <c r="U219" s="13"/>
      <c r="V219" s="15"/>
    </row>
    <row r="220" spans="20:22" ht="14.55" x14ac:dyDescent="0.3">
      <c r="T220" s="14"/>
      <c r="U220" s="13"/>
      <c r="V220" s="15"/>
    </row>
    <row r="221" spans="20:22" ht="14.55" x14ac:dyDescent="0.3">
      <c r="T221" s="14"/>
      <c r="U221" s="13"/>
      <c r="V221" s="15"/>
    </row>
    <row r="222" spans="20:22" ht="14.55" x14ac:dyDescent="0.3">
      <c r="T222" s="14"/>
      <c r="U222" s="13"/>
      <c r="V222" s="15"/>
    </row>
    <row r="223" spans="20:22" ht="14.55" x14ac:dyDescent="0.3">
      <c r="T223" s="14"/>
      <c r="U223" s="13"/>
      <c r="V223" s="15"/>
    </row>
    <row r="224" spans="20:22" ht="14.55" x14ac:dyDescent="0.3">
      <c r="T224" s="14"/>
      <c r="U224" s="13"/>
      <c r="V224" s="15"/>
    </row>
    <row r="225" spans="20:22" ht="14.55" x14ac:dyDescent="0.3">
      <c r="T225" s="14"/>
      <c r="U225" s="13"/>
      <c r="V225" s="15"/>
    </row>
    <row r="226" spans="20:22" ht="14.55" x14ac:dyDescent="0.3">
      <c r="T226" s="14"/>
      <c r="U226" s="13"/>
      <c r="V226" s="15"/>
    </row>
    <row r="227" spans="20:22" ht="14.55" x14ac:dyDescent="0.3">
      <c r="T227" s="14"/>
      <c r="U227" s="13"/>
      <c r="V227" s="15"/>
    </row>
    <row r="228" spans="20:22" ht="14.55" x14ac:dyDescent="0.3">
      <c r="T228" s="14"/>
      <c r="U228" s="13"/>
      <c r="V228" s="15"/>
    </row>
    <row r="229" spans="20:22" ht="14.55" x14ac:dyDescent="0.3">
      <c r="T229" s="14"/>
      <c r="U229" s="13"/>
      <c r="V229" s="15"/>
    </row>
    <row r="230" spans="20:22" ht="14.55" x14ac:dyDescent="0.3">
      <c r="T230" s="14"/>
      <c r="U230" s="13"/>
      <c r="V230" s="15"/>
    </row>
    <row r="231" spans="20:22" ht="14.55" x14ac:dyDescent="0.3">
      <c r="T231" s="14"/>
      <c r="U231" s="13"/>
      <c r="V231" s="15"/>
    </row>
    <row r="232" spans="20:22" ht="14.55" x14ac:dyDescent="0.3">
      <c r="T232" s="14"/>
      <c r="U232" s="13"/>
      <c r="V232" s="15"/>
    </row>
    <row r="233" spans="20:22" ht="14.55" x14ac:dyDescent="0.3">
      <c r="T233" s="14"/>
      <c r="U233" s="13"/>
      <c r="V233" s="15"/>
    </row>
    <row r="234" spans="20:22" ht="14.55" x14ac:dyDescent="0.3">
      <c r="T234" s="14"/>
      <c r="U234" s="13"/>
      <c r="V234" s="15"/>
    </row>
    <row r="235" spans="20:22" ht="14.55" x14ac:dyDescent="0.3">
      <c r="T235" s="14"/>
      <c r="U235" s="13"/>
      <c r="V235" s="15"/>
    </row>
    <row r="236" spans="20:22" ht="14.55" x14ac:dyDescent="0.3">
      <c r="T236" s="14"/>
      <c r="U236" s="13"/>
      <c r="V236" s="15"/>
    </row>
    <row r="237" spans="20:22" ht="14.55" x14ac:dyDescent="0.3">
      <c r="T237" s="14"/>
      <c r="U237" s="13"/>
      <c r="V237" s="15"/>
    </row>
    <row r="238" spans="20:22" ht="14.55" x14ac:dyDescent="0.3">
      <c r="T238" s="14"/>
      <c r="U238" s="13"/>
      <c r="V238" s="15"/>
    </row>
    <row r="239" spans="20:22" ht="14.55" x14ac:dyDescent="0.3">
      <c r="T239" s="14"/>
      <c r="U239" s="13"/>
      <c r="V239" s="15"/>
    </row>
    <row r="240" spans="20:22" ht="14.55" x14ac:dyDescent="0.3">
      <c r="T240" s="14"/>
      <c r="U240" s="13"/>
      <c r="V240" s="15"/>
    </row>
    <row r="241" spans="20:22" ht="14.55" x14ac:dyDescent="0.3">
      <c r="T241" s="14"/>
      <c r="U241" s="13"/>
      <c r="V241" s="15"/>
    </row>
    <row r="242" spans="20:22" ht="14.55" x14ac:dyDescent="0.3">
      <c r="T242" s="14"/>
      <c r="U242" s="13"/>
      <c r="V242" s="15"/>
    </row>
    <row r="243" spans="20:22" ht="14.55" x14ac:dyDescent="0.3">
      <c r="T243" s="14"/>
      <c r="U243" s="13"/>
      <c r="V243" s="15"/>
    </row>
    <row r="244" spans="20:22" ht="14.55" x14ac:dyDescent="0.3">
      <c r="T244" s="14"/>
      <c r="U244" s="13"/>
      <c r="V244" s="15"/>
    </row>
    <row r="245" spans="20:22" ht="14.55" x14ac:dyDescent="0.3">
      <c r="T245" s="14"/>
      <c r="U245" s="13"/>
      <c r="V245" s="15"/>
    </row>
    <row r="246" spans="20:22" ht="14.55" x14ac:dyDescent="0.3">
      <c r="T246" s="14"/>
      <c r="U246" s="13"/>
      <c r="V246" s="15"/>
    </row>
    <row r="247" spans="20:22" ht="14.55" x14ac:dyDescent="0.3">
      <c r="T247" s="14"/>
      <c r="U247" s="13"/>
      <c r="V247" s="15"/>
    </row>
    <row r="248" spans="20:22" ht="14.55" x14ac:dyDescent="0.3">
      <c r="T248" s="14"/>
      <c r="U248" s="13"/>
      <c r="V248" s="15"/>
    </row>
    <row r="249" spans="20:22" ht="14.55" x14ac:dyDescent="0.3">
      <c r="T249" s="14"/>
      <c r="U249" s="13"/>
      <c r="V249" s="15"/>
    </row>
    <row r="250" spans="20:22" ht="14.55" x14ac:dyDescent="0.3">
      <c r="T250" s="14"/>
      <c r="U250" s="13"/>
      <c r="V250" s="15"/>
    </row>
    <row r="251" spans="20:22" ht="14.55" x14ac:dyDescent="0.3">
      <c r="T251" s="14"/>
      <c r="U251" s="13"/>
      <c r="V251" s="15"/>
    </row>
    <row r="252" spans="20:22" ht="14.55" x14ac:dyDescent="0.3">
      <c r="T252" s="14"/>
      <c r="U252" s="13"/>
      <c r="V252" s="15"/>
    </row>
    <row r="253" spans="20:22" ht="14.55" x14ac:dyDescent="0.3">
      <c r="T253" s="14"/>
      <c r="U253" s="13"/>
      <c r="V253" s="15"/>
    </row>
    <row r="254" spans="20:22" ht="14.55" x14ac:dyDescent="0.3">
      <c r="T254" s="14"/>
      <c r="U254" s="13"/>
      <c r="V254" s="15"/>
    </row>
    <row r="255" spans="20:22" ht="14.55" x14ac:dyDescent="0.3">
      <c r="T255" s="14"/>
      <c r="U255" s="13"/>
      <c r="V255" s="15"/>
    </row>
    <row r="256" spans="20:22" ht="14.55" x14ac:dyDescent="0.3">
      <c r="T256" s="14"/>
      <c r="U256" s="13"/>
      <c r="V256" s="15"/>
    </row>
    <row r="257" spans="20:22" ht="14.55" x14ac:dyDescent="0.3">
      <c r="T257" s="14"/>
      <c r="U257" s="13"/>
      <c r="V257" s="15"/>
    </row>
    <row r="258" spans="20:22" ht="14.55" x14ac:dyDescent="0.3">
      <c r="T258" s="14"/>
      <c r="U258" s="13"/>
      <c r="V258" s="15"/>
    </row>
    <row r="259" spans="20:22" ht="14.55" x14ac:dyDescent="0.3">
      <c r="T259" s="14"/>
      <c r="U259" s="13"/>
      <c r="V259" s="15"/>
    </row>
    <row r="260" spans="20:22" ht="14.55" x14ac:dyDescent="0.3">
      <c r="T260" s="14"/>
      <c r="U260" s="13"/>
      <c r="V260" s="15"/>
    </row>
    <row r="261" spans="20:22" ht="14.55" x14ac:dyDescent="0.3">
      <c r="T261" s="14"/>
      <c r="U261" s="13"/>
      <c r="V261" s="15"/>
    </row>
    <row r="262" spans="20:22" ht="14.55" x14ac:dyDescent="0.3">
      <c r="T262" s="14"/>
      <c r="U262" s="13"/>
      <c r="V262" s="15"/>
    </row>
    <row r="263" spans="20:22" ht="14.55" x14ac:dyDescent="0.3">
      <c r="T263" s="14"/>
      <c r="U263" s="13"/>
      <c r="V263" s="15"/>
    </row>
    <row r="264" spans="20:22" ht="14.55" x14ac:dyDescent="0.3">
      <c r="T264" s="14"/>
      <c r="U264" s="13"/>
      <c r="V264" s="15"/>
    </row>
    <row r="265" spans="20:22" ht="14.55" x14ac:dyDescent="0.3">
      <c r="T265" s="14"/>
      <c r="U265" s="13"/>
      <c r="V265" s="15"/>
    </row>
    <row r="266" spans="20:22" ht="14.55" x14ac:dyDescent="0.3">
      <c r="T266" s="14"/>
      <c r="U266" s="13"/>
      <c r="V266" s="15"/>
    </row>
    <row r="267" spans="20:22" ht="14.55" x14ac:dyDescent="0.3">
      <c r="T267" s="14"/>
      <c r="U267" s="13"/>
      <c r="V267" s="15"/>
    </row>
    <row r="268" spans="20:22" ht="14.55" x14ac:dyDescent="0.3">
      <c r="T268" s="14"/>
      <c r="U268" s="13"/>
      <c r="V268" s="15"/>
    </row>
    <row r="269" spans="20:22" ht="14.55" x14ac:dyDescent="0.3">
      <c r="T269" s="14"/>
      <c r="U269" s="13"/>
      <c r="V269" s="15"/>
    </row>
    <row r="270" spans="20:22" ht="14.55" x14ac:dyDescent="0.3">
      <c r="T270" s="14"/>
      <c r="U270" s="13"/>
      <c r="V270" s="15"/>
    </row>
    <row r="271" spans="20:22" ht="14.55" x14ac:dyDescent="0.3">
      <c r="T271" s="14"/>
      <c r="U271" s="13"/>
      <c r="V271" s="15"/>
    </row>
    <row r="272" spans="20:22" ht="14.55" x14ac:dyDescent="0.3">
      <c r="T272" s="14"/>
      <c r="U272" s="13"/>
      <c r="V272" s="15"/>
    </row>
    <row r="273" spans="20:22" ht="14.55" x14ac:dyDescent="0.3">
      <c r="T273" s="14"/>
      <c r="U273" s="13"/>
      <c r="V273" s="15"/>
    </row>
    <row r="274" spans="20:22" ht="14.55" x14ac:dyDescent="0.3">
      <c r="T274" s="14"/>
      <c r="U274" s="13"/>
      <c r="V274" s="15"/>
    </row>
    <row r="275" spans="20:22" ht="14.55" x14ac:dyDescent="0.3">
      <c r="T275" s="14"/>
      <c r="U275" s="13"/>
      <c r="V275" s="15"/>
    </row>
    <row r="276" spans="20:22" ht="14.55" x14ac:dyDescent="0.3">
      <c r="T276" s="14"/>
      <c r="U276" s="13"/>
      <c r="V276" s="15"/>
    </row>
    <row r="277" spans="20:22" ht="14.55" x14ac:dyDescent="0.3">
      <c r="T277" s="14"/>
      <c r="U277" s="13"/>
      <c r="V277" s="15"/>
    </row>
    <row r="278" spans="20:22" ht="14.55" x14ac:dyDescent="0.3">
      <c r="T278" s="14"/>
      <c r="U278" s="13"/>
      <c r="V278" s="15"/>
    </row>
    <row r="279" spans="20:22" ht="14.55" x14ac:dyDescent="0.3">
      <c r="T279" s="14"/>
      <c r="U279" s="13"/>
      <c r="V279" s="15"/>
    </row>
    <row r="280" spans="20:22" ht="14.55" x14ac:dyDescent="0.3">
      <c r="T280" s="14"/>
      <c r="U280" s="13"/>
      <c r="V280" s="15"/>
    </row>
    <row r="281" spans="20:22" ht="14.55" x14ac:dyDescent="0.3">
      <c r="T281" s="14"/>
      <c r="U281" s="13"/>
      <c r="V281" s="15"/>
    </row>
    <row r="282" spans="20:22" ht="14.55" x14ac:dyDescent="0.3">
      <c r="T282" s="14"/>
      <c r="U282" s="13"/>
      <c r="V282" s="15"/>
    </row>
    <row r="283" spans="20:22" ht="14.55" x14ac:dyDescent="0.3">
      <c r="T283" s="14"/>
      <c r="U283" s="13"/>
      <c r="V283" s="15"/>
    </row>
    <row r="284" spans="20:22" ht="14.55" x14ac:dyDescent="0.3">
      <c r="T284" s="14"/>
      <c r="U284" s="13"/>
      <c r="V284" s="15"/>
    </row>
    <row r="285" spans="20:22" ht="14.55" x14ac:dyDescent="0.3">
      <c r="T285" s="14"/>
      <c r="U285" s="13"/>
      <c r="V285" s="15"/>
    </row>
    <row r="286" spans="20:22" ht="14.55" x14ac:dyDescent="0.3">
      <c r="T286" s="14"/>
      <c r="U286" s="13"/>
      <c r="V286" s="15"/>
    </row>
    <row r="287" spans="20:22" ht="14.55" x14ac:dyDescent="0.3">
      <c r="T287" s="14"/>
      <c r="U287" s="13"/>
      <c r="V287" s="15"/>
    </row>
    <row r="288" spans="20:22" ht="14.55" x14ac:dyDescent="0.3">
      <c r="T288" s="14"/>
      <c r="U288" s="13"/>
      <c r="V288" s="15"/>
    </row>
    <row r="289" spans="20:22" ht="14.55" x14ac:dyDescent="0.3">
      <c r="T289" s="14"/>
      <c r="U289" s="13"/>
      <c r="V289" s="15"/>
    </row>
    <row r="290" spans="20:22" ht="14.55" x14ac:dyDescent="0.3">
      <c r="T290" s="14"/>
      <c r="U290" s="13"/>
      <c r="V290" s="15"/>
    </row>
    <row r="291" spans="20:22" ht="14.55" x14ac:dyDescent="0.3">
      <c r="T291" s="14"/>
      <c r="U291" s="13"/>
      <c r="V291" s="15"/>
    </row>
    <row r="292" spans="20:22" ht="14.55" x14ac:dyDescent="0.3">
      <c r="T292" s="14"/>
      <c r="U292" s="13"/>
      <c r="V292" s="15"/>
    </row>
    <row r="293" spans="20:22" ht="14.55" x14ac:dyDescent="0.3">
      <c r="T293" s="14"/>
      <c r="U293" s="13"/>
      <c r="V293" s="15"/>
    </row>
    <row r="294" spans="20:22" ht="14.55" x14ac:dyDescent="0.3">
      <c r="T294" s="14"/>
      <c r="U294" s="13"/>
      <c r="V294" s="15"/>
    </row>
    <row r="295" spans="20:22" ht="14.55" x14ac:dyDescent="0.3">
      <c r="T295" s="14"/>
      <c r="U295" s="13"/>
      <c r="V295" s="15"/>
    </row>
    <row r="296" spans="20:22" ht="14.55" x14ac:dyDescent="0.3">
      <c r="T296" s="14"/>
      <c r="U296" s="13"/>
      <c r="V296" s="15"/>
    </row>
    <row r="297" spans="20:22" ht="14.55" x14ac:dyDescent="0.3">
      <c r="T297" s="14"/>
      <c r="U297" s="13"/>
      <c r="V297" s="15"/>
    </row>
    <row r="298" spans="20:22" ht="14.55" x14ac:dyDescent="0.3">
      <c r="T298" s="14"/>
      <c r="U298" s="13"/>
      <c r="V298" s="15"/>
    </row>
    <row r="299" spans="20:22" ht="14.55" x14ac:dyDescent="0.3">
      <c r="T299" s="14"/>
      <c r="U299" s="13"/>
      <c r="V299" s="15"/>
    </row>
    <row r="300" spans="20:22" ht="14.55" x14ac:dyDescent="0.3">
      <c r="T300" s="14"/>
      <c r="U300" s="13"/>
      <c r="V300" s="15"/>
    </row>
    <row r="301" spans="20:22" ht="14.55" x14ac:dyDescent="0.3">
      <c r="T301" s="14"/>
      <c r="U301" s="13"/>
      <c r="V301" s="15"/>
    </row>
    <row r="302" spans="20:22" ht="14.55" x14ac:dyDescent="0.3">
      <c r="T302" s="14"/>
      <c r="U302" s="13"/>
      <c r="V302" s="15"/>
    </row>
    <row r="303" spans="20:22" ht="14.55" x14ac:dyDescent="0.3">
      <c r="T303" s="14"/>
      <c r="U303" s="13"/>
      <c r="V303" s="15"/>
    </row>
    <row r="304" spans="20:22" ht="14.55" x14ac:dyDescent="0.3">
      <c r="T304" s="14"/>
      <c r="U304" s="13"/>
      <c r="V304" s="15"/>
    </row>
    <row r="305" spans="20:22" ht="14.55" x14ac:dyDescent="0.3">
      <c r="T305" s="14"/>
      <c r="U305" s="13"/>
      <c r="V305" s="15"/>
    </row>
    <row r="306" spans="20:22" ht="14.55" x14ac:dyDescent="0.3">
      <c r="T306" s="14"/>
      <c r="U306" s="13"/>
      <c r="V306" s="15"/>
    </row>
    <row r="307" spans="20:22" ht="14.55" x14ac:dyDescent="0.3">
      <c r="T307" s="14"/>
      <c r="U307" s="13"/>
      <c r="V307" s="15"/>
    </row>
    <row r="308" spans="20:22" ht="14.55" x14ac:dyDescent="0.3">
      <c r="T308" s="14"/>
      <c r="U308" s="13"/>
      <c r="V308" s="15"/>
    </row>
    <row r="309" spans="20:22" ht="14.55" x14ac:dyDescent="0.3">
      <c r="T309" s="14"/>
      <c r="U309" s="13"/>
      <c r="V309" s="15"/>
    </row>
    <row r="310" spans="20:22" ht="14.55" x14ac:dyDescent="0.3">
      <c r="T310" s="14"/>
      <c r="U310" s="13"/>
      <c r="V310" s="15"/>
    </row>
    <row r="311" spans="20:22" ht="14.55" x14ac:dyDescent="0.3">
      <c r="T311" s="14"/>
      <c r="U311" s="13"/>
      <c r="V311" s="15"/>
    </row>
    <row r="312" spans="20:22" ht="14.55" x14ac:dyDescent="0.3">
      <c r="T312" s="14"/>
      <c r="U312" s="13"/>
      <c r="V312" s="15"/>
    </row>
    <row r="313" spans="20:22" ht="14.55" x14ac:dyDescent="0.3">
      <c r="T313" s="14"/>
      <c r="U313" s="13"/>
      <c r="V313" s="15"/>
    </row>
    <row r="314" spans="20:22" ht="14.55" x14ac:dyDescent="0.3">
      <c r="T314" s="14"/>
      <c r="U314" s="13"/>
      <c r="V314" s="15"/>
    </row>
    <row r="315" spans="20:22" ht="14.55" x14ac:dyDescent="0.3">
      <c r="T315" s="14"/>
      <c r="U315" s="13"/>
      <c r="V315" s="15"/>
    </row>
    <row r="316" spans="20:22" ht="14.55" x14ac:dyDescent="0.3">
      <c r="T316" s="14"/>
      <c r="U316" s="13"/>
      <c r="V316" s="15"/>
    </row>
    <row r="317" spans="20:22" ht="14.55" x14ac:dyDescent="0.3">
      <c r="T317" s="14"/>
      <c r="U317" s="13"/>
      <c r="V317" s="15"/>
    </row>
    <row r="318" spans="20:22" ht="14.55" x14ac:dyDescent="0.3">
      <c r="T318" s="14"/>
      <c r="U318" s="13"/>
      <c r="V318" s="15"/>
    </row>
    <row r="319" spans="20:22" ht="14.55" x14ac:dyDescent="0.3">
      <c r="T319" s="14"/>
      <c r="U319" s="13"/>
      <c r="V319" s="15"/>
    </row>
    <row r="320" spans="20:22" ht="14.55" x14ac:dyDescent="0.3">
      <c r="T320" s="14"/>
      <c r="U320" s="13"/>
      <c r="V320" s="15"/>
    </row>
    <row r="321" spans="20:22" ht="14.55" x14ac:dyDescent="0.3">
      <c r="T321" s="14"/>
      <c r="U321" s="13"/>
      <c r="V321" s="15"/>
    </row>
    <row r="322" spans="20:22" ht="14.55" x14ac:dyDescent="0.3">
      <c r="T322" s="14"/>
      <c r="U322" s="13"/>
      <c r="V322" s="15"/>
    </row>
    <row r="323" spans="20:22" ht="14.55" x14ac:dyDescent="0.3">
      <c r="T323" s="14"/>
      <c r="U323" s="13"/>
      <c r="V323" s="15"/>
    </row>
    <row r="324" spans="20:22" ht="14.55" x14ac:dyDescent="0.3">
      <c r="T324" s="14"/>
      <c r="U324" s="13"/>
      <c r="V324" s="15"/>
    </row>
    <row r="325" spans="20:22" ht="14.55" x14ac:dyDescent="0.3">
      <c r="T325" s="14"/>
      <c r="U325" s="13"/>
      <c r="V325" s="15"/>
    </row>
    <row r="326" spans="20:22" ht="14.55" x14ac:dyDescent="0.3">
      <c r="T326" s="14"/>
      <c r="U326" s="13"/>
      <c r="V326" s="15"/>
    </row>
    <row r="327" spans="20:22" ht="14.55" x14ac:dyDescent="0.3">
      <c r="T327" s="14"/>
      <c r="U327" s="13"/>
      <c r="V327" s="15"/>
    </row>
    <row r="328" spans="20:22" ht="14.55" x14ac:dyDescent="0.3">
      <c r="T328" s="14"/>
      <c r="U328" s="13"/>
      <c r="V328" s="15"/>
    </row>
    <row r="329" spans="20:22" ht="14.55" x14ac:dyDescent="0.3">
      <c r="T329" s="14"/>
      <c r="U329" s="13"/>
      <c r="V329" s="15"/>
    </row>
    <row r="330" spans="20:22" ht="14.55" x14ac:dyDescent="0.3">
      <c r="T330" s="14"/>
      <c r="U330" s="13"/>
      <c r="V330" s="15"/>
    </row>
    <row r="331" spans="20:22" ht="14.55" x14ac:dyDescent="0.3">
      <c r="T331" s="14"/>
      <c r="U331" s="13"/>
      <c r="V331" s="15"/>
    </row>
    <row r="332" spans="20:22" ht="14.55" x14ac:dyDescent="0.3">
      <c r="T332" s="14"/>
      <c r="U332" s="13"/>
      <c r="V332" s="15"/>
    </row>
    <row r="333" spans="20:22" ht="14.55" x14ac:dyDescent="0.3">
      <c r="T333" s="14"/>
      <c r="U333" s="13"/>
      <c r="V333" s="15"/>
    </row>
    <row r="334" spans="20:22" ht="14.55" x14ac:dyDescent="0.3">
      <c r="T334" s="14"/>
      <c r="U334" s="13"/>
      <c r="V334" s="15"/>
    </row>
    <row r="335" spans="20:22" ht="14.55" x14ac:dyDescent="0.3">
      <c r="T335" s="14"/>
      <c r="U335" s="13"/>
      <c r="V335" s="15"/>
    </row>
    <row r="336" spans="20:22" ht="14.55" x14ac:dyDescent="0.3">
      <c r="T336" s="14"/>
      <c r="U336" s="13"/>
      <c r="V336" s="15"/>
    </row>
    <row r="337" spans="20:22" ht="14.55" x14ac:dyDescent="0.3">
      <c r="T337" s="14"/>
      <c r="U337" s="13"/>
      <c r="V337" s="15"/>
    </row>
    <row r="338" spans="20:22" ht="14.55" x14ac:dyDescent="0.3">
      <c r="T338" s="14"/>
      <c r="U338" s="13"/>
      <c r="V338" s="15"/>
    </row>
    <row r="339" spans="20:22" ht="14.55" x14ac:dyDescent="0.3">
      <c r="T339" s="14"/>
      <c r="U339" s="13"/>
      <c r="V339" s="15"/>
    </row>
    <row r="340" spans="20:22" ht="14.55" x14ac:dyDescent="0.3">
      <c r="T340" s="14"/>
      <c r="U340" s="13"/>
      <c r="V340" s="15"/>
    </row>
    <row r="341" spans="20:22" ht="14.55" x14ac:dyDescent="0.3">
      <c r="T341" s="14"/>
      <c r="U341" s="13"/>
      <c r="V341" s="15"/>
    </row>
    <row r="342" spans="20:22" ht="14.55" x14ac:dyDescent="0.3">
      <c r="T342" s="14"/>
      <c r="U342" s="13"/>
      <c r="V342" s="15"/>
    </row>
    <row r="343" spans="20:22" ht="14.55" x14ac:dyDescent="0.3">
      <c r="T343" s="14"/>
      <c r="U343" s="13"/>
      <c r="V343" s="15"/>
    </row>
    <row r="344" spans="20:22" ht="14.55" x14ac:dyDescent="0.3">
      <c r="T344" s="14"/>
      <c r="U344" s="13"/>
      <c r="V344" s="15"/>
    </row>
    <row r="345" spans="20:22" ht="14.55" x14ac:dyDescent="0.3">
      <c r="T345" s="14"/>
      <c r="U345" s="13"/>
      <c r="V345" s="15"/>
    </row>
    <row r="346" spans="20:22" ht="14.55" x14ac:dyDescent="0.3">
      <c r="T346" s="14"/>
      <c r="U346" s="13"/>
      <c r="V346" s="15"/>
    </row>
    <row r="347" spans="20:22" ht="14.55" x14ac:dyDescent="0.3">
      <c r="T347" s="14"/>
      <c r="U347" s="13"/>
      <c r="V347" s="15"/>
    </row>
    <row r="348" spans="20:22" ht="14.55" x14ac:dyDescent="0.3">
      <c r="T348" s="14"/>
      <c r="U348" s="13"/>
      <c r="V348" s="15"/>
    </row>
    <row r="349" spans="20:22" ht="14.55" x14ac:dyDescent="0.3">
      <c r="T349" s="14"/>
      <c r="U349" s="13"/>
      <c r="V349" s="15"/>
    </row>
    <row r="350" spans="20:22" ht="14.55" x14ac:dyDescent="0.3">
      <c r="T350" s="14"/>
      <c r="U350" s="13"/>
      <c r="V350" s="15"/>
    </row>
    <row r="351" spans="20:22" ht="14.55" x14ac:dyDescent="0.3">
      <c r="T351" s="14"/>
      <c r="U351" s="13"/>
      <c r="V351" s="15"/>
    </row>
    <row r="352" spans="20:22" ht="14.55" x14ac:dyDescent="0.3">
      <c r="T352" s="14"/>
      <c r="U352" s="13"/>
      <c r="V352" s="15"/>
    </row>
    <row r="353" spans="20:22" ht="14.55" x14ac:dyDescent="0.3">
      <c r="T353" s="14"/>
      <c r="U353" s="13"/>
      <c r="V353" s="15"/>
    </row>
    <row r="354" spans="20:22" ht="14.55" x14ac:dyDescent="0.3">
      <c r="T354" s="14"/>
      <c r="U354" s="13"/>
      <c r="V354" s="15"/>
    </row>
    <row r="355" spans="20:22" ht="14.55" x14ac:dyDescent="0.3">
      <c r="T355" s="14"/>
      <c r="U355" s="13"/>
      <c r="V355" s="15"/>
    </row>
    <row r="356" spans="20:22" ht="14.55" x14ac:dyDescent="0.3">
      <c r="T356" s="14"/>
      <c r="U356" s="13"/>
      <c r="V356" s="15"/>
    </row>
    <row r="357" spans="20:22" ht="14.55" x14ac:dyDescent="0.3">
      <c r="T357" s="14"/>
      <c r="U357" s="13"/>
      <c r="V357" s="15"/>
    </row>
    <row r="358" spans="20:22" ht="14.55" x14ac:dyDescent="0.3">
      <c r="T358" s="14"/>
      <c r="U358" s="13"/>
      <c r="V358" s="15"/>
    </row>
    <row r="359" spans="20:22" ht="14.55" x14ac:dyDescent="0.3">
      <c r="T359" s="14"/>
      <c r="U359" s="13"/>
      <c r="V359" s="15"/>
    </row>
    <row r="360" spans="20:22" ht="14.55" x14ac:dyDescent="0.3">
      <c r="T360" s="14"/>
      <c r="U360" s="13"/>
      <c r="V360" s="15"/>
    </row>
    <row r="361" spans="20:22" ht="14.55" x14ac:dyDescent="0.3">
      <c r="T361" s="14"/>
      <c r="U361" s="13"/>
      <c r="V361" s="15"/>
    </row>
    <row r="362" spans="20:22" ht="14.55" x14ac:dyDescent="0.3">
      <c r="T362" s="14"/>
      <c r="U362" s="13"/>
      <c r="V362" s="15"/>
    </row>
    <row r="363" spans="20:22" ht="14.55" x14ac:dyDescent="0.3">
      <c r="T363" s="14"/>
      <c r="U363" s="13"/>
      <c r="V363" s="15"/>
    </row>
    <row r="364" spans="20:22" ht="14.55" x14ac:dyDescent="0.3">
      <c r="T364" s="14"/>
      <c r="U364" s="13"/>
      <c r="V364" s="15"/>
    </row>
    <row r="365" spans="20:22" ht="14.55" x14ac:dyDescent="0.3">
      <c r="T365" s="14"/>
      <c r="U365" s="13"/>
      <c r="V365" s="15"/>
    </row>
    <row r="366" spans="20:22" ht="14.55" x14ac:dyDescent="0.3">
      <c r="T366" s="14"/>
      <c r="U366" s="13"/>
      <c r="V366" s="15"/>
    </row>
    <row r="367" spans="20:22" ht="14.55" x14ac:dyDescent="0.3">
      <c r="T367" s="14"/>
      <c r="U367" s="13"/>
      <c r="V367" s="15"/>
    </row>
    <row r="368" spans="20:22" ht="14.55" x14ac:dyDescent="0.3">
      <c r="T368" s="14"/>
      <c r="U368" s="13"/>
      <c r="V368" s="15"/>
    </row>
    <row r="369" spans="20:22" ht="14.55" x14ac:dyDescent="0.3">
      <c r="T369" s="14"/>
      <c r="U369" s="13"/>
      <c r="V369" s="15"/>
    </row>
    <row r="370" spans="20:22" ht="14.55" x14ac:dyDescent="0.3">
      <c r="T370" s="14"/>
      <c r="U370" s="13"/>
      <c r="V370" s="15"/>
    </row>
    <row r="371" spans="20:22" ht="14.55" x14ac:dyDescent="0.3">
      <c r="T371" s="14"/>
      <c r="U371" s="13"/>
      <c r="V371" s="15"/>
    </row>
    <row r="372" spans="20:22" ht="14.55" x14ac:dyDescent="0.3">
      <c r="T372" s="14"/>
      <c r="U372" s="13"/>
      <c r="V372" s="15"/>
    </row>
    <row r="373" spans="20:22" ht="14.55" x14ac:dyDescent="0.3">
      <c r="T373" s="14"/>
      <c r="U373" s="13"/>
      <c r="V373" s="15"/>
    </row>
    <row r="374" spans="20:22" ht="14.55" x14ac:dyDescent="0.3">
      <c r="T374" s="14"/>
      <c r="U374" s="13"/>
      <c r="V374" s="15"/>
    </row>
    <row r="375" spans="20:22" ht="14.55" x14ac:dyDescent="0.3">
      <c r="T375" s="14"/>
      <c r="U375" s="13"/>
      <c r="V375" s="15"/>
    </row>
    <row r="376" spans="20:22" ht="14.55" x14ac:dyDescent="0.3">
      <c r="T376" s="14"/>
      <c r="U376" s="13"/>
      <c r="V376" s="15"/>
    </row>
    <row r="377" spans="20:22" ht="14.55" x14ac:dyDescent="0.3">
      <c r="T377" s="14"/>
      <c r="U377" s="13"/>
      <c r="V377" s="15"/>
    </row>
    <row r="378" spans="20:22" ht="14.55" x14ac:dyDescent="0.3">
      <c r="T378" s="14"/>
      <c r="U378" s="13"/>
      <c r="V378" s="15"/>
    </row>
    <row r="379" spans="20:22" ht="14.55" x14ac:dyDescent="0.3">
      <c r="T379" s="14"/>
      <c r="U379" s="13"/>
      <c r="V379" s="15"/>
    </row>
    <row r="380" spans="20:22" ht="14.55" x14ac:dyDescent="0.3">
      <c r="T380" s="14"/>
      <c r="U380" s="13"/>
      <c r="V380" s="15"/>
    </row>
    <row r="381" spans="20:22" ht="14.55" x14ac:dyDescent="0.3">
      <c r="T381" s="14"/>
      <c r="U381" s="13"/>
      <c r="V381" s="15"/>
    </row>
    <row r="382" spans="20:22" ht="14.55" x14ac:dyDescent="0.3">
      <c r="T382" s="14"/>
      <c r="U382" s="13"/>
      <c r="V382" s="15"/>
    </row>
    <row r="383" spans="20:22" ht="14.55" x14ac:dyDescent="0.3">
      <c r="T383" s="14"/>
      <c r="U383" s="13"/>
      <c r="V383" s="15"/>
    </row>
    <row r="384" spans="20:22" ht="14.55" x14ac:dyDescent="0.3">
      <c r="T384" s="14"/>
      <c r="U384" s="13"/>
      <c r="V384" s="15"/>
    </row>
    <row r="385" spans="20:22" ht="14.55" x14ac:dyDescent="0.3">
      <c r="T385" s="14"/>
      <c r="U385" s="13"/>
      <c r="V385" s="15"/>
    </row>
    <row r="386" spans="20:22" ht="14.55" x14ac:dyDescent="0.3">
      <c r="T386" s="14"/>
      <c r="U386" s="13"/>
      <c r="V386" s="15"/>
    </row>
    <row r="387" spans="20:22" ht="14.55" x14ac:dyDescent="0.3">
      <c r="T387" s="14"/>
      <c r="U387" s="13"/>
      <c r="V387" s="15"/>
    </row>
    <row r="388" spans="20:22" ht="14.55" x14ac:dyDescent="0.3">
      <c r="T388" s="14"/>
      <c r="U388" s="13"/>
      <c r="V388" s="15"/>
    </row>
    <row r="389" spans="20:22" ht="14.55" x14ac:dyDescent="0.3">
      <c r="T389" s="14"/>
      <c r="U389" s="13"/>
      <c r="V389" s="15"/>
    </row>
    <row r="390" spans="20:22" ht="14.55" x14ac:dyDescent="0.3">
      <c r="T390" s="14"/>
      <c r="U390" s="13"/>
      <c r="V390" s="15"/>
    </row>
    <row r="391" spans="20:22" ht="14.55" x14ac:dyDescent="0.3">
      <c r="T391" s="14"/>
      <c r="U391" s="13"/>
      <c r="V391" s="15"/>
    </row>
    <row r="392" spans="20:22" ht="14.55" x14ac:dyDescent="0.3">
      <c r="T392" s="14"/>
      <c r="U392" s="13"/>
      <c r="V392" s="15"/>
    </row>
    <row r="393" spans="20:22" ht="14.55" x14ac:dyDescent="0.3">
      <c r="T393" s="14"/>
      <c r="U393" s="13"/>
      <c r="V393" s="15"/>
    </row>
    <row r="394" spans="20:22" ht="14.55" x14ac:dyDescent="0.3">
      <c r="T394" s="14"/>
      <c r="U394" s="13"/>
      <c r="V394" s="15"/>
    </row>
    <row r="395" spans="20:22" ht="14.55" x14ac:dyDescent="0.3">
      <c r="T395" s="14"/>
      <c r="U395" s="13"/>
      <c r="V395" s="15"/>
    </row>
    <row r="396" spans="20:22" ht="14.55" x14ac:dyDescent="0.3">
      <c r="T396" s="14"/>
      <c r="U396" s="13"/>
      <c r="V396" s="15"/>
    </row>
    <row r="397" spans="20:22" ht="14.55" x14ac:dyDescent="0.3">
      <c r="T397" s="14"/>
      <c r="U397" s="13"/>
      <c r="V397" s="15"/>
    </row>
    <row r="398" spans="20:22" ht="14.55" x14ac:dyDescent="0.3">
      <c r="T398" s="14"/>
      <c r="U398" s="13"/>
      <c r="V398" s="15"/>
    </row>
    <row r="399" spans="20:22" ht="14.55" x14ac:dyDescent="0.3">
      <c r="T399" s="14"/>
      <c r="U399" s="13"/>
      <c r="V399" s="15"/>
    </row>
    <row r="400" spans="20:22" ht="14.55" x14ac:dyDescent="0.3">
      <c r="T400" s="14"/>
      <c r="U400" s="13"/>
      <c r="V400" s="15"/>
    </row>
    <row r="401" spans="20:22" ht="14.55" x14ac:dyDescent="0.3">
      <c r="T401" s="14"/>
      <c r="U401" s="13"/>
      <c r="V401" s="15"/>
    </row>
    <row r="402" spans="20:22" ht="14.55" x14ac:dyDescent="0.3">
      <c r="T402" s="14"/>
      <c r="U402" s="13"/>
      <c r="V402" s="15"/>
    </row>
    <row r="403" spans="20:22" ht="14.55" x14ac:dyDescent="0.3">
      <c r="T403" s="14"/>
      <c r="U403" s="13"/>
      <c r="V403" s="15"/>
    </row>
    <row r="404" spans="20:22" ht="14.55" x14ac:dyDescent="0.3">
      <c r="T404" s="14"/>
      <c r="U404" s="13"/>
      <c r="V404" s="15"/>
    </row>
    <row r="405" spans="20:22" ht="14.55" x14ac:dyDescent="0.3">
      <c r="T405" s="14"/>
      <c r="U405" s="13"/>
      <c r="V405" s="15"/>
    </row>
    <row r="406" spans="20:22" ht="14.55" x14ac:dyDescent="0.3">
      <c r="T406" s="14"/>
      <c r="U406" s="13"/>
      <c r="V406" s="15"/>
    </row>
    <row r="407" spans="20:22" ht="14.55" x14ac:dyDescent="0.3">
      <c r="T407" s="14"/>
      <c r="U407" s="13"/>
      <c r="V407" s="15"/>
    </row>
    <row r="408" spans="20:22" ht="14.55" x14ac:dyDescent="0.3">
      <c r="T408" s="14"/>
      <c r="U408" s="13"/>
      <c r="V408" s="15"/>
    </row>
    <row r="409" spans="20:22" ht="14.55" x14ac:dyDescent="0.3">
      <c r="T409" s="14"/>
      <c r="U409" s="13"/>
      <c r="V409" s="15"/>
    </row>
    <row r="410" spans="20:22" ht="14.55" x14ac:dyDescent="0.3">
      <c r="T410" s="14"/>
      <c r="U410" s="13"/>
      <c r="V410" s="15"/>
    </row>
    <row r="411" spans="20:22" ht="14.55" x14ac:dyDescent="0.3">
      <c r="T411" s="14"/>
      <c r="U411" s="13"/>
      <c r="V411" s="15"/>
    </row>
    <row r="412" spans="20:22" ht="14.55" x14ac:dyDescent="0.3">
      <c r="T412" s="14"/>
      <c r="U412" s="13"/>
      <c r="V412" s="15"/>
    </row>
    <row r="413" spans="20:22" ht="14.55" x14ac:dyDescent="0.3">
      <c r="T413" s="14"/>
      <c r="U413" s="13"/>
      <c r="V413" s="15"/>
    </row>
    <row r="414" spans="20:22" ht="14.55" x14ac:dyDescent="0.3">
      <c r="T414" s="14"/>
      <c r="U414" s="13"/>
      <c r="V414" s="15"/>
    </row>
    <row r="415" spans="20:22" ht="14.55" x14ac:dyDescent="0.3">
      <c r="T415" s="14"/>
      <c r="U415" s="13"/>
      <c r="V415" s="15"/>
    </row>
    <row r="416" spans="20:22" ht="14.55" x14ac:dyDescent="0.3">
      <c r="T416" s="14"/>
      <c r="U416" s="13"/>
      <c r="V416" s="15"/>
    </row>
    <row r="417" spans="20:22" ht="14.55" x14ac:dyDescent="0.3">
      <c r="T417" s="14"/>
      <c r="U417" s="13"/>
      <c r="V417" s="15"/>
    </row>
    <row r="418" spans="20:22" ht="14.55" x14ac:dyDescent="0.3">
      <c r="T418" s="14"/>
      <c r="U418" s="13"/>
      <c r="V418" s="15"/>
    </row>
    <row r="419" spans="20:22" ht="14.55" x14ac:dyDescent="0.3">
      <c r="T419" s="14"/>
      <c r="U419" s="13"/>
      <c r="V419" s="15"/>
    </row>
    <row r="420" spans="20:22" ht="14.55" x14ac:dyDescent="0.3">
      <c r="T420" s="14"/>
      <c r="U420" s="13"/>
      <c r="V420" s="15"/>
    </row>
    <row r="421" spans="20:22" ht="14.55" x14ac:dyDescent="0.3">
      <c r="T421" s="14"/>
      <c r="U421" s="13"/>
      <c r="V421" s="15"/>
    </row>
    <row r="422" spans="20:22" ht="14.55" x14ac:dyDescent="0.3">
      <c r="T422" s="14"/>
      <c r="U422" s="13"/>
      <c r="V422" s="15"/>
    </row>
    <row r="423" spans="20:22" ht="14.55" x14ac:dyDescent="0.3">
      <c r="T423" s="14"/>
      <c r="U423" s="13"/>
      <c r="V423" s="15"/>
    </row>
    <row r="424" spans="20:22" ht="14.55" x14ac:dyDescent="0.3">
      <c r="T424" s="14"/>
      <c r="U424" s="13"/>
      <c r="V424" s="15"/>
    </row>
    <row r="425" spans="20:22" ht="14.55" x14ac:dyDescent="0.3">
      <c r="T425" s="14"/>
      <c r="U425" s="13"/>
      <c r="V425" s="15"/>
    </row>
    <row r="426" spans="20:22" ht="14.55" x14ac:dyDescent="0.3">
      <c r="T426" s="14"/>
      <c r="U426" s="13"/>
      <c r="V426" s="15"/>
    </row>
    <row r="427" spans="20:22" ht="14.55" x14ac:dyDescent="0.3">
      <c r="T427" s="14"/>
      <c r="U427" s="13"/>
      <c r="V427" s="15"/>
    </row>
  </sheetData>
  <sheetProtection selectLockedCells="1"/>
  <mergeCells count="27">
    <mergeCell ref="A72:B72"/>
    <mergeCell ref="B27:J27"/>
    <mergeCell ref="B50:J50"/>
    <mergeCell ref="B23:C23"/>
    <mergeCell ref="B24:C24"/>
    <mergeCell ref="B25:C25"/>
    <mergeCell ref="E25:F25"/>
    <mergeCell ref="B22:C22"/>
    <mergeCell ref="B11:C11"/>
    <mergeCell ref="B12:C12"/>
    <mergeCell ref="B13:C13"/>
    <mergeCell ref="B14:C14"/>
    <mergeCell ref="B15:C15"/>
    <mergeCell ref="B16:C16"/>
    <mergeCell ref="B17:C17"/>
    <mergeCell ref="B18:C18"/>
    <mergeCell ref="B19:C19"/>
    <mergeCell ref="B20:C20"/>
    <mergeCell ref="B21:C21"/>
    <mergeCell ref="E1:F5"/>
    <mergeCell ref="B6:C6"/>
    <mergeCell ref="E6:F6"/>
    <mergeCell ref="B9:C9"/>
    <mergeCell ref="B10:C10"/>
    <mergeCell ref="B7:C7"/>
    <mergeCell ref="B8:C8"/>
    <mergeCell ref="B1:C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8D2C4-BA01-4A84-9D00-0B7AC279DF55}">
  <sheetPr codeName="Tabelle15">
    <tabColor rgb="FFFFC000"/>
  </sheetPr>
  <dimension ref="A1:AK296"/>
  <sheetViews>
    <sheetView zoomScale="85" zoomScaleNormal="85" workbookViewId="0">
      <selection activeCell="H8" sqref="H8:I8"/>
    </sheetView>
  </sheetViews>
  <sheetFormatPr baseColWidth="10" defaultColWidth="11.44140625" defaultRowHeight="13.9" x14ac:dyDescent="0.25"/>
  <cols>
    <col min="1" max="1" width="9.21875" style="41" customWidth="1"/>
    <col min="2" max="21" width="9.21875" style="39" customWidth="1"/>
    <col min="22" max="22" width="9.21875" style="72" customWidth="1"/>
    <col min="23" max="27" width="11.44140625" style="72"/>
    <col min="28" max="29" width="11.44140625" style="68"/>
    <col min="30" max="30" width="12.5546875" style="68" customWidth="1"/>
    <col min="31" max="34" width="11.44140625" style="68"/>
    <col min="35" max="35" width="13.21875" style="68" customWidth="1"/>
    <col min="36" max="37" width="11.44140625" style="68"/>
    <col min="38" max="16384" width="11.44140625" style="39"/>
  </cols>
  <sheetData>
    <row r="1" spans="1:35" x14ac:dyDescent="0.25">
      <c r="A1" s="493" t="str">
        <f>Überblick!X101</f>
        <v/>
      </c>
      <c r="B1" s="188" t="str">
        <f>IF(Überblick!B2=Überblick!L4,'Abwasser-, Wasser-, Gasanlagen'!V1,'Abwasser-, Wasser-, Gasanlagen'!V2)</f>
        <v>Honorarangebot - TGA Abwasser-, Wasser-, Gasanlagen</v>
      </c>
      <c r="S1" s="72"/>
      <c r="T1" s="963" t="str">
        <f>'Hochbauplanung '!T1</f>
        <v>Version: 27.06.2023</v>
      </c>
      <c r="U1" s="963"/>
      <c r="V1" s="185" t="s">
        <v>363</v>
      </c>
    </row>
    <row r="2" spans="1:35" x14ac:dyDescent="0.25">
      <c r="A2" s="491"/>
      <c r="R2" s="535" t="s">
        <v>110</v>
      </c>
      <c r="S2" s="1389" t="str">
        <f>IF(Überblick!Q2=0,"",Überblick!Q2)</f>
        <v/>
      </c>
      <c r="T2" s="1389"/>
      <c r="U2" s="1389"/>
      <c r="V2" s="185" t="s">
        <v>364</v>
      </c>
    </row>
    <row r="3" spans="1:35" x14ac:dyDescent="0.25">
      <c r="A3" s="491" t="s">
        <v>112</v>
      </c>
      <c r="B3" s="40" t="s">
        <v>365</v>
      </c>
      <c r="F3" s="895"/>
      <c r="G3" s="2224"/>
      <c r="H3" s="2224"/>
      <c r="R3" s="535" t="s">
        <v>24</v>
      </c>
      <c r="S3" s="1389" t="str">
        <f>IF(Überblick!G29=0,"",Überblick!G29)</f>
        <v>Breite Strasse, 10178 Berlin-Mitte, zw. Neumannsgasse und Scharrenstrasse</v>
      </c>
      <c r="T3" s="1389"/>
      <c r="U3" s="1389"/>
    </row>
    <row r="4" spans="1:35" ht="14.55" thickBot="1" x14ac:dyDescent="0.3">
      <c r="A4" s="491"/>
      <c r="R4" s="535" t="s">
        <v>17</v>
      </c>
      <c r="S4" s="1389" t="str">
        <f>IF(Überblick!D19=0,"",Überblick!D19)</f>
        <v/>
      </c>
      <c r="T4" s="1389"/>
      <c r="U4" s="1389"/>
    </row>
    <row r="5" spans="1:35"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c r="AA5" s="2258"/>
      <c r="AB5" s="2259"/>
      <c r="AC5" s="875"/>
      <c r="AD5" s="875"/>
      <c r="AE5" s="875"/>
      <c r="AF5" s="875"/>
      <c r="AG5" s="875"/>
      <c r="AH5" s="875"/>
      <c r="AI5" s="875"/>
    </row>
    <row r="6" spans="1:35"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c r="AA6" s="2258"/>
      <c r="AB6" s="875"/>
      <c r="AC6" s="875"/>
      <c r="AD6" s="875"/>
      <c r="AE6" s="875"/>
      <c r="AF6" s="875"/>
      <c r="AG6" s="875"/>
      <c r="AH6" s="875"/>
      <c r="AI6" s="875"/>
    </row>
    <row r="7" spans="1:35"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c r="AA7" s="2258"/>
      <c r="AB7" s="2224"/>
      <c r="AC7" s="2224"/>
      <c r="AD7" s="2260"/>
      <c r="AE7" s="2261"/>
      <c r="AF7" s="2262"/>
      <c r="AG7" s="2262"/>
      <c r="AH7" s="2262"/>
      <c r="AI7" s="2262"/>
    </row>
    <row r="8" spans="1:35" ht="14.55" thickBot="1" x14ac:dyDescent="0.3">
      <c r="A8" s="491"/>
      <c r="B8" s="1599" t="s">
        <v>366</v>
      </c>
      <c r="C8" s="1600"/>
      <c r="D8" s="1600"/>
      <c r="E8" s="1601"/>
      <c r="F8" s="1602">
        <f>H8*1.19</f>
        <v>0</v>
      </c>
      <c r="G8" s="1603"/>
      <c r="H8" s="1219"/>
      <c r="I8" s="1220"/>
      <c r="J8" s="1602">
        <f>L8*1.19</f>
        <v>0</v>
      </c>
      <c r="K8" s="1604"/>
      <c r="L8" s="1207"/>
      <c r="M8" s="1208"/>
      <c r="N8" s="1205">
        <f>P8*1.19</f>
        <v>0</v>
      </c>
      <c r="O8" s="1206"/>
      <c r="P8" s="1207"/>
      <c r="Q8" s="1208"/>
      <c r="R8" s="96">
        <f>+H8+L8+P8</f>
        <v>0</v>
      </c>
      <c r="S8" s="72">
        <f>IF((R8+AB245)&gt;0,1,0)</f>
        <v>0</v>
      </c>
      <c r="T8" s="181"/>
      <c r="U8" s="96"/>
      <c r="V8" s="96"/>
      <c r="W8" s="96"/>
      <c r="X8" s="96"/>
      <c r="AA8" s="876"/>
      <c r="AB8" s="2224"/>
      <c r="AC8" s="2224"/>
      <c r="AD8" s="2262"/>
      <c r="AE8" s="2262"/>
      <c r="AF8" s="2262"/>
      <c r="AG8" s="2262"/>
      <c r="AH8" s="2262"/>
      <c r="AI8" s="2262"/>
    </row>
    <row r="9" spans="1:35" x14ac:dyDescent="0.25">
      <c r="A9" s="491"/>
      <c r="B9" s="49"/>
      <c r="C9" s="49"/>
      <c r="D9" s="49"/>
      <c r="E9" s="49"/>
      <c r="F9" s="1138" t="str">
        <f>IF(H8&gt;'Berechnung - Abwasser'!$A$25,'Abwasser-, Wasser-, Gasanlagen'!$R$9,"")</f>
        <v/>
      </c>
      <c r="G9" s="1138"/>
      <c r="H9" s="1138"/>
      <c r="I9" s="1138"/>
      <c r="J9" s="1138" t="str">
        <f>IF(L8&gt;'Berechnung - Abwasser'!$A$25,'Abwasser-, Wasser-, Gasanlagen'!$R$9,"")</f>
        <v/>
      </c>
      <c r="K9" s="1138"/>
      <c r="L9" s="1138"/>
      <c r="M9" s="1138"/>
      <c r="N9" s="1138" t="str">
        <f>IF(P8&gt;'Berechnung - Abwasser'!$A$25,'Abwasser-, Wasser-, Gasanlagen'!$R$9,"")</f>
        <v/>
      </c>
      <c r="O9" s="1138"/>
      <c r="P9" s="1138"/>
      <c r="Q9" s="1138"/>
      <c r="R9" s="96" t="s">
        <v>124</v>
      </c>
      <c r="S9" s="96"/>
      <c r="T9" s="96"/>
      <c r="U9" s="96"/>
      <c r="V9" s="96"/>
      <c r="W9" s="96"/>
      <c r="X9" s="96"/>
      <c r="AA9" s="876"/>
      <c r="AB9" s="2224"/>
      <c r="AC9" s="2224"/>
      <c r="AD9" s="2263"/>
      <c r="AE9" s="2264"/>
      <c r="AF9" s="2263"/>
      <c r="AG9" s="2263"/>
      <c r="AH9" s="2263"/>
      <c r="AI9" s="2263"/>
    </row>
    <row r="10" spans="1:35"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c r="AA10" s="876"/>
      <c r="AB10" s="2224"/>
      <c r="AC10" s="2224"/>
      <c r="AD10" s="2265"/>
      <c r="AE10" s="2265"/>
      <c r="AF10" s="2265"/>
      <c r="AG10" s="2265"/>
      <c r="AH10" s="2265"/>
      <c r="AI10" s="2265"/>
    </row>
    <row r="11" spans="1:35"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c r="AA11" s="876"/>
      <c r="AB11" s="875"/>
      <c r="AC11" s="875"/>
      <c r="AD11" s="875"/>
      <c r="AE11" s="875"/>
      <c r="AF11" s="875"/>
      <c r="AG11" s="875"/>
      <c r="AH11" s="875"/>
      <c r="AI11" s="875"/>
    </row>
    <row r="12" spans="1:35" x14ac:dyDescent="0.25">
      <c r="A12" s="491"/>
      <c r="B12" s="39" t="s">
        <v>130</v>
      </c>
      <c r="R12" s="72"/>
      <c r="S12" s="72"/>
      <c r="T12" s="72"/>
      <c r="U12" s="72"/>
      <c r="AA12" s="876"/>
      <c r="AB12" s="2266"/>
      <c r="AC12" s="875"/>
      <c r="AD12" s="2267"/>
      <c r="AE12" s="2267"/>
      <c r="AF12" s="2267"/>
      <c r="AG12" s="2267"/>
      <c r="AH12" s="2267"/>
      <c r="AI12" s="2268"/>
    </row>
    <row r="13" spans="1:35" x14ac:dyDescent="0.25">
      <c r="A13" s="491"/>
      <c r="B13" s="39" t="s">
        <v>131</v>
      </c>
      <c r="R13" s="72"/>
      <c r="S13" s="72"/>
      <c r="T13" s="72"/>
      <c r="U13" s="72"/>
      <c r="AA13" s="876"/>
      <c r="AB13" s="2266"/>
      <c r="AC13" s="875"/>
      <c r="AD13" s="2267"/>
      <c r="AE13" s="2267"/>
      <c r="AF13" s="2267"/>
      <c r="AG13" s="2267"/>
      <c r="AH13" s="2267"/>
      <c r="AI13" s="2268"/>
    </row>
    <row r="14" spans="1:35" ht="14.55" thickBot="1" x14ac:dyDescent="0.3">
      <c r="A14" s="491"/>
      <c r="B14" s="40"/>
      <c r="G14" s="54"/>
      <c r="H14" s="41"/>
      <c r="I14" s="57"/>
      <c r="J14" s="54"/>
      <c r="K14" s="54"/>
      <c r="L14" s="57"/>
      <c r="M14" s="58"/>
      <c r="N14" s="58"/>
      <c r="O14" s="59"/>
      <c r="R14" s="72"/>
      <c r="S14" s="351"/>
      <c r="T14" s="96"/>
      <c r="U14" s="72"/>
      <c r="AA14" s="876"/>
      <c r="AB14" s="2266"/>
      <c r="AC14" s="875"/>
      <c r="AD14" s="2267"/>
      <c r="AE14" s="2267"/>
      <c r="AF14" s="2267"/>
      <c r="AG14" s="2267"/>
      <c r="AH14" s="2267"/>
      <c r="AI14" s="2268"/>
    </row>
    <row r="15" spans="1:35" x14ac:dyDescent="0.25">
      <c r="A15" s="491"/>
      <c r="B15" s="1221" t="s">
        <v>132</v>
      </c>
      <c r="C15" s="1222"/>
      <c r="D15" s="1222"/>
      <c r="E15" s="1223"/>
      <c r="F15" s="1164">
        <v>2</v>
      </c>
      <c r="G15" s="1165"/>
      <c r="H15" s="1165"/>
      <c r="I15" s="1165"/>
      <c r="J15" s="1165"/>
      <c r="K15" s="1165"/>
      <c r="L15" s="1165"/>
      <c r="M15" s="1165"/>
      <c r="N15" s="1165"/>
      <c r="O15" s="1165"/>
      <c r="P15" s="1165"/>
      <c r="Q15" s="1166"/>
      <c r="R15" s="72"/>
      <c r="S15" s="351"/>
      <c r="T15" s="96"/>
      <c r="U15" s="72" t="s">
        <v>133</v>
      </c>
      <c r="V15" s="72">
        <v>1</v>
      </c>
      <c r="AA15" s="876"/>
      <c r="AB15" s="2266"/>
      <c r="AC15" s="875"/>
      <c r="AD15" s="2267"/>
      <c r="AE15" s="2267"/>
      <c r="AF15" s="2267"/>
      <c r="AG15" s="2267"/>
      <c r="AH15" s="2267"/>
      <c r="AI15" s="2268"/>
    </row>
    <row r="16" spans="1:35"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c r="AA16" s="876"/>
      <c r="AB16" s="2266"/>
      <c r="AC16" s="875"/>
      <c r="AD16" s="2267"/>
      <c r="AE16" s="2267"/>
      <c r="AF16" s="2267"/>
      <c r="AG16" s="2267"/>
      <c r="AH16" s="2267"/>
      <c r="AI16" s="2268"/>
    </row>
    <row r="17" spans="1:35"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c r="AA17" s="876"/>
      <c r="AB17" s="2266"/>
      <c r="AC17" s="875"/>
      <c r="AD17" s="2267"/>
      <c r="AE17" s="2267"/>
      <c r="AF17" s="2267"/>
      <c r="AG17" s="2267"/>
      <c r="AH17" s="2267"/>
      <c r="AI17" s="2268"/>
    </row>
    <row r="18" spans="1:35"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c r="AA18" s="876"/>
      <c r="AB18" s="2266"/>
      <c r="AC18" s="875"/>
      <c r="AD18" s="2267"/>
      <c r="AE18" s="2267"/>
      <c r="AF18" s="2267"/>
      <c r="AG18" s="2267"/>
      <c r="AH18" s="2267"/>
      <c r="AI18" s="2268"/>
    </row>
    <row r="19" spans="1:35" ht="14.55" thickBot="1" x14ac:dyDescent="0.3">
      <c r="A19" s="491"/>
      <c r="B19" s="40"/>
      <c r="C19" s="40"/>
      <c r="D19" s="40"/>
      <c r="E19" s="69"/>
      <c r="F19" s="1596">
        <f>'Berechnung - Abwasser'!H105</f>
        <v>0</v>
      </c>
      <c r="G19" s="1597"/>
      <c r="H19" s="1597"/>
      <c r="I19" s="1598"/>
      <c r="J19" s="1596" t="str">
        <f>IF('Berechnung - Abwasser'!J105=0,"Kostenschätzung liegt noch nicht vor",'Berechnung - Abwasser'!J105)</f>
        <v>Kostenschätzung liegt noch nicht vor</v>
      </c>
      <c r="K19" s="1597"/>
      <c r="L19" s="1597"/>
      <c r="M19" s="1598"/>
      <c r="N19" s="1596" t="str">
        <f>IF('Berechnung - Abwasser'!L105=0,"Kostenberechnung liegt noch nicht vor",'Berechnung - Abwasser'!L105)</f>
        <v>Kostenberechnung liegt noch nicht vor</v>
      </c>
      <c r="O19" s="1597"/>
      <c r="P19" s="1597"/>
      <c r="Q19" s="1598"/>
      <c r="R19" s="72"/>
      <c r="S19" s="351"/>
      <c r="T19" s="96"/>
      <c r="U19" s="72"/>
      <c r="AA19" s="876"/>
      <c r="AB19" s="2266"/>
      <c r="AC19" s="875"/>
      <c r="AD19" s="2267"/>
      <c r="AE19" s="2267"/>
      <c r="AF19" s="2267"/>
      <c r="AG19" s="2267"/>
      <c r="AH19" s="2267"/>
      <c r="AI19" s="2268"/>
    </row>
    <row r="20" spans="1:35" x14ac:dyDescent="0.25">
      <c r="A20" s="491"/>
      <c r="B20" s="40"/>
      <c r="G20" s="54"/>
      <c r="H20" s="41"/>
      <c r="I20" s="57"/>
      <c r="J20" s="54"/>
      <c r="K20" s="54"/>
      <c r="L20" s="57"/>
      <c r="M20" s="58"/>
      <c r="N20" s="58"/>
      <c r="O20" s="59"/>
      <c r="R20" s="72"/>
      <c r="S20" s="351"/>
      <c r="T20" s="96"/>
      <c r="U20" s="72"/>
      <c r="AA20" s="876"/>
      <c r="AB20" s="875"/>
      <c r="AC20" s="875"/>
      <c r="AD20" s="875"/>
      <c r="AE20" s="875"/>
      <c r="AF20" s="875"/>
      <c r="AG20" s="875"/>
      <c r="AH20" s="875"/>
      <c r="AI20" s="875"/>
    </row>
    <row r="21" spans="1:35" x14ac:dyDescent="0.25">
      <c r="A21" s="492" t="s">
        <v>139</v>
      </c>
      <c r="B21" s="42" t="s">
        <v>140</v>
      </c>
      <c r="C21" s="43"/>
      <c r="D21" s="43"/>
      <c r="E21" s="61"/>
      <c r="F21" s="43"/>
      <c r="G21" s="43"/>
      <c r="H21" s="44"/>
      <c r="I21" s="44"/>
      <c r="R21" s="72"/>
      <c r="S21" s="72"/>
      <c r="T21" s="72"/>
      <c r="U21" s="72"/>
      <c r="AB21" s="875"/>
      <c r="AC21" s="875"/>
      <c r="AD21" s="875"/>
      <c r="AE21" s="875"/>
      <c r="AF21" s="875"/>
      <c r="AG21" s="875"/>
    </row>
    <row r="22" spans="1:35" ht="14.55" thickBot="1" x14ac:dyDescent="0.3">
      <c r="A22" s="492"/>
      <c r="B22" s="43"/>
      <c r="C22" s="43"/>
      <c r="D22" s="43"/>
      <c r="E22" s="61"/>
      <c r="F22" s="43"/>
      <c r="G22" s="43"/>
      <c r="H22" s="62"/>
      <c r="I22" s="62"/>
      <c r="R22" s="72"/>
      <c r="S22" s="178"/>
      <c r="T22" s="178"/>
      <c r="U22" s="178"/>
      <c r="AB22" s="875"/>
      <c r="AC22" s="875"/>
      <c r="AD22" s="875"/>
      <c r="AE22" s="875"/>
      <c r="AF22" s="875"/>
      <c r="AG22" s="875"/>
    </row>
    <row r="23" spans="1:35" ht="45.35" customHeight="1" thickBot="1" x14ac:dyDescent="0.3">
      <c r="A23" s="492"/>
      <c r="B23" s="1586" t="s">
        <v>142</v>
      </c>
      <c r="C23" s="1587"/>
      <c r="D23" s="1587"/>
      <c r="E23" s="1588"/>
      <c r="F23" s="1589"/>
      <c r="G23" s="1590"/>
      <c r="H23" s="1590"/>
      <c r="I23" s="1590"/>
      <c r="J23" s="1590"/>
      <c r="K23" s="1590"/>
      <c r="L23" s="1590"/>
      <c r="M23" s="1590"/>
      <c r="N23" s="1590"/>
      <c r="O23" s="1590"/>
      <c r="P23" s="1590"/>
      <c r="Q23" s="1591"/>
      <c r="R23" s="189">
        <f>IF(AND(R8&gt;0,F23=""),1,0)</f>
        <v>0</v>
      </c>
      <c r="S23" s="352"/>
      <c r="T23" s="352"/>
      <c r="U23" s="352"/>
      <c r="V23" s="352"/>
      <c r="W23" s="352"/>
      <c r="X23" s="352"/>
      <c r="AB23" s="875"/>
      <c r="AC23" s="875"/>
      <c r="AD23" s="875"/>
      <c r="AE23" s="875"/>
      <c r="AF23" s="875"/>
      <c r="AG23" s="875"/>
    </row>
    <row r="24" spans="1:35"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c r="AB24" s="875"/>
      <c r="AC24" s="875"/>
      <c r="AD24" s="875"/>
      <c r="AE24" s="875"/>
      <c r="AF24" s="875"/>
      <c r="AG24" s="875"/>
    </row>
    <row r="25" spans="1:35"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c r="AB25" s="875"/>
      <c r="AC25" s="875"/>
      <c r="AD25" s="875"/>
      <c r="AE25" s="875"/>
      <c r="AF25" s="875"/>
      <c r="AG25" s="875"/>
    </row>
    <row r="26" spans="1:35" x14ac:dyDescent="0.25">
      <c r="A26" s="491"/>
      <c r="B26" s="40"/>
      <c r="G26" s="54"/>
      <c r="H26" s="41"/>
      <c r="I26" s="57"/>
      <c r="J26" s="54"/>
      <c r="K26" s="54"/>
      <c r="L26" s="57"/>
      <c r="M26" s="58"/>
      <c r="N26" s="58"/>
      <c r="O26" s="59"/>
      <c r="R26" s="72"/>
      <c r="S26" s="351"/>
      <c r="T26" s="96"/>
      <c r="U26" s="72"/>
      <c r="AB26" s="875"/>
      <c r="AC26" s="875"/>
      <c r="AD26" s="875"/>
      <c r="AE26" s="875"/>
      <c r="AF26" s="875"/>
      <c r="AG26" s="875"/>
    </row>
    <row r="27" spans="1:35" x14ac:dyDescent="0.25">
      <c r="A27" s="491" t="s">
        <v>144</v>
      </c>
      <c r="B27" s="40" t="s">
        <v>368</v>
      </c>
      <c r="R27" s="72"/>
      <c r="S27" s="72"/>
      <c r="T27" s="72"/>
      <c r="U27" s="72"/>
      <c r="AB27" s="875"/>
      <c r="AC27" s="875"/>
      <c r="AD27" s="875"/>
      <c r="AE27" s="875"/>
      <c r="AF27" s="875"/>
      <c r="AG27" s="875"/>
    </row>
    <row r="28" spans="1:35" x14ac:dyDescent="0.25">
      <c r="A28" s="491"/>
      <c r="B28" s="40"/>
      <c r="R28" s="72"/>
      <c r="S28" s="72"/>
      <c r="T28" s="72"/>
      <c r="U28" s="72"/>
    </row>
    <row r="29" spans="1:35" x14ac:dyDescent="0.25">
      <c r="A29" s="491"/>
      <c r="B29" s="39" t="s">
        <v>369</v>
      </c>
      <c r="R29" s="72"/>
      <c r="S29" s="72"/>
      <c r="T29" s="72"/>
      <c r="U29" s="72" t="s">
        <v>115</v>
      </c>
      <c r="V29" s="72" t="s">
        <v>100</v>
      </c>
    </row>
    <row r="30" spans="1:35" x14ac:dyDescent="0.25">
      <c r="A30" s="491"/>
      <c r="B30" s="39" t="s">
        <v>370</v>
      </c>
      <c r="R30" s="72"/>
      <c r="S30" s="72"/>
      <c r="T30" s="72"/>
      <c r="U30" s="72"/>
      <c r="V30" s="72" t="s">
        <v>99</v>
      </c>
    </row>
    <row r="31" spans="1:35" ht="14.55" thickBot="1" x14ac:dyDescent="0.3">
      <c r="A31" s="491"/>
      <c r="B31" s="40"/>
      <c r="R31" s="72"/>
      <c r="S31" s="72"/>
      <c r="T31" s="72"/>
      <c r="U31" s="72"/>
    </row>
    <row r="32" spans="1:35" ht="15.95" customHeight="1" x14ac:dyDescent="0.25">
      <c r="A32" s="1516" t="s">
        <v>371</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28"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28" ht="14.55" thickBot="1" x14ac:dyDescent="0.3">
      <c r="A34" s="1516"/>
      <c r="B34" s="1129"/>
      <c r="C34" s="1130"/>
      <c r="D34" s="1130"/>
      <c r="E34" s="1130"/>
      <c r="F34" s="1130"/>
      <c r="G34" s="1130"/>
      <c r="H34" s="1133"/>
      <c r="I34" s="1136"/>
      <c r="J34" s="1521"/>
      <c r="K34" s="1522"/>
      <c r="L34" s="176"/>
      <c r="M34" s="115"/>
      <c r="N34" s="115"/>
      <c r="O34" s="115"/>
      <c r="P34" s="116"/>
      <c r="Q34" s="116"/>
      <c r="R34" s="116"/>
      <c r="S34" s="117"/>
      <c r="T34" s="117"/>
      <c r="U34" s="81"/>
      <c r="V34" s="81"/>
      <c r="W34" s="81"/>
    </row>
    <row r="35" spans="1:28" ht="15" customHeight="1" thickBot="1" x14ac:dyDescent="0.3">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IF(B1=V2,"Honorar für die Besonderen Leistungen","Honorarangebot für die Besonderen Leistungen")</f>
        <v>Honorarangebot für die Besonderen Leistungen</v>
      </c>
      <c r="S35" s="1608"/>
      <c r="T35" s="1605" t="s">
        <v>156</v>
      </c>
      <c r="U35" s="1371" t="s">
        <v>157</v>
      </c>
      <c r="Y35" s="73" t="s">
        <v>5</v>
      </c>
      <c r="Z35" s="72" t="s">
        <v>374</v>
      </c>
      <c r="AA35" s="81"/>
      <c r="AB35" s="118"/>
    </row>
    <row r="36" spans="1:28"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row>
    <row r="37" spans="1:28"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row>
    <row r="38" spans="1:28" ht="14.55" thickBot="1" x14ac:dyDescent="0.3">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119"/>
    </row>
    <row r="39" spans="1:28" ht="15.95" customHeight="1" thickBot="1" x14ac:dyDescent="0.3">
      <c r="A39" s="1516"/>
      <c r="B39" s="1497" t="s">
        <v>375</v>
      </c>
      <c r="C39" s="1498"/>
      <c r="D39" s="1498"/>
      <c r="E39" s="1498"/>
      <c r="F39" s="1498"/>
      <c r="G39" s="1499"/>
      <c r="H39" s="1194" t="s">
        <v>99</v>
      </c>
      <c r="I39" s="1016">
        <f>Z54</f>
        <v>1.9999999999999997E-2</v>
      </c>
      <c r="J39" s="1027">
        <f>I35*I39</f>
        <v>0</v>
      </c>
      <c r="K39" s="1028"/>
      <c r="L39" s="1570" t="s">
        <v>376</v>
      </c>
      <c r="M39" s="1571"/>
      <c r="N39" s="1571"/>
      <c r="O39" s="1571"/>
      <c r="P39" s="1571"/>
      <c r="Q39" s="1366" t="s">
        <v>99</v>
      </c>
      <c r="R39" s="1025"/>
      <c r="S39" s="1026"/>
      <c r="T39" s="1543" t="str">
        <f>IFERROR(IF((VLOOKUP(U39,Überblick!$M$125:$N$133,2))="ja","ja","nein"),"")</f>
        <v>ja</v>
      </c>
      <c r="U39" s="1337">
        <v>1</v>
      </c>
      <c r="V39" s="72">
        <f>IF(AND(Q39="ja",R39=""),1,0)</f>
        <v>1</v>
      </c>
      <c r="Y39" s="74">
        <v>1.4999999999999999E-2</v>
      </c>
      <c r="Z39" s="77">
        <f>IF(H39="ja",Y39,0)</f>
        <v>1.4999999999999999E-2</v>
      </c>
      <c r="AA39" s="78"/>
      <c r="AB39" s="194"/>
    </row>
    <row r="40" spans="1:28" ht="14.55"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194"/>
    </row>
    <row r="41" spans="1:28" ht="14.55"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194"/>
    </row>
    <row r="42" spans="1:28" ht="14.55" thickBot="1" x14ac:dyDescent="0.3">
      <c r="A42" s="1516"/>
      <c r="B42" s="1493" t="s">
        <v>377</v>
      </c>
      <c r="C42" s="1317"/>
      <c r="D42" s="1317"/>
      <c r="E42" s="1317"/>
      <c r="F42" s="1317"/>
      <c r="G42" s="1494"/>
      <c r="H42" s="982" t="s">
        <v>99</v>
      </c>
      <c r="I42" s="1017"/>
      <c r="J42" s="1029"/>
      <c r="K42" s="1030"/>
      <c r="L42" s="1544"/>
      <c r="M42" s="1545"/>
      <c r="N42" s="1545"/>
      <c r="O42" s="1545"/>
      <c r="P42" s="1545"/>
      <c r="Q42" s="978"/>
      <c r="R42" s="972"/>
      <c r="S42" s="973"/>
      <c r="T42" s="1543"/>
      <c r="U42" s="1337"/>
      <c r="Y42" s="74">
        <v>3.0000000000000001E-3</v>
      </c>
      <c r="Z42" s="77">
        <f>IF(H42="ja",Y42,0)</f>
        <v>3.0000000000000001E-3</v>
      </c>
      <c r="AA42" s="78"/>
      <c r="AB42" s="194"/>
    </row>
    <row r="43" spans="1:28" ht="14.55"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194"/>
    </row>
    <row r="44" spans="1:28" ht="15.95" customHeight="1" thickBot="1" x14ac:dyDescent="0.3">
      <c r="A44" s="1516"/>
      <c r="B44" s="1490"/>
      <c r="C44" s="1491"/>
      <c r="D44" s="1491"/>
      <c r="E44" s="1491"/>
      <c r="F44" s="1491"/>
      <c r="G44" s="1492"/>
      <c r="H44" s="983"/>
      <c r="I44" s="1017"/>
      <c r="J44" s="1029"/>
      <c r="K44" s="1030"/>
      <c r="L44" s="1544"/>
      <c r="M44" s="1545"/>
      <c r="N44" s="1545"/>
      <c r="O44" s="1545"/>
      <c r="P44" s="1545"/>
      <c r="Q44" s="978"/>
      <c r="R44" s="972"/>
      <c r="S44" s="973"/>
      <c r="T44" s="1543"/>
      <c r="U44" s="1337"/>
      <c r="V44" s="72">
        <f>IF(AND(Q44="ja",R44=""),1,0)</f>
        <v>0</v>
      </c>
      <c r="Y44" s="74"/>
      <c r="Z44" s="77"/>
      <c r="AA44" s="78"/>
      <c r="AB44" s="194"/>
    </row>
    <row r="45" spans="1:28" ht="14.55" thickBot="1" x14ac:dyDescent="0.3">
      <c r="A45" s="1516"/>
      <c r="B45" s="1493" t="s">
        <v>171</v>
      </c>
      <c r="C45" s="1317"/>
      <c r="D45" s="1317"/>
      <c r="E45" s="1317"/>
      <c r="F45" s="1317"/>
      <c r="G45" s="1494"/>
      <c r="H45" s="1191" t="s">
        <v>99</v>
      </c>
      <c r="I45" s="1017"/>
      <c r="J45" s="1029"/>
      <c r="K45" s="1030"/>
      <c r="L45" s="1544"/>
      <c r="M45" s="1545"/>
      <c r="N45" s="1545"/>
      <c r="O45" s="1545"/>
      <c r="P45" s="1545"/>
      <c r="Q45" s="978"/>
      <c r="R45" s="972"/>
      <c r="S45" s="973"/>
      <c r="T45" s="1543"/>
      <c r="U45" s="1337"/>
      <c r="Y45" s="74">
        <v>2E-3</v>
      </c>
      <c r="Z45" s="77">
        <f>IF(H45="ja",Y45,0)</f>
        <v>2E-3</v>
      </c>
      <c r="AA45" s="78"/>
      <c r="AB45" s="194"/>
    </row>
    <row r="46" spans="1:28" ht="14.55"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194"/>
    </row>
    <row r="47" spans="1:28" ht="15.95" customHeight="1" thickBot="1" x14ac:dyDescent="0.3">
      <c r="A47" s="1516"/>
      <c r="B47" s="1493"/>
      <c r="C47" s="1317"/>
      <c r="D47" s="1317"/>
      <c r="E47" s="1317"/>
      <c r="F47" s="1317"/>
      <c r="G47" s="1494"/>
      <c r="H47" s="1191"/>
      <c r="I47" s="1017"/>
      <c r="J47" s="1029"/>
      <c r="K47" s="1030"/>
      <c r="L47" s="1544"/>
      <c r="M47" s="1545"/>
      <c r="N47" s="1545"/>
      <c r="O47" s="1545"/>
      <c r="P47" s="1545"/>
      <c r="Q47" s="978"/>
      <c r="R47" s="972"/>
      <c r="S47" s="973"/>
      <c r="T47" s="1543"/>
      <c r="U47" s="1337"/>
      <c r="V47" s="72">
        <f>IF(AND(Q47="ja",R47=""),1,0)</f>
        <v>0</v>
      </c>
      <c r="Y47" s="74"/>
      <c r="Z47" s="77"/>
      <c r="AA47" s="78"/>
      <c r="AB47" s="194"/>
    </row>
    <row r="48" spans="1:28" ht="14.55"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194"/>
    </row>
    <row r="49" spans="1:37" ht="14.55" thickBot="1" x14ac:dyDescent="0.3">
      <c r="A49" s="1516"/>
      <c r="B49" s="1493"/>
      <c r="C49" s="1317"/>
      <c r="D49" s="1317"/>
      <c r="E49" s="1317"/>
      <c r="F49" s="1317"/>
      <c r="G49" s="1494"/>
      <c r="H49" s="1191"/>
      <c r="I49" s="1017"/>
      <c r="J49" s="1029"/>
      <c r="K49" s="1030"/>
      <c r="L49" s="1532"/>
      <c r="M49" s="1533"/>
      <c r="N49" s="1533"/>
      <c r="O49" s="1533"/>
      <c r="P49" s="1533"/>
      <c r="Q49" s="329"/>
      <c r="R49" s="972"/>
      <c r="S49" s="973"/>
      <c r="T49" s="1543"/>
      <c r="U49" s="1337"/>
      <c r="V49" s="72">
        <f>IF(AND(Q49="ja",R49=""),1,0)</f>
        <v>0</v>
      </c>
      <c r="Y49" s="74"/>
      <c r="Z49" s="77"/>
      <c r="AA49" s="78"/>
      <c r="AB49" s="194"/>
    </row>
    <row r="50" spans="1:37" ht="14.55" thickBot="1" x14ac:dyDescent="0.3">
      <c r="A50" s="1516"/>
      <c r="B50" s="1493"/>
      <c r="C50" s="1317"/>
      <c r="D50" s="1317"/>
      <c r="E50" s="1317"/>
      <c r="F50" s="1317"/>
      <c r="G50" s="1494"/>
      <c r="H50" s="1191"/>
      <c r="I50" s="1017"/>
      <c r="J50" s="1029"/>
      <c r="K50" s="1030"/>
      <c r="L50" s="1532"/>
      <c r="M50" s="1533"/>
      <c r="N50" s="1533"/>
      <c r="O50" s="1533"/>
      <c r="P50" s="1533"/>
      <c r="Q50" s="329"/>
      <c r="R50" s="972"/>
      <c r="S50" s="973"/>
      <c r="T50" s="1543"/>
      <c r="U50" s="1337"/>
      <c r="V50" s="72">
        <f>IF(AND(Q50="ja",R50=""),1,0)</f>
        <v>0</v>
      </c>
      <c r="Y50" s="74"/>
      <c r="Z50" s="77"/>
      <c r="AA50" s="78"/>
      <c r="AB50" s="194"/>
    </row>
    <row r="51" spans="1:37" ht="15.95" customHeight="1" thickBot="1" x14ac:dyDescent="0.3">
      <c r="A51" s="1516"/>
      <c r="B51" s="1493"/>
      <c r="C51" s="1317"/>
      <c r="D51" s="1317"/>
      <c r="E51" s="1317"/>
      <c r="F51" s="1317"/>
      <c r="G51" s="1494"/>
      <c r="H51" s="1191"/>
      <c r="I51" s="1017"/>
      <c r="J51" s="1029"/>
      <c r="K51" s="1030"/>
      <c r="L51" s="1544"/>
      <c r="M51" s="1545"/>
      <c r="N51" s="1545"/>
      <c r="O51" s="1545"/>
      <c r="P51" s="1545"/>
      <c r="Q51" s="978"/>
      <c r="R51" s="972"/>
      <c r="S51" s="973"/>
      <c r="T51" s="1543"/>
      <c r="U51" s="1337"/>
      <c r="V51" s="72">
        <f>IF(AND(Q51="ja",R51=""),1,0)</f>
        <v>0</v>
      </c>
      <c r="Y51" s="74"/>
      <c r="Z51" s="77"/>
      <c r="AA51" s="78"/>
      <c r="AB51" s="194"/>
    </row>
    <row r="52" spans="1:37" ht="14.55"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194"/>
    </row>
    <row r="53" spans="1:37" ht="15.95" customHeight="1" thickBot="1" x14ac:dyDescent="0.3">
      <c r="A53" s="1516"/>
      <c r="B53" s="1592"/>
      <c r="C53" s="1593"/>
      <c r="D53" s="1593"/>
      <c r="E53" s="1593"/>
      <c r="F53" s="1593"/>
      <c r="G53" s="1594"/>
      <c r="H53" s="1192"/>
      <c r="I53" s="1018"/>
      <c r="J53" s="1031"/>
      <c r="K53" s="1032"/>
      <c r="L53" s="1546"/>
      <c r="M53" s="1547"/>
      <c r="N53" s="1547"/>
      <c r="O53" s="1547"/>
      <c r="P53" s="1547"/>
      <c r="Q53" s="330"/>
      <c r="R53" s="976"/>
      <c r="S53" s="977"/>
      <c r="T53" s="1543"/>
      <c r="U53" s="1337"/>
      <c r="V53" s="72">
        <f>IF(AND(Q53="ja",R53=""),1,0)</f>
        <v>0</v>
      </c>
      <c r="Y53" s="74"/>
      <c r="Z53" s="77"/>
      <c r="AA53" s="78"/>
      <c r="AB53" s="194"/>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1.9999999999999997E-2</v>
      </c>
      <c r="AA54" s="77"/>
      <c r="AB54" s="194"/>
    </row>
    <row r="55" spans="1:37" ht="15.95" customHeight="1" thickBot="1" x14ac:dyDescent="0.3">
      <c r="A55" s="1516"/>
      <c r="B55" s="1497" t="s">
        <v>384</v>
      </c>
      <c r="C55" s="1498"/>
      <c r="D55" s="1498"/>
      <c r="E55" s="1498"/>
      <c r="F55" s="1498"/>
      <c r="G55" s="1498"/>
      <c r="H55" s="1194" t="s">
        <v>99</v>
      </c>
      <c r="I55" s="1016">
        <f>Z78</f>
        <v>0.09</v>
      </c>
      <c r="J55" s="1027">
        <f>I35*I55</f>
        <v>0</v>
      </c>
      <c r="K55" s="1028"/>
      <c r="L55" s="984" t="s">
        <v>182</v>
      </c>
      <c r="M55" s="985"/>
      <c r="N55" s="985"/>
      <c r="O55" s="985"/>
      <c r="P55" s="985"/>
      <c r="Q55" s="1548" t="s">
        <v>99</v>
      </c>
      <c r="R55" s="972"/>
      <c r="S55" s="973"/>
      <c r="T55" s="1543" t="str">
        <f>IFERROR(IF((VLOOKUP(U55,Überblick!$M$125:$N$133,2))="ja","ja","nein"),"")</f>
        <v/>
      </c>
      <c r="U55" s="1337"/>
      <c r="V55" s="72">
        <f>IF(AND(Q55="ja",R55=""),1,0)</f>
        <v>1</v>
      </c>
      <c r="Y55" s="74">
        <v>8.0000000000000002E-3</v>
      </c>
      <c r="Z55" s="77">
        <f>IF(H55="ja",Y55,0)</f>
        <v>8.0000000000000002E-3</v>
      </c>
      <c r="AA55" s="78"/>
      <c r="AB55" s="194"/>
    </row>
    <row r="56" spans="1:37" ht="14.55" thickBot="1" x14ac:dyDescent="0.3">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194"/>
    </row>
    <row r="57" spans="1:37" s="70" customFormat="1" ht="21.8" customHeight="1" thickBot="1" x14ac:dyDescent="0.3">
      <c r="A57" s="1516"/>
      <c r="B57" s="1487" t="s">
        <v>385</v>
      </c>
      <c r="C57" s="1488"/>
      <c r="D57" s="1488"/>
      <c r="E57" s="1488"/>
      <c r="F57" s="1488"/>
      <c r="G57" s="1489"/>
      <c r="H57" s="1583" t="s">
        <v>99</v>
      </c>
      <c r="I57" s="1017"/>
      <c r="J57" s="1029"/>
      <c r="K57" s="1030"/>
      <c r="L57" s="984"/>
      <c r="M57" s="985"/>
      <c r="N57" s="985"/>
      <c r="O57" s="985"/>
      <c r="P57" s="985"/>
      <c r="Q57" s="1548"/>
      <c r="R57" s="972"/>
      <c r="S57" s="973"/>
      <c r="T57" s="1543"/>
      <c r="U57" s="1337"/>
      <c r="V57" s="339" t="s">
        <v>987</v>
      </c>
      <c r="W57" s="339"/>
      <c r="X57" s="339"/>
      <c r="Y57" s="340">
        <v>5.2499999999999998E-2</v>
      </c>
      <c r="Z57" s="77">
        <f>IF(H57="ja",Y57,0)</f>
        <v>5.2499999999999998E-2</v>
      </c>
      <c r="AA57" s="78"/>
      <c r="AB57" s="194"/>
      <c r="AC57" s="341"/>
      <c r="AD57" s="341"/>
      <c r="AE57" s="341"/>
      <c r="AF57" s="341"/>
      <c r="AG57" s="341"/>
      <c r="AH57" s="341"/>
      <c r="AI57" s="341"/>
      <c r="AJ57" s="341"/>
      <c r="AK57" s="341"/>
    </row>
    <row r="58" spans="1:37" s="70" customFormat="1" ht="14.55" thickBot="1" x14ac:dyDescent="0.3">
      <c r="A58" s="1516"/>
      <c r="B58" s="1493"/>
      <c r="C58" s="1317"/>
      <c r="D58" s="1317"/>
      <c r="E58" s="1317"/>
      <c r="F58" s="1317"/>
      <c r="G58" s="1494"/>
      <c r="H58" s="1584"/>
      <c r="I58" s="1017"/>
      <c r="J58" s="1029"/>
      <c r="K58" s="1030"/>
      <c r="L58" s="984"/>
      <c r="M58" s="985"/>
      <c r="N58" s="985"/>
      <c r="O58" s="985"/>
      <c r="P58" s="985"/>
      <c r="Q58" s="1548"/>
      <c r="R58" s="972"/>
      <c r="S58" s="973"/>
      <c r="T58" s="1543"/>
      <c r="U58" s="1337"/>
      <c r="V58" s="72">
        <f>IF(AND(Q58="ja",R58=""),1,0)</f>
        <v>0</v>
      </c>
      <c r="W58" s="339"/>
      <c r="X58" s="339"/>
      <c r="Y58" s="340"/>
      <c r="Z58" s="207"/>
      <c r="AA58" s="78"/>
      <c r="AB58" s="194"/>
      <c r="AC58" s="341"/>
      <c r="AD58" s="341"/>
      <c r="AE58" s="341"/>
      <c r="AF58" s="341"/>
      <c r="AG58" s="341"/>
      <c r="AH58" s="341"/>
      <c r="AI58" s="341"/>
      <c r="AJ58" s="341"/>
      <c r="AK58" s="341"/>
    </row>
    <row r="59" spans="1:37" s="70" customFormat="1" ht="14.55" thickBot="1" x14ac:dyDescent="0.3">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194"/>
      <c r="AC59" s="341"/>
      <c r="AD59" s="341"/>
      <c r="AE59" s="341"/>
      <c r="AF59" s="341"/>
      <c r="AG59" s="341"/>
      <c r="AH59" s="341"/>
      <c r="AI59" s="341"/>
      <c r="AJ59" s="341"/>
      <c r="AK59" s="341"/>
    </row>
    <row r="60" spans="1:37" s="70" customFormat="1" ht="14.55" thickBot="1" x14ac:dyDescent="0.3">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194"/>
      <c r="AC60" s="341"/>
      <c r="AD60" s="341"/>
      <c r="AE60" s="341"/>
      <c r="AF60" s="341"/>
      <c r="AG60" s="341"/>
      <c r="AH60" s="341"/>
      <c r="AI60" s="341"/>
      <c r="AJ60" s="341"/>
      <c r="AK60" s="341"/>
    </row>
    <row r="61" spans="1:37" ht="14.55" thickBot="1" x14ac:dyDescent="0.3">
      <c r="A61" s="1516"/>
      <c r="B61" s="1493"/>
      <c r="C61" s="1317"/>
      <c r="D61" s="1317"/>
      <c r="E61" s="1317"/>
      <c r="F61" s="1317"/>
      <c r="G61" s="1494"/>
      <c r="H61" s="1584"/>
      <c r="I61" s="1017"/>
      <c r="J61" s="1029"/>
      <c r="K61" s="1030"/>
      <c r="L61" s="984"/>
      <c r="M61" s="985"/>
      <c r="N61" s="985"/>
      <c r="O61" s="985"/>
      <c r="P61" s="985"/>
      <c r="Q61" s="1548"/>
      <c r="R61" s="972"/>
      <c r="S61" s="973"/>
      <c r="T61" s="1543"/>
      <c r="U61" s="1337"/>
      <c r="V61" s="72">
        <f>IF(AND(Q61="ja",R61=""),1,0)</f>
        <v>0</v>
      </c>
      <c r="Y61" s="340"/>
      <c r="Z61" s="77"/>
      <c r="AA61" s="78"/>
      <c r="AB61" s="194"/>
    </row>
    <row r="62" spans="1:37" ht="14.55" thickBot="1" x14ac:dyDescent="0.3">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194"/>
    </row>
    <row r="63" spans="1:37" ht="14.55" thickBot="1" x14ac:dyDescent="0.3">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194"/>
    </row>
    <row r="64" spans="1:37" ht="14.55" thickBot="1" x14ac:dyDescent="0.3">
      <c r="A64" s="1516"/>
      <c r="B64" s="1490"/>
      <c r="C64" s="1491"/>
      <c r="D64" s="1491"/>
      <c r="E64" s="1491"/>
      <c r="F64" s="1491"/>
      <c r="G64" s="1492"/>
      <c r="H64" s="1585"/>
      <c r="I64" s="1017"/>
      <c r="J64" s="1029"/>
      <c r="K64" s="1030"/>
      <c r="L64" s="984"/>
      <c r="M64" s="985"/>
      <c r="N64" s="985"/>
      <c r="O64" s="985"/>
      <c r="P64" s="985"/>
      <c r="Q64" s="1548"/>
      <c r="R64" s="972"/>
      <c r="S64" s="973"/>
      <c r="T64" s="1543"/>
      <c r="U64" s="1337"/>
      <c r="V64" s="72">
        <f>IF(AND(Q64="ja",R64=""),1,0)</f>
        <v>0</v>
      </c>
      <c r="Y64" s="340"/>
      <c r="Z64" s="77"/>
      <c r="AA64" s="78"/>
      <c r="AB64" s="194"/>
    </row>
    <row r="65" spans="1:28" ht="14.55" thickBot="1" x14ac:dyDescent="0.3">
      <c r="A65" s="1516"/>
      <c r="B65" s="1487" t="s">
        <v>386</v>
      </c>
      <c r="C65" s="1488"/>
      <c r="D65" s="1488"/>
      <c r="E65" s="1488"/>
      <c r="F65" s="1488"/>
      <c r="G65" s="1489"/>
      <c r="H65" s="981" t="s">
        <v>99</v>
      </c>
      <c r="I65" s="1017"/>
      <c r="J65" s="1029"/>
      <c r="K65" s="1030"/>
      <c r="L65" s="984"/>
      <c r="M65" s="985"/>
      <c r="N65" s="985"/>
      <c r="O65" s="985"/>
      <c r="P65" s="985"/>
      <c r="Q65" s="1548"/>
      <c r="R65" s="972"/>
      <c r="S65" s="973"/>
      <c r="T65" s="1543"/>
      <c r="U65" s="1337"/>
      <c r="V65" s="339"/>
      <c r="Y65" s="74">
        <v>0.01</v>
      </c>
      <c r="Z65" s="77">
        <f>IF(H65="ja",Y65,0)</f>
        <v>0.01</v>
      </c>
      <c r="AA65" s="78"/>
      <c r="AB65" s="194"/>
    </row>
    <row r="66" spans="1:28" ht="14.55" thickBot="1" x14ac:dyDescent="0.3">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194"/>
    </row>
    <row r="67" spans="1:28" ht="14.55" thickBot="1" x14ac:dyDescent="0.3">
      <c r="A67" s="1516"/>
      <c r="B67" s="1487" t="s">
        <v>387</v>
      </c>
      <c r="C67" s="1488"/>
      <c r="D67" s="1488"/>
      <c r="E67" s="1488"/>
      <c r="F67" s="1488"/>
      <c r="G67" s="1489"/>
      <c r="H67" s="981" t="s">
        <v>99</v>
      </c>
      <c r="I67" s="1017"/>
      <c r="J67" s="1029"/>
      <c r="K67" s="1030"/>
      <c r="L67" s="984"/>
      <c r="M67" s="985"/>
      <c r="N67" s="985"/>
      <c r="O67" s="985"/>
      <c r="P67" s="985"/>
      <c r="Q67" s="1548"/>
      <c r="R67" s="972"/>
      <c r="S67" s="973"/>
      <c r="T67" s="1543"/>
      <c r="U67" s="1337"/>
      <c r="V67" s="72">
        <f>IF(AND(Q67="ja",R67=""),1,0)</f>
        <v>0</v>
      </c>
      <c r="Y67" s="74">
        <v>8.0000000000000002E-3</v>
      </c>
      <c r="Z67" s="77">
        <f>IF(H67="ja",Y67,0)</f>
        <v>8.0000000000000002E-3</v>
      </c>
      <c r="AA67" s="78"/>
      <c r="AB67" s="194"/>
    </row>
    <row r="68" spans="1:28" ht="14.55" thickBot="1" x14ac:dyDescent="0.3">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194"/>
    </row>
    <row r="69" spans="1:28" ht="14.55" thickBot="1" x14ac:dyDescent="0.3">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194"/>
    </row>
    <row r="70" spans="1:28" ht="14.55" thickBot="1" x14ac:dyDescent="0.3">
      <c r="A70" s="1516"/>
      <c r="B70" s="1490"/>
      <c r="C70" s="1491"/>
      <c r="D70" s="1491"/>
      <c r="E70" s="1491"/>
      <c r="F70" s="1491"/>
      <c r="G70" s="1492"/>
      <c r="H70" s="983"/>
      <c r="I70" s="1017"/>
      <c r="J70" s="1029"/>
      <c r="K70" s="1030"/>
      <c r="L70" s="984"/>
      <c r="M70" s="985"/>
      <c r="N70" s="985"/>
      <c r="O70" s="985"/>
      <c r="P70" s="985"/>
      <c r="Q70" s="1548"/>
      <c r="R70" s="972"/>
      <c r="S70" s="973"/>
      <c r="T70" s="1543"/>
      <c r="U70" s="1337"/>
      <c r="V70" s="72">
        <f>IF(AND(Q70="ja",R70=""),1,0)</f>
        <v>0</v>
      </c>
      <c r="Y70" s="74"/>
      <c r="Z70" s="77"/>
      <c r="AA70" s="78"/>
      <c r="AB70" s="194"/>
    </row>
    <row r="71" spans="1:28" ht="14.55" thickBot="1" x14ac:dyDescent="0.3">
      <c r="A71" s="1516"/>
      <c r="B71" s="1487" t="s">
        <v>388</v>
      </c>
      <c r="C71" s="1488"/>
      <c r="D71" s="1488"/>
      <c r="E71" s="1488"/>
      <c r="F71" s="1488"/>
      <c r="G71" s="1489"/>
      <c r="H71" s="981" t="s">
        <v>99</v>
      </c>
      <c r="I71" s="1017"/>
      <c r="J71" s="1029"/>
      <c r="K71" s="1030"/>
      <c r="L71" s="984"/>
      <c r="M71" s="985"/>
      <c r="N71" s="985"/>
      <c r="O71" s="985"/>
      <c r="P71" s="985"/>
      <c r="Q71" s="1548"/>
      <c r="R71" s="972"/>
      <c r="S71" s="973"/>
      <c r="T71" s="1543"/>
      <c r="U71" s="1337"/>
      <c r="V71" s="339"/>
      <c r="Y71" s="74">
        <v>2E-3</v>
      </c>
      <c r="Z71" s="77">
        <f>IF(H71="ja",Y71,0)</f>
        <v>2E-3</v>
      </c>
      <c r="AA71" s="78"/>
      <c r="AB71" s="194"/>
    </row>
    <row r="72" spans="1:28" ht="14.55" thickBot="1" x14ac:dyDescent="0.3">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194"/>
    </row>
    <row r="73" spans="1:28" ht="14.55" thickBot="1" x14ac:dyDescent="0.3">
      <c r="A73" s="1516"/>
      <c r="B73" s="1490"/>
      <c r="C73" s="1491"/>
      <c r="D73" s="1491"/>
      <c r="E73" s="1491"/>
      <c r="F73" s="1491"/>
      <c r="G73" s="1492"/>
      <c r="H73" s="983"/>
      <c r="I73" s="1017"/>
      <c r="J73" s="1029"/>
      <c r="K73" s="1030"/>
      <c r="L73" s="984"/>
      <c r="M73" s="985"/>
      <c r="N73" s="985"/>
      <c r="O73" s="985"/>
      <c r="P73" s="985"/>
      <c r="Q73" s="1548"/>
      <c r="R73" s="972"/>
      <c r="S73" s="973"/>
      <c r="T73" s="1543"/>
      <c r="U73" s="1337"/>
      <c r="V73" s="72">
        <f>IF(AND(Q73="ja",R73=""),1,0)</f>
        <v>0</v>
      </c>
      <c r="Y73" s="74"/>
      <c r="Z73" s="77"/>
      <c r="AA73" s="78"/>
      <c r="AB73" s="194"/>
    </row>
    <row r="74" spans="1:28" ht="14.55" thickBot="1" x14ac:dyDescent="0.3">
      <c r="A74" s="1516"/>
      <c r="B74" s="1487" t="s">
        <v>389</v>
      </c>
      <c r="C74" s="1488"/>
      <c r="D74" s="1488"/>
      <c r="E74" s="1488"/>
      <c r="F74" s="1488"/>
      <c r="G74" s="1489"/>
      <c r="H74" s="981" t="s">
        <v>99</v>
      </c>
      <c r="I74" s="1017"/>
      <c r="J74" s="1029"/>
      <c r="K74" s="1030"/>
      <c r="L74" s="984"/>
      <c r="M74" s="985"/>
      <c r="N74" s="985"/>
      <c r="O74" s="985"/>
      <c r="P74" s="985"/>
      <c r="Q74" s="1548"/>
      <c r="R74" s="972"/>
      <c r="S74" s="973"/>
      <c r="T74" s="1543"/>
      <c r="U74" s="1337"/>
      <c r="Y74" s="74">
        <v>7.0000000000000001E-3</v>
      </c>
      <c r="Z74" s="77">
        <f>IF(H74="ja",Y74,0)</f>
        <v>7.0000000000000001E-3</v>
      </c>
      <c r="AA74" s="78"/>
      <c r="AB74" s="194"/>
    </row>
    <row r="75" spans="1:28" ht="14.55" thickBot="1" x14ac:dyDescent="0.3">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194"/>
    </row>
    <row r="76" spans="1:28" ht="14.55" thickBot="1" x14ac:dyDescent="0.3">
      <c r="A76" s="1516"/>
      <c r="B76" s="1487" t="s">
        <v>171</v>
      </c>
      <c r="C76" s="1488"/>
      <c r="D76" s="1488"/>
      <c r="E76" s="1488"/>
      <c r="F76" s="1488"/>
      <c r="G76" s="1489"/>
      <c r="H76" s="981" t="s">
        <v>99</v>
      </c>
      <c r="I76" s="1017"/>
      <c r="J76" s="1029"/>
      <c r="K76" s="1030"/>
      <c r="L76" s="1539"/>
      <c r="M76" s="1540"/>
      <c r="N76" s="1540"/>
      <c r="O76" s="1540"/>
      <c r="P76" s="1540"/>
      <c r="Q76" s="1548"/>
      <c r="R76" s="972"/>
      <c r="S76" s="973"/>
      <c r="T76" s="1543"/>
      <c r="U76" s="1337"/>
      <c r="V76" s="72">
        <f>IF(AND(Q76="ja",R76=""),1,0)</f>
        <v>0</v>
      </c>
      <c r="Y76" s="74">
        <v>2.5000000000000001E-3</v>
      </c>
      <c r="Z76" s="77">
        <f>IF(H76="ja",Y76,0)</f>
        <v>2.5000000000000001E-3</v>
      </c>
      <c r="AA76" s="78"/>
      <c r="AB76" s="194"/>
    </row>
    <row r="77" spans="1:28" ht="14.55" thickBot="1" x14ac:dyDescent="0.3">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194"/>
    </row>
    <row r="78" spans="1:28" ht="15.95" customHeight="1" thickBot="1" x14ac:dyDescent="0.3">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552"/>
      <c r="S78" s="1553"/>
      <c r="T78" s="1567"/>
      <c r="U78" s="1610"/>
      <c r="Y78" s="74"/>
      <c r="Z78" s="152">
        <f>SUM(Z55:Z76)</f>
        <v>0.09</v>
      </c>
      <c r="AA78" s="77"/>
      <c r="AB78" s="194"/>
    </row>
    <row r="79" spans="1:28" ht="14.55" thickBot="1" x14ac:dyDescent="0.3">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194"/>
    </row>
    <row r="80" spans="1:28" ht="14.55" thickBot="1" x14ac:dyDescent="0.3">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194"/>
    </row>
    <row r="81" spans="1:28"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194"/>
    </row>
    <row r="82" spans="1:28" ht="14.55" thickBot="1" x14ac:dyDescent="0.3">
      <c r="A82" s="1516"/>
      <c r="B82" s="1497" t="s">
        <v>391</v>
      </c>
      <c r="C82" s="1498"/>
      <c r="D82" s="1498"/>
      <c r="E82" s="1498"/>
      <c r="F82" s="1498"/>
      <c r="G82" s="1499"/>
      <c r="H82" s="1194" t="s">
        <v>99</v>
      </c>
      <c r="I82" s="1016">
        <f>Z115</f>
        <v>0.17</v>
      </c>
      <c r="J82" s="1027">
        <f>I78*I82</f>
        <v>0</v>
      </c>
      <c r="K82" s="1028"/>
      <c r="L82" s="987" t="s">
        <v>392</v>
      </c>
      <c r="M82" s="988"/>
      <c r="N82" s="988"/>
      <c r="O82" s="988"/>
      <c r="P82" s="988"/>
      <c r="Q82" s="1548" t="s">
        <v>99</v>
      </c>
      <c r="R82" s="972"/>
      <c r="S82" s="973"/>
      <c r="T82" s="1257" t="str">
        <f>IFERROR(IF((VLOOKUP(U82,Überblick!$M$125:$N$133,2))="ja","ja","nein"),"")</f>
        <v/>
      </c>
      <c r="U82" s="1337"/>
      <c r="V82" s="72">
        <f>IF(AND(Q82="ja",R82=""),1,0)</f>
        <v>1</v>
      </c>
      <c r="W82" s="418"/>
      <c r="X82" s="72" t="s">
        <v>966</v>
      </c>
      <c r="Y82" s="74">
        <v>5.5E-2</v>
      </c>
      <c r="Z82" s="77">
        <f>IF(H82="ja",Y82,0)</f>
        <v>5.5E-2</v>
      </c>
      <c r="AA82" s="78"/>
      <c r="AB82" s="194"/>
    </row>
    <row r="83" spans="1:28" ht="14.55" thickBot="1" x14ac:dyDescent="0.3">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194"/>
    </row>
    <row r="84" spans="1:28" ht="14.55" thickBot="1" x14ac:dyDescent="0.3">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194"/>
    </row>
    <row r="85" spans="1:28" ht="14.55" thickBot="1" x14ac:dyDescent="0.3">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194"/>
    </row>
    <row r="86" spans="1:28" ht="14.55" thickBot="1" x14ac:dyDescent="0.3">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194"/>
    </row>
    <row r="87" spans="1:28" ht="14.55" thickBot="1" x14ac:dyDescent="0.3">
      <c r="A87" s="1516"/>
      <c r="B87" s="1103" t="s">
        <v>394</v>
      </c>
      <c r="C87" s="1104"/>
      <c r="D87" s="1104"/>
      <c r="E87" s="1104"/>
      <c r="F87" s="1104"/>
      <c r="G87" s="1105"/>
      <c r="H87" s="314" t="s">
        <v>99</v>
      </c>
      <c r="I87" s="1017"/>
      <c r="J87" s="1029"/>
      <c r="K87" s="1030"/>
      <c r="L87" s="984"/>
      <c r="M87" s="985"/>
      <c r="N87" s="985"/>
      <c r="O87" s="985"/>
      <c r="P87" s="985"/>
      <c r="Q87" s="1548"/>
      <c r="R87" s="972"/>
      <c r="S87" s="973"/>
      <c r="T87" s="1258"/>
      <c r="U87" s="1337"/>
      <c r="Y87" s="74">
        <v>2.5000000000000001E-3</v>
      </c>
      <c r="Z87" s="77">
        <f>IF(H87="ja",Y87,0)</f>
        <v>2.5000000000000001E-3</v>
      </c>
      <c r="AA87" s="78"/>
      <c r="AB87" s="194"/>
    </row>
    <row r="88" spans="1:28" ht="14.55" thickBot="1" x14ac:dyDescent="0.3">
      <c r="A88" s="1516"/>
      <c r="B88" s="1487" t="s">
        <v>395</v>
      </c>
      <c r="C88" s="1488"/>
      <c r="D88" s="1488"/>
      <c r="E88" s="1488"/>
      <c r="F88" s="1488"/>
      <c r="G88" s="1489"/>
      <c r="H88" s="981" t="s">
        <v>99</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9.9500000000000005E-2</v>
      </c>
      <c r="AA88" s="78"/>
      <c r="AB88" s="194"/>
    </row>
    <row r="89" spans="1:28" ht="14.55" thickBot="1" x14ac:dyDescent="0.3">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194"/>
    </row>
    <row r="90" spans="1:28" ht="14.55" thickBot="1" x14ac:dyDescent="0.3">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194"/>
    </row>
    <row r="91" spans="1:28" ht="14.55" thickBot="1" x14ac:dyDescent="0.3">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194"/>
    </row>
    <row r="92" spans="1:28" ht="14.55" thickBot="1" x14ac:dyDescent="0.3">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194"/>
    </row>
    <row r="93" spans="1:28" ht="14.55" thickBot="1" x14ac:dyDescent="0.3">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194"/>
    </row>
    <row r="94" spans="1:28" ht="14.55" thickBot="1" x14ac:dyDescent="0.3">
      <c r="A94" s="1516"/>
      <c r="B94" s="1493"/>
      <c r="C94" s="1317"/>
      <c r="D94" s="1317"/>
      <c r="E94" s="1317"/>
      <c r="F94" s="1317"/>
      <c r="G94" s="1494"/>
      <c r="H94" s="982"/>
      <c r="I94" s="1017"/>
      <c r="J94" s="1029"/>
      <c r="K94" s="1030"/>
      <c r="L94" s="984" t="s">
        <v>192</v>
      </c>
      <c r="M94" s="985"/>
      <c r="N94" s="985"/>
      <c r="O94" s="985"/>
      <c r="P94" s="985"/>
      <c r="Q94" s="1548" t="s">
        <v>99</v>
      </c>
      <c r="R94" s="972"/>
      <c r="S94" s="973"/>
      <c r="T94" s="1258"/>
      <c r="U94" s="1337"/>
      <c r="V94" s="72">
        <f>IF(AND(Q94="ja",R94=""),1,0)</f>
        <v>1</v>
      </c>
      <c r="Y94" s="74"/>
      <c r="Z94" s="77"/>
      <c r="AA94" s="78"/>
      <c r="AB94" s="194"/>
    </row>
    <row r="95" spans="1:28" ht="14.55" thickBot="1" x14ac:dyDescent="0.3">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194"/>
    </row>
    <row r="96" spans="1:28" ht="14.55" thickBot="1" x14ac:dyDescent="0.3">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194"/>
    </row>
    <row r="97" spans="1:28" ht="14.55" thickBot="1" x14ac:dyDescent="0.3">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194"/>
    </row>
    <row r="98" spans="1:28" ht="14.55" thickBot="1" x14ac:dyDescent="0.3">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194"/>
    </row>
    <row r="99" spans="1:28" ht="14.55" thickBot="1" x14ac:dyDescent="0.3">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194"/>
    </row>
    <row r="100" spans="1:28" ht="14.55" thickBot="1" x14ac:dyDescent="0.3">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194"/>
    </row>
    <row r="101" spans="1:28" ht="14.55" thickBot="1" x14ac:dyDescent="0.3">
      <c r="A101" s="1516"/>
      <c r="B101" s="1487" t="s">
        <v>398</v>
      </c>
      <c r="C101" s="1488"/>
      <c r="D101" s="1488"/>
      <c r="E101" s="1488"/>
      <c r="F101" s="1488"/>
      <c r="G101" s="1489"/>
      <c r="H101" s="981" t="s">
        <v>99</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2.5000000000000001E-3</v>
      </c>
      <c r="AA101" s="78"/>
      <c r="AB101" s="194"/>
    </row>
    <row r="102" spans="1:28" ht="14.55" thickBot="1" x14ac:dyDescent="0.3">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194"/>
    </row>
    <row r="103" spans="1:28" ht="14.55" thickBot="1" x14ac:dyDescent="0.3">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194"/>
    </row>
    <row r="104" spans="1:28" ht="14.55" thickBot="1" x14ac:dyDescent="0.3">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194"/>
    </row>
    <row r="105" spans="1:28" ht="14.55" thickBot="1" x14ac:dyDescent="0.3">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194"/>
    </row>
    <row r="106" spans="1:28" ht="14.55" thickBot="1" x14ac:dyDescent="0.3">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194"/>
    </row>
    <row r="107" spans="1:28" ht="14.55" thickBot="1" x14ac:dyDescent="0.3">
      <c r="A107" s="1516"/>
      <c r="B107" s="1487" t="s">
        <v>399</v>
      </c>
      <c r="C107" s="1488"/>
      <c r="D107" s="1488"/>
      <c r="E107" s="1488"/>
      <c r="F107" s="1488"/>
      <c r="G107" s="1489"/>
      <c r="H107" s="981" t="s">
        <v>99</v>
      </c>
      <c r="I107" s="1017"/>
      <c r="J107" s="1029"/>
      <c r="K107" s="1030"/>
      <c r="L107" s="984"/>
      <c r="M107" s="985"/>
      <c r="N107" s="985"/>
      <c r="O107" s="985"/>
      <c r="P107" s="985"/>
      <c r="Q107" s="1548" t="s">
        <v>100</v>
      </c>
      <c r="R107" s="972"/>
      <c r="S107" s="973"/>
      <c r="T107" s="1258"/>
      <c r="U107" s="1337"/>
      <c r="V107" s="72">
        <f>IF(AND(Q107="ja",R107=""),1,0)</f>
        <v>0</v>
      </c>
      <c r="Y107" s="74">
        <v>1.5E-3</v>
      </c>
      <c r="Z107" s="77">
        <f>IF(H107="ja",Y107,0)</f>
        <v>1.5E-3</v>
      </c>
      <c r="AA107" s="78"/>
      <c r="AB107" s="194"/>
    </row>
    <row r="108" spans="1:28" ht="14.55" thickBot="1" x14ac:dyDescent="0.3">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194"/>
    </row>
    <row r="109" spans="1:28" ht="14.55" thickBot="1" x14ac:dyDescent="0.3">
      <c r="A109" s="1516"/>
      <c r="B109" s="1487" t="s">
        <v>400</v>
      </c>
      <c r="C109" s="1488"/>
      <c r="D109" s="1488"/>
      <c r="E109" s="1488"/>
      <c r="F109" s="1488"/>
      <c r="G109" s="1489"/>
      <c r="H109" s="981" t="s">
        <v>99</v>
      </c>
      <c r="I109" s="1017"/>
      <c r="J109" s="1029"/>
      <c r="K109" s="1030"/>
      <c r="L109" s="984"/>
      <c r="M109" s="985"/>
      <c r="N109" s="985"/>
      <c r="O109" s="985"/>
      <c r="P109" s="985"/>
      <c r="Q109" s="1548"/>
      <c r="R109" s="972"/>
      <c r="S109" s="973"/>
      <c r="T109" s="1258"/>
      <c r="U109" s="1337"/>
      <c r="V109" s="339"/>
      <c r="Y109" s="74">
        <v>6.4999999999999997E-3</v>
      </c>
      <c r="Z109" s="77">
        <f>IF(H109="ja",Y109,0)</f>
        <v>6.4999999999999997E-3</v>
      </c>
      <c r="AA109" s="78"/>
      <c r="AB109" s="194"/>
    </row>
    <row r="110" spans="1:28" ht="14.55" thickBot="1" x14ac:dyDescent="0.3">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194"/>
    </row>
    <row r="111" spans="1:28" ht="14.55" thickBot="1" x14ac:dyDescent="0.3">
      <c r="A111" s="1516"/>
      <c r="B111" s="1487" t="s">
        <v>401</v>
      </c>
      <c r="C111" s="1488"/>
      <c r="D111" s="1488"/>
      <c r="E111" s="1488"/>
      <c r="F111" s="1488"/>
      <c r="G111" s="1489"/>
      <c r="H111" s="981" t="s">
        <v>99</v>
      </c>
      <c r="I111" s="1017"/>
      <c r="J111" s="1029"/>
      <c r="K111" s="1030"/>
      <c r="L111" s="984"/>
      <c r="M111" s="985"/>
      <c r="N111" s="985"/>
      <c r="O111" s="985"/>
      <c r="P111" s="985"/>
      <c r="Q111" s="1548"/>
      <c r="R111" s="972"/>
      <c r="S111" s="973"/>
      <c r="T111" s="1258"/>
      <c r="U111" s="1337"/>
      <c r="Y111" s="74">
        <v>1E-3</v>
      </c>
      <c r="Z111" s="77">
        <f>IF(H111="ja",Y111,0)</f>
        <v>1E-3</v>
      </c>
      <c r="AA111" s="78"/>
      <c r="AB111" s="194"/>
    </row>
    <row r="112" spans="1:28" ht="14.55" thickBot="1" x14ac:dyDescent="0.3">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194"/>
    </row>
    <row r="113" spans="1:28" ht="14.55" thickBot="1" x14ac:dyDescent="0.3">
      <c r="A113" s="1516"/>
      <c r="B113" s="1487" t="s">
        <v>171</v>
      </c>
      <c r="C113" s="1488"/>
      <c r="D113" s="1488"/>
      <c r="E113" s="1488"/>
      <c r="F113" s="1488"/>
      <c r="G113" s="1489"/>
      <c r="H113" s="981" t="s">
        <v>99</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1.5E-3</v>
      </c>
      <c r="AA113" s="78"/>
      <c r="AB113" s="194"/>
    </row>
    <row r="114" spans="1:28" ht="14.55" thickBot="1" x14ac:dyDescent="0.3">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194"/>
    </row>
    <row r="115" spans="1:28"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612"/>
      <c r="S115" s="1613"/>
      <c r="T115" s="1567"/>
      <c r="U115" s="1567"/>
      <c r="Y115" s="74"/>
      <c r="Z115" s="152">
        <f>SUM(Z82:Z113)</f>
        <v>0.17</v>
      </c>
      <c r="AA115" s="78"/>
      <c r="AB115" s="194"/>
    </row>
    <row r="116" spans="1:28" x14ac:dyDescent="0.25">
      <c r="A116" s="1516"/>
      <c r="B116" s="1038"/>
      <c r="C116" s="1039"/>
      <c r="D116" s="1039"/>
      <c r="E116" s="1039"/>
      <c r="F116" s="1039"/>
      <c r="G116" s="1039"/>
      <c r="H116" s="1162"/>
      <c r="I116" s="1038"/>
      <c r="J116" s="1039"/>
      <c r="K116" s="1040"/>
      <c r="L116" s="1563"/>
      <c r="M116" s="1564"/>
      <c r="N116" s="1564"/>
      <c r="O116" s="1564"/>
      <c r="P116" s="1581"/>
      <c r="Q116" s="1550"/>
      <c r="R116" s="1614"/>
      <c r="S116" s="1615"/>
      <c r="T116" s="1568"/>
      <c r="U116" s="1568"/>
      <c r="AA116" s="78"/>
      <c r="AB116" s="194"/>
    </row>
    <row r="117" spans="1:28"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616"/>
      <c r="S117" s="1617"/>
      <c r="T117" s="1568"/>
      <c r="U117" s="1569"/>
      <c r="AA117" s="78"/>
      <c r="AB117" s="194"/>
    </row>
    <row r="118" spans="1:28"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514"/>
      <c r="S118" s="1515"/>
      <c r="T118" s="334"/>
      <c r="U118" s="334"/>
      <c r="AA118" s="78"/>
      <c r="AB118" s="194"/>
    </row>
    <row r="119" spans="1:28" ht="14.55" thickBot="1" x14ac:dyDescent="0.3">
      <c r="A119" s="1516"/>
      <c r="B119" s="1497" t="s">
        <v>402</v>
      </c>
      <c r="C119" s="1498"/>
      <c r="D119" s="1498"/>
      <c r="E119" s="1498"/>
      <c r="F119" s="1498"/>
      <c r="G119" s="1499"/>
      <c r="H119" s="1194" t="s">
        <v>99</v>
      </c>
      <c r="I119" s="1016">
        <f>Z127</f>
        <v>0.02</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1.7500000000000002E-2</v>
      </c>
      <c r="AA119" s="78"/>
      <c r="AB119" s="194"/>
    </row>
    <row r="120" spans="1:28" ht="14.55" thickBot="1" x14ac:dyDescent="0.3">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194"/>
    </row>
    <row r="121" spans="1:28" ht="14.55" thickBot="1" x14ac:dyDescent="0.3">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194"/>
    </row>
    <row r="122" spans="1:28" ht="14.55" thickBot="1" x14ac:dyDescent="0.3">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194"/>
    </row>
    <row r="123" spans="1:28" ht="14.55" thickBot="1" x14ac:dyDescent="0.3">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194"/>
    </row>
    <row r="124" spans="1:28" ht="14.55" thickBot="1" x14ac:dyDescent="0.3">
      <c r="A124" s="1516"/>
      <c r="B124" s="1487" t="s">
        <v>403</v>
      </c>
      <c r="C124" s="1488"/>
      <c r="D124" s="1488"/>
      <c r="E124" s="1488"/>
      <c r="F124" s="1488"/>
      <c r="G124" s="1489"/>
      <c r="H124" s="981" t="s">
        <v>99</v>
      </c>
      <c r="I124" s="1017"/>
      <c r="J124" s="1029"/>
      <c r="K124" s="1030"/>
      <c r="L124" s="984"/>
      <c r="M124" s="985"/>
      <c r="N124" s="985"/>
      <c r="O124" s="985"/>
      <c r="P124" s="985"/>
      <c r="Q124" s="1548"/>
      <c r="R124" s="972"/>
      <c r="S124" s="973"/>
      <c r="T124" s="1258"/>
      <c r="U124" s="1337"/>
      <c r="Y124" s="74">
        <v>2.5000000000000001E-3</v>
      </c>
      <c r="Z124" s="77">
        <f>IF(H124="ja",Y124,0)</f>
        <v>2.5000000000000001E-3</v>
      </c>
      <c r="AA124" s="77"/>
      <c r="AB124" s="194"/>
    </row>
    <row r="125" spans="1:28" ht="14.55" thickBot="1" x14ac:dyDescent="0.3">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194"/>
    </row>
    <row r="126" spans="1:28" ht="14.55" thickBot="1" x14ac:dyDescent="0.3">
      <c r="A126" s="1516"/>
      <c r="B126" s="1490"/>
      <c r="C126" s="1491"/>
      <c r="D126" s="1491"/>
      <c r="E126" s="1491"/>
      <c r="F126" s="1491"/>
      <c r="G126" s="1492"/>
      <c r="H126" s="983"/>
      <c r="I126" s="1018"/>
      <c r="J126" s="1031"/>
      <c r="K126" s="1032"/>
      <c r="L126" s="1559"/>
      <c r="M126" s="1560"/>
      <c r="N126" s="1560"/>
      <c r="O126" s="1560"/>
      <c r="P126" s="1560"/>
      <c r="Q126" s="1548"/>
      <c r="R126" s="972"/>
      <c r="S126" s="973"/>
      <c r="T126" s="1611"/>
      <c r="U126" s="1337"/>
      <c r="V126" s="339"/>
      <c r="Y126" s="74"/>
      <c r="Z126" s="77"/>
      <c r="AA126" s="78"/>
      <c r="AB126" s="194"/>
    </row>
    <row r="127" spans="1:28"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514"/>
      <c r="S127" s="1515"/>
      <c r="U127" s="334"/>
      <c r="V127" s="339"/>
      <c r="Y127" s="74"/>
      <c r="Z127" s="152">
        <f>SUM(Z119:Z124)</f>
        <v>0.02</v>
      </c>
      <c r="AA127" s="78"/>
      <c r="AB127" s="194"/>
    </row>
    <row r="128" spans="1:28" x14ac:dyDescent="0.25">
      <c r="A128" s="1523" t="s">
        <v>206</v>
      </c>
      <c r="B128" s="1497" t="s">
        <v>404</v>
      </c>
      <c r="C128" s="1498"/>
      <c r="D128" s="1498"/>
      <c r="E128" s="1498"/>
      <c r="F128" s="1498"/>
      <c r="G128" s="1499"/>
      <c r="H128" s="1194" t="s">
        <v>99</v>
      </c>
      <c r="I128" s="1016">
        <f>Z128</f>
        <v>4.4999999999999998E-2</v>
      </c>
      <c r="J128" s="1526">
        <f>I115*I128</f>
        <v>0</v>
      </c>
      <c r="K128" s="1527"/>
      <c r="L128" s="984" t="s">
        <v>405</v>
      </c>
      <c r="M128" s="985"/>
      <c r="N128" s="985"/>
      <c r="O128" s="985"/>
      <c r="P128" s="985"/>
      <c r="Q128" s="978" t="s">
        <v>99</v>
      </c>
      <c r="R128" s="972"/>
      <c r="S128" s="973"/>
      <c r="T128" s="1622" t="str">
        <f>IFERROR(IF((VLOOKUP(U128,Überblick!$M$125:$N$133,2))="ja","ja","nein"),"")</f>
        <v/>
      </c>
      <c r="U128" s="1618"/>
      <c r="V128" s="72">
        <f>IF(AND(Q128="ja",R128=""),1,0)</f>
        <v>1</v>
      </c>
      <c r="Y128" s="74">
        <v>4.4999999999999998E-2</v>
      </c>
      <c r="Z128" s="77">
        <f>IF(H128="ja",Y128,0)</f>
        <v>4.4999999999999998E-2</v>
      </c>
      <c r="AA128" s="78"/>
      <c r="AB128" s="194"/>
    </row>
    <row r="129" spans="1:28" x14ac:dyDescent="0.25">
      <c r="A129" s="1523"/>
      <c r="B129" s="1493"/>
      <c r="C129" s="1317"/>
      <c r="D129" s="1317"/>
      <c r="E129" s="1317"/>
      <c r="F129" s="1317"/>
      <c r="G129" s="1494"/>
      <c r="H129" s="982"/>
      <c r="I129" s="1017"/>
      <c r="J129" s="1528"/>
      <c r="K129" s="1529"/>
      <c r="L129" s="984"/>
      <c r="M129" s="985"/>
      <c r="N129" s="985"/>
      <c r="O129" s="985"/>
      <c r="P129" s="985"/>
      <c r="Q129" s="978"/>
      <c r="R129" s="972"/>
      <c r="S129" s="973"/>
      <c r="T129" s="1621"/>
      <c r="U129" s="1372"/>
      <c r="Y129" s="74"/>
      <c r="Z129" s="77"/>
      <c r="AA129" s="78"/>
      <c r="AB129" s="194"/>
    </row>
    <row r="130" spans="1:28" ht="20.25" customHeight="1" x14ac:dyDescent="0.25">
      <c r="A130" s="1523"/>
      <c r="B130" s="1493"/>
      <c r="C130" s="1317"/>
      <c r="D130" s="1317"/>
      <c r="E130" s="1317"/>
      <c r="F130" s="1317"/>
      <c r="G130" s="1494"/>
      <c r="H130" s="982"/>
      <c r="I130" s="1017"/>
      <c r="J130" s="1528"/>
      <c r="K130" s="1529"/>
      <c r="L130" s="984"/>
      <c r="M130" s="985"/>
      <c r="N130" s="985"/>
      <c r="O130" s="985"/>
      <c r="P130" s="985"/>
      <c r="Q130" s="978"/>
      <c r="R130" s="972"/>
      <c r="S130" s="973"/>
      <c r="T130" s="1621"/>
      <c r="U130" s="1372"/>
      <c r="Y130" s="74"/>
      <c r="Z130" s="77"/>
      <c r="AA130" s="78"/>
      <c r="AB130" s="194"/>
    </row>
    <row r="131" spans="1:28" ht="19.600000000000001" customHeight="1" x14ac:dyDescent="0.25">
      <c r="A131" s="1523"/>
      <c r="B131" s="1493"/>
      <c r="C131" s="1317"/>
      <c r="D131" s="1317"/>
      <c r="E131" s="1317"/>
      <c r="F131" s="1317"/>
      <c r="G131" s="1494"/>
      <c r="H131" s="982"/>
      <c r="I131" s="1017"/>
      <c r="J131" s="1528"/>
      <c r="K131" s="1529"/>
      <c r="L131" s="984" t="s">
        <v>406</v>
      </c>
      <c r="M131" s="985"/>
      <c r="N131" s="985"/>
      <c r="O131" s="985"/>
      <c r="P131" s="985"/>
      <c r="Q131" s="978" t="s">
        <v>100</v>
      </c>
      <c r="R131" s="972"/>
      <c r="S131" s="973"/>
      <c r="T131" s="1621"/>
      <c r="U131" s="1372"/>
      <c r="V131" s="72">
        <f>IF(AND(Q131="ja",R131=""),1,0)</f>
        <v>0</v>
      </c>
      <c r="Y131" s="74"/>
      <c r="Z131" s="77"/>
      <c r="AA131" s="78"/>
      <c r="AB131" s="194"/>
    </row>
    <row r="132" spans="1:28" x14ac:dyDescent="0.25">
      <c r="A132" s="1523"/>
      <c r="B132" s="1490"/>
      <c r="C132" s="1491"/>
      <c r="D132" s="1491"/>
      <c r="E132" s="1491"/>
      <c r="F132" s="1491"/>
      <c r="G132" s="1492"/>
      <c r="H132" s="983"/>
      <c r="I132" s="1525"/>
      <c r="J132" s="1528"/>
      <c r="K132" s="1529"/>
      <c r="L132" s="984"/>
      <c r="M132" s="985"/>
      <c r="N132" s="985"/>
      <c r="O132" s="985"/>
      <c r="P132" s="985"/>
      <c r="Q132" s="978"/>
      <c r="R132" s="972"/>
      <c r="S132" s="973"/>
      <c r="T132" s="1621"/>
      <c r="U132" s="1372"/>
      <c r="Y132" s="74"/>
      <c r="Z132" s="77"/>
      <c r="AA132" s="78"/>
      <c r="AB132" s="194"/>
    </row>
    <row r="133" spans="1:28" x14ac:dyDescent="0.25">
      <c r="A133" s="1523" t="s">
        <v>208</v>
      </c>
      <c r="B133" s="1487" t="s">
        <v>407</v>
      </c>
      <c r="C133" s="1488"/>
      <c r="D133" s="1488"/>
      <c r="E133" s="1488"/>
      <c r="F133" s="1488"/>
      <c r="G133" s="1489"/>
      <c r="H133" s="981" t="s">
        <v>99</v>
      </c>
      <c r="I133" s="1524">
        <f>Z133</f>
        <v>8.5000000000000006E-2</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8.5000000000000006E-2</v>
      </c>
      <c r="AA133" s="78"/>
      <c r="AB133" s="194"/>
    </row>
    <row r="134" spans="1:28" x14ac:dyDescent="0.25">
      <c r="A134" s="1523"/>
      <c r="B134" s="1493"/>
      <c r="C134" s="1317"/>
      <c r="D134" s="1317"/>
      <c r="E134" s="1317"/>
      <c r="F134" s="1317"/>
      <c r="G134" s="1494"/>
      <c r="H134" s="982"/>
      <c r="I134" s="1017"/>
      <c r="J134" s="1528"/>
      <c r="K134" s="1529"/>
      <c r="L134" s="984"/>
      <c r="M134" s="985"/>
      <c r="N134" s="985"/>
      <c r="O134" s="985"/>
      <c r="P134" s="985"/>
      <c r="Q134" s="978"/>
      <c r="R134" s="972"/>
      <c r="S134" s="973"/>
      <c r="T134" s="1621"/>
      <c r="U134" s="1372"/>
      <c r="AA134" s="78"/>
      <c r="AB134" s="194"/>
    </row>
    <row r="135" spans="1:28" ht="33.799999999999997" customHeight="1" x14ac:dyDescent="0.25">
      <c r="A135" s="1523"/>
      <c r="B135" s="1493"/>
      <c r="C135" s="1317"/>
      <c r="D135" s="1317"/>
      <c r="E135" s="1317"/>
      <c r="F135" s="1317"/>
      <c r="G135" s="1494"/>
      <c r="H135" s="982"/>
      <c r="I135" s="1017"/>
      <c r="J135" s="1528"/>
      <c r="K135" s="1529"/>
      <c r="L135" s="984"/>
      <c r="M135" s="985"/>
      <c r="N135" s="985"/>
      <c r="O135" s="985"/>
      <c r="P135" s="985"/>
      <c r="Q135" s="978"/>
      <c r="R135" s="972"/>
      <c r="S135" s="973"/>
      <c r="T135" s="1621"/>
      <c r="U135" s="1372"/>
      <c r="AA135" s="78"/>
      <c r="AB135" s="194"/>
    </row>
    <row r="136" spans="1:28" x14ac:dyDescent="0.25">
      <c r="A136" s="1523"/>
      <c r="B136" s="1493"/>
      <c r="C136" s="1317"/>
      <c r="D136" s="1317"/>
      <c r="E136" s="1317"/>
      <c r="F136" s="1317"/>
      <c r="G136" s="1494"/>
      <c r="H136" s="982"/>
      <c r="I136" s="1017"/>
      <c r="J136" s="1528"/>
      <c r="K136" s="1529"/>
      <c r="L136" s="2256" t="s">
        <v>977</v>
      </c>
      <c r="M136" s="985"/>
      <c r="N136" s="985"/>
      <c r="O136" s="985"/>
      <c r="P136" s="985"/>
      <c r="Q136" s="978" t="s">
        <v>99</v>
      </c>
      <c r="R136" s="972"/>
      <c r="S136" s="973"/>
      <c r="T136" s="1621"/>
      <c r="U136" s="1372"/>
      <c r="V136" s="72">
        <f>IF(AND(Q136="ja",R136=""),1,0)</f>
        <v>1</v>
      </c>
      <c r="AA136" s="78"/>
      <c r="AB136" s="194"/>
    </row>
    <row r="137" spans="1:28" x14ac:dyDescent="0.25">
      <c r="A137" s="1523"/>
      <c r="B137" s="1493"/>
      <c r="C137" s="1317"/>
      <c r="D137" s="1317"/>
      <c r="E137" s="1317"/>
      <c r="F137" s="1317"/>
      <c r="G137" s="1494"/>
      <c r="H137" s="982"/>
      <c r="I137" s="1017"/>
      <c r="J137" s="1528"/>
      <c r="K137" s="1529"/>
      <c r="L137" s="984"/>
      <c r="M137" s="985"/>
      <c r="N137" s="985"/>
      <c r="O137" s="985"/>
      <c r="P137" s="985"/>
      <c r="Q137" s="978"/>
      <c r="R137" s="972"/>
      <c r="S137" s="973"/>
      <c r="T137" s="1621"/>
      <c r="U137" s="1372"/>
      <c r="Y137" s="74"/>
      <c r="Z137" s="77"/>
      <c r="AA137" s="78"/>
      <c r="AB137" s="194"/>
    </row>
    <row r="138" spans="1:28" x14ac:dyDescent="0.25">
      <c r="A138" s="1523"/>
      <c r="B138" s="1493"/>
      <c r="C138" s="1317"/>
      <c r="D138" s="1317"/>
      <c r="E138" s="1317"/>
      <c r="F138" s="1317"/>
      <c r="G138" s="1494"/>
      <c r="H138" s="982"/>
      <c r="I138" s="1017"/>
      <c r="J138" s="1528"/>
      <c r="K138" s="1529"/>
      <c r="L138" s="984"/>
      <c r="M138" s="985"/>
      <c r="N138" s="985"/>
      <c r="O138" s="985"/>
      <c r="P138" s="985"/>
      <c r="Q138" s="978"/>
      <c r="R138" s="972"/>
      <c r="S138" s="973"/>
      <c r="T138" s="1621"/>
      <c r="U138" s="1372"/>
      <c r="Y138" s="74"/>
      <c r="Z138" s="77"/>
      <c r="AA138" s="78"/>
      <c r="AB138" s="194"/>
    </row>
    <row r="139" spans="1:28" x14ac:dyDescent="0.25">
      <c r="A139" s="1523"/>
      <c r="B139" s="1493"/>
      <c r="C139" s="1317"/>
      <c r="D139" s="1317"/>
      <c r="E139" s="1317"/>
      <c r="F139" s="1317"/>
      <c r="G139" s="1494"/>
      <c r="H139" s="982"/>
      <c r="I139" s="1017"/>
      <c r="J139" s="1528"/>
      <c r="K139" s="1529"/>
      <c r="L139" s="984"/>
      <c r="M139" s="985"/>
      <c r="N139" s="985"/>
      <c r="O139" s="985"/>
      <c r="P139" s="985"/>
      <c r="Q139" s="978" t="s">
        <v>100</v>
      </c>
      <c r="R139" s="972"/>
      <c r="S139" s="973"/>
      <c r="T139" s="1621"/>
      <c r="U139" s="1372"/>
      <c r="V139" s="72">
        <f>IF(AND(Q139="ja",R139=""),1,0)</f>
        <v>0</v>
      </c>
      <c r="Y139" s="74"/>
      <c r="Z139" s="77"/>
      <c r="AA139" s="78"/>
      <c r="AB139" s="194"/>
    </row>
    <row r="140" spans="1:28" x14ac:dyDescent="0.25">
      <c r="A140" s="1523"/>
      <c r="B140" s="1493"/>
      <c r="C140" s="1317"/>
      <c r="D140" s="1317"/>
      <c r="E140" s="1317"/>
      <c r="F140" s="1317"/>
      <c r="G140" s="1494"/>
      <c r="H140" s="982"/>
      <c r="I140" s="1017"/>
      <c r="J140" s="1528"/>
      <c r="K140" s="1529"/>
      <c r="L140" s="984"/>
      <c r="M140" s="985"/>
      <c r="N140" s="985"/>
      <c r="O140" s="985"/>
      <c r="P140" s="985"/>
      <c r="Q140" s="978"/>
      <c r="R140" s="972"/>
      <c r="S140" s="973"/>
      <c r="T140" s="1621"/>
      <c r="U140" s="1372"/>
      <c r="Y140" s="74"/>
      <c r="Z140" s="77"/>
      <c r="AA140" s="78"/>
      <c r="AB140" s="194"/>
    </row>
    <row r="141" spans="1:28" x14ac:dyDescent="0.25">
      <c r="A141" s="1523"/>
      <c r="B141" s="1493"/>
      <c r="C141" s="1317"/>
      <c r="D141" s="1317"/>
      <c r="E141" s="1317"/>
      <c r="F141" s="1317"/>
      <c r="G141" s="1494"/>
      <c r="H141" s="982"/>
      <c r="I141" s="1017"/>
      <c r="J141" s="1528"/>
      <c r="K141" s="1529"/>
      <c r="L141" s="984"/>
      <c r="M141" s="985"/>
      <c r="N141" s="985"/>
      <c r="O141" s="985"/>
      <c r="P141" s="985"/>
      <c r="Q141" s="978"/>
      <c r="R141" s="972"/>
      <c r="S141" s="973"/>
      <c r="T141" s="1621"/>
      <c r="U141" s="1372"/>
      <c r="Y141" s="74"/>
      <c r="Z141" s="77"/>
      <c r="AA141" s="78"/>
      <c r="AB141" s="194"/>
    </row>
    <row r="142" spans="1:28" x14ac:dyDescent="0.25">
      <c r="A142" s="1523"/>
      <c r="B142" s="1490"/>
      <c r="C142" s="1491"/>
      <c r="D142" s="1491"/>
      <c r="E142" s="1491"/>
      <c r="F142" s="1491"/>
      <c r="G142" s="1492"/>
      <c r="H142" s="983"/>
      <c r="I142" s="1525"/>
      <c r="J142" s="1528"/>
      <c r="K142" s="1529"/>
      <c r="L142" s="1532"/>
      <c r="M142" s="1533"/>
      <c r="N142" s="1533"/>
      <c r="O142" s="1533"/>
      <c r="P142" s="1533"/>
      <c r="Q142" s="329" t="s">
        <v>100</v>
      </c>
      <c r="R142" s="972"/>
      <c r="S142" s="973"/>
      <c r="T142" s="1621"/>
      <c r="U142" s="1372"/>
      <c r="V142" s="72">
        <f>IF(AND(Q142="ja",R142=""),1,0)</f>
        <v>0</v>
      </c>
      <c r="Y142" s="74"/>
      <c r="Z142" s="77"/>
      <c r="AA142" s="78"/>
      <c r="AB142" s="194"/>
    </row>
    <row r="143" spans="1:28" x14ac:dyDescent="0.25">
      <c r="A143" s="496" t="s">
        <v>210</v>
      </c>
      <c r="B143" s="1103" t="s">
        <v>409</v>
      </c>
      <c r="C143" s="1104"/>
      <c r="D143" s="1104"/>
      <c r="E143" s="1104"/>
      <c r="F143" s="1104"/>
      <c r="G143" s="1105"/>
      <c r="H143" s="314" t="s">
        <v>99</v>
      </c>
      <c r="I143" s="328">
        <f>Z143</f>
        <v>0.04</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0.04</v>
      </c>
      <c r="AA143" s="78"/>
      <c r="AB143" s="194"/>
    </row>
    <row r="144" spans="1:28" x14ac:dyDescent="0.25">
      <c r="A144" s="496" t="s">
        <v>212</v>
      </c>
      <c r="B144" s="1103" t="s">
        <v>410</v>
      </c>
      <c r="C144" s="1104"/>
      <c r="D144" s="1104"/>
      <c r="E144" s="1104"/>
      <c r="F144" s="1104"/>
      <c r="G144" s="1105"/>
      <c r="H144" s="314" t="s">
        <v>99</v>
      </c>
      <c r="I144" s="328">
        <f>Z144</f>
        <v>5.0000000000000001E-3</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5.0000000000000001E-3</v>
      </c>
      <c r="AA144" s="78"/>
      <c r="AB144" s="194"/>
    </row>
    <row r="145" spans="1:28" x14ac:dyDescent="0.25">
      <c r="A145" s="1523" t="s">
        <v>213</v>
      </c>
      <c r="B145" s="1487" t="s">
        <v>411</v>
      </c>
      <c r="C145" s="1488"/>
      <c r="D145" s="1488"/>
      <c r="E145" s="1488"/>
      <c r="F145" s="1488"/>
      <c r="G145" s="1489"/>
      <c r="H145" s="981" t="s">
        <v>99</v>
      </c>
      <c r="I145" s="1524">
        <f>Z145</f>
        <v>5.0000000000000001E-3</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5.0000000000000001E-3</v>
      </c>
      <c r="AA145" s="78"/>
      <c r="AB145" s="194"/>
    </row>
    <row r="146" spans="1:28" x14ac:dyDescent="0.25">
      <c r="A146" s="1523"/>
      <c r="B146" s="1493"/>
      <c r="C146" s="1317"/>
      <c r="D146" s="1317"/>
      <c r="E146" s="1317"/>
      <c r="F146" s="1317"/>
      <c r="G146" s="1494"/>
      <c r="H146" s="982"/>
      <c r="I146" s="1017"/>
      <c r="J146" s="1528"/>
      <c r="K146" s="1529"/>
      <c r="L146" s="984"/>
      <c r="M146" s="985"/>
      <c r="N146" s="985"/>
      <c r="O146" s="985"/>
      <c r="P146" s="985"/>
      <c r="Q146" s="978"/>
      <c r="R146" s="972"/>
      <c r="S146" s="973"/>
      <c r="T146" s="1621"/>
      <c r="U146" s="1372"/>
      <c r="AA146" s="78"/>
      <c r="AB146" s="194"/>
    </row>
    <row r="147" spans="1:28" x14ac:dyDescent="0.25">
      <c r="A147" s="1523"/>
      <c r="B147" s="1493"/>
      <c r="C147" s="1317"/>
      <c r="D147" s="1317"/>
      <c r="E147" s="1317"/>
      <c r="F147" s="1317"/>
      <c r="G147" s="1494"/>
      <c r="H147" s="982"/>
      <c r="I147" s="1017"/>
      <c r="J147" s="1528"/>
      <c r="K147" s="1529"/>
      <c r="L147" s="984"/>
      <c r="M147" s="985"/>
      <c r="N147" s="985"/>
      <c r="O147" s="985"/>
      <c r="P147" s="985"/>
      <c r="Q147" s="978"/>
      <c r="R147" s="972"/>
      <c r="S147" s="973"/>
      <c r="T147" s="1621"/>
      <c r="U147" s="1372"/>
      <c r="AA147" s="78"/>
      <c r="AB147" s="194"/>
    </row>
    <row r="148" spans="1:28" x14ac:dyDescent="0.25">
      <c r="A148" s="1523"/>
      <c r="B148" s="1493"/>
      <c r="C148" s="1317"/>
      <c r="D148" s="1317"/>
      <c r="E148" s="1317"/>
      <c r="F148" s="1317"/>
      <c r="G148" s="1494"/>
      <c r="H148" s="982"/>
      <c r="I148" s="1017"/>
      <c r="J148" s="1528"/>
      <c r="K148" s="1529"/>
      <c r="L148" s="1539"/>
      <c r="M148" s="1540"/>
      <c r="N148" s="1540"/>
      <c r="O148" s="1540"/>
      <c r="P148" s="1540"/>
      <c r="Q148" s="978" t="s">
        <v>100</v>
      </c>
      <c r="R148" s="972"/>
      <c r="S148" s="973"/>
      <c r="T148" s="1621"/>
      <c r="U148" s="1372"/>
      <c r="V148" s="72">
        <f>IF(AND(Q148="ja",R148=""),1,0)</f>
        <v>0</v>
      </c>
      <c r="AA148" s="78"/>
      <c r="AB148" s="194"/>
    </row>
    <row r="149" spans="1:28" x14ac:dyDescent="0.25">
      <c r="A149" s="1523"/>
      <c r="B149" s="1490"/>
      <c r="C149" s="1491"/>
      <c r="D149" s="1491"/>
      <c r="E149" s="1491"/>
      <c r="F149" s="1491"/>
      <c r="G149" s="1492"/>
      <c r="H149" s="983"/>
      <c r="I149" s="1525"/>
      <c r="J149" s="1528"/>
      <c r="K149" s="1529"/>
      <c r="L149" s="1541"/>
      <c r="M149" s="1542"/>
      <c r="N149" s="1542"/>
      <c r="O149" s="1542"/>
      <c r="P149" s="1542"/>
      <c r="Q149" s="978"/>
      <c r="R149" s="972"/>
      <c r="S149" s="973"/>
      <c r="T149" s="1621"/>
      <c r="U149" s="1372"/>
      <c r="Y149" s="74"/>
      <c r="Z149" s="77"/>
      <c r="AA149" s="78"/>
      <c r="AB149" s="194"/>
    </row>
    <row r="150" spans="1:28" x14ac:dyDescent="0.25">
      <c r="A150" s="1523" t="s">
        <v>215</v>
      </c>
      <c r="B150" s="1487" t="s">
        <v>412</v>
      </c>
      <c r="C150" s="1488"/>
      <c r="D150" s="1488"/>
      <c r="E150" s="1488"/>
      <c r="F150" s="1488"/>
      <c r="G150" s="1489"/>
      <c r="H150" s="981" t="s">
        <v>99</v>
      </c>
      <c r="I150" s="1524">
        <f>Z150</f>
        <v>0.04</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0.04</v>
      </c>
      <c r="AA150" s="77"/>
      <c r="AB150" s="194"/>
    </row>
    <row r="151" spans="1:28" x14ac:dyDescent="0.25">
      <c r="A151" s="1523"/>
      <c r="B151" s="1493"/>
      <c r="C151" s="1317"/>
      <c r="D151" s="1317"/>
      <c r="E151" s="1317"/>
      <c r="F151" s="1317"/>
      <c r="G151" s="1494"/>
      <c r="H151" s="982"/>
      <c r="I151" s="1017"/>
      <c r="J151" s="1528"/>
      <c r="K151" s="1529"/>
      <c r="L151" s="984"/>
      <c r="M151" s="985"/>
      <c r="N151" s="985"/>
      <c r="O151" s="985"/>
      <c r="P151" s="985"/>
      <c r="Q151" s="978"/>
      <c r="R151" s="972"/>
      <c r="S151" s="973"/>
      <c r="T151" s="1621"/>
      <c r="U151" s="1372"/>
      <c r="Y151" s="74"/>
      <c r="Z151" s="77"/>
      <c r="AA151" s="78"/>
      <c r="AB151" s="194"/>
    </row>
    <row r="152" spans="1:28" ht="14.55" thickBot="1" x14ac:dyDescent="0.3">
      <c r="A152" s="1523"/>
      <c r="B152" s="1490"/>
      <c r="C152" s="1491"/>
      <c r="D152" s="1491"/>
      <c r="E152" s="1491"/>
      <c r="F152" s="1491"/>
      <c r="G152" s="1492"/>
      <c r="H152" s="983"/>
      <c r="I152" s="1018"/>
      <c r="J152" s="1530"/>
      <c r="K152" s="1531"/>
      <c r="L152" s="984"/>
      <c r="M152" s="985"/>
      <c r="N152" s="985"/>
      <c r="O152" s="985"/>
      <c r="P152" s="985"/>
      <c r="Q152" s="978"/>
      <c r="R152" s="972"/>
      <c r="S152" s="973"/>
      <c r="T152" s="1625"/>
      <c r="U152" s="1374"/>
      <c r="Y152" s="74"/>
      <c r="Z152" s="77"/>
      <c r="AA152" s="78"/>
      <c r="AB152" s="194"/>
    </row>
    <row r="153" spans="1:28" ht="14.55" thickBot="1" x14ac:dyDescent="0.3">
      <c r="A153" s="1595" t="s">
        <v>413</v>
      </c>
      <c r="B153" s="1511" t="s">
        <v>414</v>
      </c>
      <c r="C153" s="1512"/>
      <c r="D153" s="1512"/>
      <c r="E153" s="1512"/>
      <c r="F153" s="1512"/>
      <c r="G153" s="1513"/>
      <c r="H153" s="342"/>
      <c r="I153" s="1361"/>
      <c r="J153" s="1362"/>
      <c r="K153" s="1362"/>
      <c r="L153" s="1534">
        <f>SUM(Q128:R152)</f>
        <v>0</v>
      </c>
      <c r="M153" s="1535"/>
      <c r="N153" s="1535"/>
      <c r="O153" s="1535"/>
      <c r="P153" s="1535"/>
      <c r="Q153" s="338"/>
      <c r="R153" s="1514"/>
      <c r="S153" s="1515"/>
      <c r="U153" s="334"/>
      <c r="Y153" s="74"/>
      <c r="Z153" s="152">
        <f>SUM(Z128:Z150)</f>
        <v>0.22000000000000003</v>
      </c>
      <c r="AA153" s="78"/>
      <c r="AB153" s="194"/>
    </row>
    <row r="154" spans="1:28" ht="14.55" thickBot="1" x14ac:dyDescent="0.3">
      <c r="A154" s="1595"/>
      <c r="B154" s="1497" t="s">
        <v>415</v>
      </c>
      <c r="C154" s="1498"/>
      <c r="D154" s="1498"/>
      <c r="E154" s="1498"/>
      <c r="F154" s="1498"/>
      <c r="G154" s="1499"/>
      <c r="H154" s="1194" t="s">
        <v>100</v>
      </c>
      <c r="I154" s="1016">
        <f>Z177</f>
        <v>1E-3</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194"/>
    </row>
    <row r="155" spans="1:28" ht="14.55" thickBot="1" x14ac:dyDescent="0.3">
      <c r="A155" s="159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194"/>
    </row>
    <row r="156" spans="1:28" ht="14.55" thickBot="1" x14ac:dyDescent="0.3">
      <c r="A156" s="159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194"/>
    </row>
    <row r="157" spans="1:28" ht="14.55" thickBot="1" x14ac:dyDescent="0.3">
      <c r="A157" s="1595"/>
      <c r="B157" s="1487" t="s">
        <v>417</v>
      </c>
      <c r="C157" s="1488"/>
      <c r="D157" s="1488"/>
      <c r="E157" s="1488"/>
      <c r="F157" s="1488"/>
      <c r="G157" s="1489"/>
      <c r="H157" s="981" t="s">
        <v>100</v>
      </c>
      <c r="I157" s="1017"/>
      <c r="J157" s="1029"/>
      <c r="K157" s="1030"/>
      <c r="L157" s="1484" t="s">
        <v>418</v>
      </c>
      <c r="M157" s="1485"/>
      <c r="N157" s="1485"/>
      <c r="O157" s="1485"/>
      <c r="P157" s="1486"/>
      <c r="Q157" s="979" t="s">
        <v>99</v>
      </c>
      <c r="R157" s="1005"/>
      <c r="S157" s="1006"/>
      <c r="T157" s="1258"/>
      <c r="U157" s="1337"/>
      <c r="V157" s="72">
        <f>IF(AND(Q157="ja",R157=""),1,0)</f>
        <v>1</v>
      </c>
      <c r="Y157" s="74">
        <v>3.0499999999999999E-2</v>
      </c>
      <c r="Z157" s="77">
        <f>IF(H157="ja",Y157,0)</f>
        <v>0</v>
      </c>
      <c r="AA157" s="78"/>
      <c r="AB157" s="194"/>
    </row>
    <row r="158" spans="1:28" ht="14.55" thickBot="1" x14ac:dyDescent="0.3">
      <c r="A158" s="159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194"/>
    </row>
    <row r="159" spans="1:28" ht="14.55" thickBot="1" x14ac:dyDescent="0.3">
      <c r="A159" s="159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194"/>
    </row>
    <row r="160" spans="1:28" ht="14.55" thickBot="1" x14ac:dyDescent="0.3">
      <c r="A160" s="159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194"/>
    </row>
    <row r="161" spans="1:28" ht="14.55" thickBot="1" x14ac:dyDescent="0.3">
      <c r="A161" s="159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194"/>
    </row>
    <row r="162" spans="1:28" ht="14.55" thickBot="1" x14ac:dyDescent="0.3">
      <c r="A162" s="159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194"/>
    </row>
    <row r="163" spans="1:28" ht="14.55" thickBot="1" x14ac:dyDescent="0.3">
      <c r="A163" s="159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194"/>
    </row>
    <row r="164" spans="1:28" ht="14.55" thickBot="1" x14ac:dyDescent="0.3">
      <c r="A164" s="159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194"/>
    </row>
    <row r="165" spans="1:28" ht="14.55" thickBot="1" x14ac:dyDescent="0.3">
      <c r="A165" s="1595"/>
      <c r="B165" s="1493"/>
      <c r="C165" s="1317"/>
      <c r="D165" s="1317"/>
      <c r="E165" s="1317"/>
      <c r="F165" s="1317"/>
      <c r="G165" s="1494"/>
      <c r="H165" s="982"/>
      <c r="I165" s="1017"/>
      <c r="J165" s="1029"/>
      <c r="K165" s="1030"/>
      <c r="L165" s="1291"/>
      <c r="M165" s="1292"/>
      <c r="N165" s="1292"/>
      <c r="O165" s="1292"/>
      <c r="P165" s="1293"/>
      <c r="Q165" s="1295"/>
      <c r="R165" s="1269"/>
      <c r="S165" s="1270"/>
      <c r="T165" s="1258"/>
      <c r="U165" s="1337"/>
      <c r="Y165" s="74"/>
      <c r="Z165" s="77"/>
      <c r="AA165" s="78"/>
      <c r="AB165" s="194"/>
    </row>
    <row r="166" spans="1:28" ht="14.55" thickBot="1" x14ac:dyDescent="0.3">
      <c r="A166" s="1595"/>
      <c r="B166" s="1490"/>
      <c r="C166" s="1491"/>
      <c r="D166" s="1491"/>
      <c r="E166" s="1491"/>
      <c r="F166" s="1491"/>
      <c r="G166" s="1492"/>
      <c r="H166" s="983"/>
      <c r="I166" s="1017"/>
      <c r="J166" s="1029"/>
      <c r="K166" s="1030"/>
      <c r="L166" s="1484" t="s">
        <v>419</v>
      </c>
      <c r="M166" s="1485"/>
      <c r="N166" s="1485"/>
      <c r="O166" s="1485"/>
      <c r="P166" s="1486"/>
      <c r="Q166" s="979" t="s">
        <v>100</v>
      </c>
      <c r="R166" s="1005"/>
      <c r="S166" s="1006"/>
      <c r="T166" s="1258"/>
      <c r="U166" s="1337"/>
      <c r="V166" s="72">
        <f>IF(AND(Q166="ja",R166=""),1,0)</f>
        <v>0</v>
      </c>
      <c r="Y166" s="74"/>
      <c r="Z166" s="77"/>
      <c r="AA166" s="78"/>
      <c r="AB166" s="194"/>
    </row>
    <row r="167" spans="1:28" ht="14.55" thickBot="1" x14ac:dyDescent="0.3">
      <c r="A167" s="1595"/>
      <c r="B167" s="1487" t="s">
        <v>420</v>
      </c>
      <c r="C167" s="1488"/>
      <c r="D167" s="1488"/>
      <c r="E167" s="1488"/>
      <c r="F167" s="1488"/>
      <c r="G167" s="1489"/>
      <c r="H167" s="981" t="s">
        <v>100</v>
      </c>
      <c r="I167" s="1017"/>
      <c r="J167" s="1029"/>
      <c r="K167" s="1030"/>
      <c r="L167" s="1288"/>
      <c r="M167" s="1289"/>
      <c r="N167" s="1289"/>
      <c r="O167" s="1289"/>
      <c r="P167" s="1290"/>
      <c r="Q167" s="1003"/>
      <c r="R167" s="1007"/>
      <c r="S167" s="1008"/>
      <c r="T167" s="1258"/>
      <c r="U167" s="1337"/>
      <c r="Y167" s="74">
        <v>1E-3</v>
      </c>
      <c r="Z167" s="77">
        <f>IF(H167="ja",Y167,0)</f>
        <v>0</v>
      </c>
      <c r="AA167" s="78"/>
      <c r="AB167" s="194"/>
    </row>
    <row r="168" spans="1:28" ht="14.55" thickBot="1" x14ac:dyDescent="0.3">
      <c r="A168" s="1595"/>
      <c r="B168" s="1493"/>
      <c r="C168" s="1317"/>
      <c r="D168" s="1317"/>
      <c r="E168" s="1317"/>
      <c r="F168" s="1317"/>
      <c r="G168" s="1494"/>
      <c r="H168" s="982"/>
      <c r="I168" s="1017"/>
      <c r="J168" s="1029"/>
      <c r="K168" s="1030"/>
      <c r="L168" s="1291"/>
      <c r="M168" s="1292"/>
      <c r="N168" s="1292"/>
      <c r="O168" s="1292"/>
      <c r="P168" s="1293"/>
      <c r="Q168" s="1295"/>
      <c r="R168" s="1269"/>
      <c r="S168" s="1270"/>
      <c r="T168" s="1258"/>
      <c r="U168" s="1337"/>
      <c r="Y168" s="74"/>
      <c r="Z168" s="77"/>
      <c r="AA168" s="78"/>
      <c r="AB168" s="194"/>
    </row>
    <row r="169" spans="1:28" ht="14.55" thickBot="1" x14ac:dyDescent="0.3">
      <c r="A169" s="1595"/>
      <c r="B169" s="1490"/>
      <c r="C169" s="1491"/>
      <c r="D169" s="1491"/>
      <c r="E169" s="1491"/>
      <c r="F169" s="1491"/>
      <c r="G169" s="1492"/>
      <c r="H169" s="983"/>
      <c r="I169" s="1017"/>
      <c r="J169" s="1029"/>
      <c r="K169" s="1030"/>
      <c r="L169" s="1484" t="s">
        <v>228</v>
      </c>
      <c r="M169" s="1485"/>
      <c r="N169" s="1485"/>
      <c r="O169" s="1485"/>
      <c r="P169" s="1486"/>
      <c r="Q169" s="979" t="s">
        <v>99</v>
      </c>
      <c r="R169" s="1005"/>
      <c r="S169" s="1006"/>
      <c r="T169" s="1258"/>
      <c r="U169" s="1337"/>
      <c r="V169" s="72">
        <f>IF(AND(Q169="ja",R169=""),1,0)</f>
        <v>1</v>
      </c>
      <c r="Y169" s="74"/>
      <c r="Z169" s="77"/>
      <c r="AA169" s="78"/>
      <c r="AB169" s="194"/>
    </row>
    <row r="170" spans="1:28" ht="14.55" thickBot="1" x14ac:dyDescent="0.3">
      <c r="A170" s="1595"/>
      <c r="B170" s="1487" t="s">
        <v>421</v>
      </c>
      <c r="C170" s="1488"/>
      <c r="D170" s="1488"/>
      <c r="E170" s="1488"/>
      <c r="F170" s="1488"/>
      <c r="G170" s="1489"/>
      <c r="H170" s="981" t="s">
        <v>100</v>
      </c>
      <c r="I170" s="1017"/>
      <c r="J170" s="1029"/>
      <c r="K170" s="1030"/>
      <c r="L170" s="1288"/>
      <c r="M170" s="1289"/>
      <c r="N170" s="1289"/>
      <c r="O170" s="1289"/>
      <c r="P170" s="1290"/>
      <c r="Q170" s="1003"/>
      <c r="R170" s="1007"/>
      <c r="S170" s="1008"/>
      <c r="T170" s="1258"/>
      <c r="U170" s="1337"/>
      <c r="Y170" s="74">
        <v>7.4999999999999997E-3</v>
      </c>
      <c r="Z170" s="77">
        <f>IF(H170="ja",Y170,0)</f>
        <v>0</v>
      </c>
      <c r="AA170" s="78"/>
      <c r="AB170" s="194"/>
    </row>
    <row r="171" spans="1:28" ht="14.55" thickBot="1" x14ac:dyDescent="0.3">
      <c r="A171" s="1595"/>
      <c r="B171" s="1493"/>
      <c r="C171" s="1317"/>
      <c r="D171" s="1317"/>
      <c r="E171" s="1317"/>
      <c r="F171" s="1317"/>
      <c r="G171" s="1494"/>
      <c r="H171" s="982"/>
      <c r="I171" s="1017"/>
      <c r="J171" s="1029"/>
      <c r="K171" s="1030"/>
      <c r="L171" s="1288"/>
      <c r="M171" s="1289"/>
      <c r="N171" s="1289"/>
      <c r="O171" s="1289"/>
      <c r="P171" s="1290"/>
      <c r="Q171" s="1003"/>
      <c r="R171" s="1007"/>
      <c r="S171" s="1008"/>
      <c r="T171" s="1258"/>
      <c r="U171" s="1337"/>
      <c r="Y171" s="74"/>
      <c r="Z171" s="77"/>
      <c r="AA171" s="78"/>
      <c r="AB171" s="194"/>
    </row>
    <row r="172" spans="1:28" ht="14.55" thickBot="1" x14ac:dyDescent="0.3">
      <c r="A172" s="1595"/>
      <c r="B172" s="1490"/>
      <c r="C172" s="1491"/>
      <c r="D172" s="1491"/>
      <c r="E172" s="1491"/>
      <c r="F172" s="1491"/>
      <c r="G172" s="1492"/>
      <c r="H172" s="983"/>
      <c r="I172" s="1017"/>
      <c r="J172" s="1029"/>
      <c r="K172" s="1030"/>
      <c r="L172" s="1291"/>
      <c r="M172" s="1292"/>
      <c r="N172" s="1292"/>
      <c r="O172" s="1292"/>
      <c r="P172" s="1293"/>
      <c r="Q172" s="1295"/>
      <c r="R172" s="1269"/>
      <c r="S172" s="1270"/>
      <c r="T172" s="1258"/>
      <c r="U172" s="1337"/>
      <c r="Y172" s="74"/>
      <c r="Z172" s="77"/>
      <c r="AA172" s="78"/>
      <c r="AB172" s="194"/>
    </row>
    <row r="173" spans="1:28" ht="14.55" thickBot="1" x14ac:dyDescent="0.3">
      <c r="A173" s="1595"/>
      <c r="B173" s="1487" t="s">
        <v>226</v>
      </c>
      <c r="C173" s="1488"/>
      <c r="D173" s="1488"/>
      <c r="E173" s="1488"/>
      <c r="F173" s="1488"/>
      <c r="G173" s="1489"/>
      <c r="H173" s="981" t="s">
        <v>100</v>
      </c>
      <c r="I173" s="1017"/>
      <c r="J173" s="1029"/>
      <c r="K173" s="1030"/>
      <c r="L173" s="1484"/>
      <c r="M173" s="1485"/>
      <c r="N173" s="1485"/>
      <c r="O173" s="1485"/>
      <c r="P173" s="1486"/>
      <c r="Q173" s="979" t="s">
        <v>100</v>
      </c>
      <c r="R173" s="1005"/>
      <c r="S173" s="1006"/>
      <c r="T173" s="1258"/>
      <c r="U173" s="1337"/>
      <c r="V173" s="72">
        <f>IF(AND(Q173="ja",R173=""),1,0)</f>
        <v>0</v>
      </c>
      <c r="Y173" s="74">
        <v>1E-3</v>
      </c>
      <c r="Z173" s="77">
        <f>IF(H173="ja",Y173,0)</f>
        <v>0</v>
      </c>
      <c r="AA173" s="78"/>
      <c r="AB173" s="194"/>
    </row>
    <row r="174" spans="1:28" ht="14.55" thickBot="1" x14ac:dyDescent="0.3">
      <c r="A174" s="1595"/>
      <c r="B174" s="1493"/>
      <c r="C174" s="1317"/>
      <c r="D174" s="1317"/>
      <c r="E174" s="1317"/>
      <c r="F174" s="1317"/>
      <c r="G174" s="1494"/>
      <c r="H174" s="982"/>
      <c r="I174" s="1017"/>
      <c r="J174" s="1029"/>
      <c r="K174" s="1030"/>
      <c r="L174" s="1288"/>
      <c r="M174" s="1289"/>
      <c r="N174" s="1289"/>
      <c r="O174" s="1289"/>
      <c r="P174" s="1290"/>
      <c r="Q174" s="1003"/>
      <c r="R174" s="1007"/>
      <c r="S174" s="1008"/>
      <c r="T174" s="1258"/>
      <c r="U174" s="1337"/>
      <c r="Y174" s="74"/>
      <c r="Z174" s="77"/>
      <c r="AA174" s="77"/>
      <c r="AB174" s="194"/>
    </row>
    <row r="175" spans="1:28" ht="14.55" thickBot="1" x14ac:dyDescent="0.3">
      <c r="A175" s="1595"/>
      <c r="B175" s="1490"/>
      <c r="C175" s="1491"/>
      <c r="D175" s="1491"/>
      <c r="E175" s="1491"/>
      <c r="F175" s="1491"/>
      <c r="G175" s="1492"/>
      <c r="H175" s="983"/>
      <c r="I175" s="1017"/>
      <c r="J175" s="1029"/>
      <c r="K175" s="1030"/>
      <c r="L175" s="1291"/>
      <c r="M175" s="1292"/>
      <c r="N175" s="1292"/>
      <c r="O175" s="1292"/>
      <c r="P175" s="1293"/>
      <c r="Q175" s="1295"/>
      <c r="R175" s="1269"/>
      <c r="S175" s="1270"/>
      <c r="T175" s="1258"/>
      <c r="U175" s="1337"/>
      <c r="Y175" s="74"/>
      <c r="Z175" s="77"/>
      <c r="AA175" s="78"/>
      <c r="AB175" s="194"/>
    </row>
    <row r="176" spans="1:28" ht="21.8" customHeight="1" thickBot="1" x14ac:dyDescent="0.3">
      <c r="A176" s="1595"/>
      <c r="B176" s="1103" t="s">
        <v>422</v>
      </c>
      <c r="C176" s="1104"/>
      <c r="D176" s="1104"/>
      <c r="E176" s="1104"/>
      <c r="F176" s="1104"/>
      <c r="G176" s="1105"/>
      <c r="H176" s="314" t="s">
        <v>99</v>
      </c>
      <c r="I176" s="1018"/>
      <c r="J176" s="1031"/>
      <c r="K176" s="1032"/>
      <c r="L176" s="1577"/>
      <c r="M176" s="1578"/>
      <c r="N176" s="1578"/>
      <c r="O176" s="1578"/>
      <c r="P176" s="1579"/>
      <c r="Q176" s="329" t="s">
        <v>100</v>
      </c>
      <c r="R176" s="1623"/>
      <c r="S176" s="1624"/>
      <c r="T176" s="1259"/>
      <c r="U176" s="1337"/>
      <c r="V176" s="72">
        <f>IF(AND(Q176="ja",R176=""),1,0)</f>
        <v>0</v>
      </c>
      <c r="Y176" s="74">
        <v>1E-3</v>
      </c>
      <c r="Z176" s="77">
        <f>IF(H176="ja",Y176,0)</f>
        <v>1E-3</v>
      </c>
      <c r="AA176" s="78"/>
      <c r="AB176" s="194"/>
    </row>
    <row r="177" spans="1:28" ht="14.55" thickBot="1" x14ac:dyDescent="0.3">
      <c r="A177" s="1595"/>
      <c r="B177" s="1511" t="s">
        <v>229</v>
      </c>
      <c r="C177" s="1512"/>
      <c r="D177" s="1512"/>
      <c r="E177" s="1512"/>
      <c r="F177" s="1512"/>
      <c r="G177" s="1513"/>
      <c r="H177" s="342"/>
      <c r="I177" s="343"/>
      <c r="J177" s="344"/>
      <c r="K177" s="344"/>
      <c r="L177" s="1534">
        <f>SUM(R154:S176)</f>
        <v>0</v>
      </c>
      <c r="M177" s="1535"/>
      <c r="N177" s="1535"/>
      <c r="O177" s="1535"/>
      <c r="P177" s="1535"/>
      <c r="Q177" s="338"/>
      <c r="R177" s="1495"/>
      <c r="S177" s="1496"/>
      <c r="U177" s="334"/>
      <c r="Y177" s="74"/>
      <c r="Z177" s="152">
        <f>SUM(Z154:Z176)</f>
        <v>1E-3</v>
      </c>
      <c r="AA177" s="78"/>
      <c r="AB177" s="194"/>
    </row>
    <row r="178" spans="1:28" ht="14.55" thickBot="1" x14ac:dyDescent="0.3">
      <c r="A178" s="1595"/>
      <c r="B178" s="1103" t="s">
        <v>233</v>
      </c>
      <c r="C178" s="1104"/>
      <c r="D178" s="1104"/>
      <c r="E178" s="1104"/>
      <c r="F178" s="1104"/>
      <c r="G178" s="1105"/>
      <c r="H178" s="314" t="s">
        <v>100</v>
      </c>
      <c r="I178" s="1016">
        <f>Z192</f>
        <v>0.04</v>
      </c>
      <c r="J178" s="1027">
        <f>I115*I178</f>
        <v>0</v>
      </c>
      <c r="K178" s="1028"/>
      <c r="L178" s="984" t="s">
        <v>423</v>
      </c>
      <c r="M178" s="985"/>
      <c r="N178" s="985"/>
      <c r="O178" s="985"/>
      <c r="P178" s="985"/>
      <c r="Q178" s="978" t="s">
        <v>99</v>
      </c>
      <c r="R178" s="972"/>
      <c r="S178" s="973"/>
      <c r="T178" s="1257" t="str">
        <f>IFERROR(IF((VLOOKUP(U178,Überblick!$M$125:$N$133,2))="ja","ja","nein"),"")</f>
        <v/>
      </c>
      <c r="U178" s="1337"/>
      <c r="V178" s="72">
        <f>IF(AND(Q178="ja",R178=""),1,0)</f>
        <v>1</v>
      </c>
      <c r="Y178" s="74">
        <v>1E-3</v>
      </c>
      <c r="Z178" s="77">
        <f>IF(H178="ja",Y178,0)</f>
        <v>0</v>
      </c>
      <c r="AA178" s="78"/>
      <c r="AB178" s="194"/>
    </row>
    <row r="179" spans="1:28" ht="14.55" thickBot="1" x14ac:dyDescent="0.3">
      <c r="A179" s="1595"/>
      <c r="B179" s="1487" t="s">
        <v>424</v>
      </c>
      <c r="C179" s="1488"/>
      <c r="D179" s="1488"/>
      <c r="E179" s="1488"/>
      <c r="F179" s="1488"/>
      <c r="G179" s="1489"/>
      <c r="H179" s="981" t="s">
        <v>99</v>
      </c>
      <c r="I179" s="1017"/>
      <c r="J179" s="1029"/>
      <c r="K179" s="1030"/>
      <c r="L179" s="984"/>
      <c r="M179" s="985"/>
      <c r="N179" s="985"/>
      <c r="O179" s="985"/>
      <c r="P179" s="985"/>
      <c r="Q179" s="978"/>
      <c r="R179" s="972"/>
      <c r="S179" s="973"/>
      <c r="T179" s="1258"/>
      <c r="U179" s="1337"/>
      <c r="Y179" s="74">
        <v>3.5000000000000003E-2</v>
      </c>
      <c r="Z179" s="77">
        <f>IF(H179="ja",Y179,0)</f>
        <v>3.5000000000000003E-2</v>
      </c>
      <c r="AA179" s="78"/>
      <c r="AB179" s="194"/>
    </row>
    <row r="180" spans="1:28" ht="14.55" thickBot="1" x14ac:dyDescent="0.3">
      <c r="A180" s="1595"/>
      <c r="B180" s="1493"/>
      <c r="C180" s="1317"/>
      <c r="D180" s="1317"/>
      <c r="E180" s="1317"/>
      <c r="F180" s="1317"/>
      <c r="G180" s="1494"/>
      <c r="H180" s="982"/>
      <c r="I180" s="1017"/>
      <c r="J180" s="1029"/>
      <c r="K180" s="1030"/>
      <c r="L180" s="984"/>
      <c r="M180" s="985"/>
      <c r="N180" s="985"/>
      <c r="O180" s="985"/>
      <c r="P180" s="985"/>
      <c r="Q180" s="978"/>
      <c r="R180" s="972"/>
      <c r="S180" s="973"/>
      <c r="T180" s="1258"/>
      <c r="U180" s="1337"/>
      <c r="Y180" s="74"/>
      <c r="Z180" s="77"/>
      <c r="AA180" s="78"/>
      <c r="AB180" s="194"/>
    </row>
    <row r="181" spans="1:28" ht="14.55" thickBot="1" x14ac:dyDescent="0.3">
      <c r="A181" s="1595"/>
      <c r="B181" s="1493"/>
      <c r="C181" s="1317"/>
      <c r="D181" s="1317"/>
      <c r="E181" s="1317"/>
      <c r="F181" s="1317"/>
      <c r="G181" s="1494"/>
      <c r="H181" s="982"/>
      <c r="I181" s="1017"/>
      <c r="J181" s="1029"/>
      <c r="K181" s="1030"/>
      <c r="L181" s="984"/>
      <c r="M181" s="985"/>
      <c r="N181" s="985"/>
      <c r="O181" s="985"/>
      <c r="P181" s="985"/>
      <c r="Q181" s="978" t="s">
        <v>100</v>
      </c>
      <c r="R181" s="972"/>
      <c r="S181" s="973"/>
      <c r="T181" s="1258"/>
      <c r="U181" s="1337"/>
      <c r="V181" s="72">
        <f>IF(AND(Q181="ja",R181=""),1,0)</f>
        <v>0</v>
      </c>
      <c r="Y181" s="74"/>
      <c r="Z181" s="77"/>
      <c r="AA181" s="78"/>
      <c r="AB181" s="194"/>
    </row>
    <row r="182" spans="1:28" ht="14.55" thickBot="1" x14ac:dyDescent="0.3">
      <c r="A182" s="1595"/>
      <c r="B182" s="1493"/>
      <c r="C182" s="1317"/>
      <c r="D182" s="1317"/>
      <c r="E182" s="1317"/>
      <c r="F182" s="1317"/>
      <c r="G182" s="1494"/>
      <c r="H182" s="982"/>
      <c r="I182" s="1017"/>
      <c r="J182" s="1029"/>
      <c r="K182" s="1030"/>
      <c r="L182" s="984"/>
      <c r="M182" s="985"/>
      <c r="N182" s="985"/>
      <c r="O182" s="985"/>
      <c r="P182" s="985"/>
      <c r="Q182" s="978"/>
      <c r="R182" s="972"/>
      <c r="S182" s="973"/>
      <c r="T182" s="1258"/>
      <c r="U182" s="1337"/>
      <c r="Y182" s="74"/>
      <c r="Z182" s="77"/>
      <c r="AA182" s="78"/>
      <c r="AB182" s="194"/>
    </row>
    <row r="183" spans="1:28" ht="14.55" thickBot="1" x14ac:dyDescent="0.3">
      <c r="A183" s="1595"/>
      <c r="B183" s="1490"/>
      <c r="C183" s="1491"/>
      <c r="D183" s="1491"/>
      <c r="E183" s="1491"/>
      <c r="F183" s="1491"/>
      <c r="G183" s="1492"/>
      <c r="H183" s="983"/>
      <c r="I183" s="1017"/>
      <c r="J183" s="1029"/>
      <c r="K183" s="1030"/>
      <c r="L183" s="984"/>
      <c r="M183" s="985"/>
      <c r="N183" s="985"/>
      <c r="O183" s="985"/>
      <c r="P183" s="985"/>
      <c r="Q183" s="978"/>
      <c r="R183" s="972"/>
      <c r="S183" s="973"/>
      <c r="T183" s="1258"/>
      <c r="U183" s="1337"/>
      <c r="Y183" s="74"/>
      <c r="Z183" s="77"/>
      <c r="AA183" s="78"/>
      <c r="AB183" s="194"/>
    </row>
    <row r="184" spans="1:28" ht="14.55" thickBot="1" x14ac:dyDescent="0.3">
      <c r="A184" s="1595"/>
      <c r="B184" s="1103" t="s">
        <v>237</v>
      </c>
      <c r="C184" s="1104"/>
      <c r="D184" s="1104"/>
      <c r="E184" s="1104"/>
      <c r="F184" s="1104"/>
      <c r="G184" s="1105"/>
      <c r="H184" s="314" t="s">
        <v>99</v>
      </c>
      <c r="I184" s="1017"/>
      <c r="J184" s="1029"/>
      <c r="K184" s="1030"/>
      <c r="L184" s="984" t="s">
        <v>236</v>
      </c>
      <c r="M184" s="985"/>
      <c r="N184" s="985"/>
      <c r="O184" s="985"/>
      <c r="P184" s="985"/>
      <c r="Q184" s="978" t="s">
        <v>99</v>
      </c>
      <c r="R184" s="972"/>
      <c r="S184" s="973"/>
      <c r="T184" s="1258"/>
      <c r="U184" s="1337"/>
      <c r="V184" s="72">
        <f>IF(AND(Q184="ja",R184=""),1,0)</f>
        <v>1</v>
      </c>
      <c r="Y184" s="74">
        <v>5.0000000000000001E-3</v>
      </c>
      <c r="Z184" s="77">
        <f>IF(H184="ja",Y184,0)</f>
        <v>5.0000000000000001E-3</v>
      </c>
      <c r="AA184" s="78"/>
      <c r="AB184" s="194"/>
    </row>
    <row r="185" spans="1:28" ht="14.55" thickBot="1" x14ac:dyDescent="0.3">
      <c r="A185" s="1595"/>
      <c r="B185" s="1487" t="s">
        <v>425</v>
      </c>
      <c r="C185" s="1488"/>
      <c r="D185" s="1488"/>
      <c r="E185" s="1488"/>
      <c r="F185" s="1488"/>
      <c r="G185" s="1489"/>
      <c r="H185" s="981" t="s">
        <v>100</v>
      </c>
      <c r="I185" s="1017"/>
      <c r="J185" s="1029"/>
      <c r="K185" s="1030"/>
      <c r="L185" s="984"/>
      <c r="M185" s="985"/>
      <c r="N185" s="985"/>
      <c r="O185" s="985"/>
      <c r="P185" s="985"/>
      <c r="Q185" s="978"/>
      <c r="R185" s="972"/>
      <c r="S185" s="973"/>
      <c r="T185" s="1258"/>
      <c r="U185" s="1337"/>
      <c r="Y185" s="74">
        <v>2.5000000000000001E-3</v>
      </c>
      <c r="Z185" s="77">
        <f>IF(H185="ja",Y185,0)</f>
        <v>0</v>
      </c>
      <c r="AA185" s="78"/>
      <c r="AB185" s="194"/>
    </row>
    <row r="186" spans="1:28" ht="14.55" thickBot="1" x14ac:dyDescent="0.3">
      <c r="A186" s="1595"/>
      <c r="B186" s="1493"/>
      <c r="C186" s="1317"/>
      <c r="D186" s="1317"/>
      <c r="E186" s="1317"/>
      <c r="F186" s="1317"/>
      <c r="G186" s="1494"/>
      <c r="H186" s="982"/>
      <c r="I186" s="1017"/>
      <c r="J186" s="1029"/>
      <c r="K186" s="1030"/>
      <c r="L186" s="984"/>
      <c r="M186" s="985"/>
      <c r="N186" s="985"/>
      <c r="O186" s="985"/>
      <c r="P186" s="985"/>
      <c r="Q186" s="978"/>
      <c r="R186" s="972"/>
      <c r="S186" s="973"/>
      <c r="T186" s="1258"/>
      <c r="U186" s="1337"/>
      <c r="Y186" s="74"/>
      <c r="Z186" s="77"/>
      <c r="AA186" s="78"/>
      <c r="AB186" s="194"/>
    </row>
    <row r="187" spans="1:28" ht="14.55" thickBot="1" x14ac:dyDescent="0.3">
      <c r="A187" s="1595"/>
      <c r="B187" s="1490"/>
      <c r="C187" s="1491"/>
      <c r="D187" s="1491"/>
      <c r="E187" s="1491"/>
      <c r="F187" s="1491"/>
      <c r="G187" s="1492"/>
      <c r="H187" s="983"/>
      <c r="I187" s="1017"/>
      <c r="J187" s="1029"/>
      <c r="K187" s="1030"/>
      <c r="L187" s="984"/>
      <c r="M187" s="985"/>
      <c r="N187" s="985"/>
      <c r="O187" s="985"/>
      <c r="P187" s="985"/>
      <c r="Q187" s="978" t="s">
        <v>100</v>
      </c>
      <c r="R187" s="972"/>
      <c r="S187" s="973"/>
      <c r="T187" s="1258"/>
      <c r="U187" s="1337"/>
      <c r="V187" s="72">
        <f>IF(AND(Q187="ja",R187=""),1,0)</f>
        <v>0</v>
      </c>
      <c r="Y187" s="74"/>
      <c r="Z187" s="77"/>
      <c r="AA187" s="78"/>
      <c r="AB187" s="194"/>
    </row>
    <row r="188" spans="1:28" ht="14.55" thickBot="1" x14ac:dyDescent="0.3">
      <c r="A188" s="1595"/>
      <c r="B188" s="1487" t="s">
        <v>426</v>
      </c>
      <c r="C188" s="1488"/>
      <c r="D188" s="1488"/>
      <c r="E188" s="1488"/>
      <c r="F188" s="1488"/>
      <c r="G188" s="1489"/>
      <c r="H188" s="981" t="s">
        <v>100</v>
      </c>
      <c r="I188" s="1017"/>
      <c r="J188" s="1029"/>
      <c r="K188" s="1030"/>
      <c r="L188" s="984"/>
      <c r="M188" s="985"/>
      <c r="N188" s="985"/>
      <c r="O188" s="985"/>
      <c r="P188" s="985"/>
      <c r="Q188" s="978"/>
      <c r="R188" s="972"/>
      <c r="S188" s="973"/>
      <c r="T188" s="1258"/>
      <c r="U188" s="1337"/>
      <c r="Y188" s="74">
        <v>5.0000000000000001E-3</v>
      </c>
      <c r="Z188" s="77">
        <f>IF(H188="ja",Y188,0)</f>
        <v>0</v>
      </c>
      <c r="AA188" s="78"/>
      <c r="AB188" s="194"/>
    </row>
    <row r="189" spans="1:28" ht="14.55" thickBot="1" x14ac:dyDescent="0.3">
      <c r="A189" s="1595"/>
      <c r="B189" s="1490"/>
      <c r="C189" s="1491"/>
      <c r="D189" s="1491"/>
      <c r="E189" s="1491"/>
      <c r="F189" s="1491"/>
      <c r="G189" s="1492"/>
      <c r="H189" s="983"/>
      <c r="I189" s="1017"/>
      <c r="J189" s="1029"/>
      <c r="K189" s="1030"/>
      <c r="L189" s="984"/>
      <c r="M189" s="985"/>
      <c r="N189" s="985"/>
      <c r="O189" s="985"/>
      <c r="P189" s="985"/>
      <c r="Q189" s="978"/>
      <c r="R189" s="972"/>
      <c r="S189" s="973"/>
      <c r="T189" s="1258"/>
      <c r="U189" s="1337"/>
      <c r="Y189" s="74"/>
      <c r="Z189" s="77"/>
      <c r="AA189" s="77"/>
      <c r="AB189" s="194"/>
    </row>
    <row r="190" spans="1:28" ht="14.55" thickBot="1" x14ac:dyDescent="0.3">
      <c r="A190" s="1595"/>
      <c r="B190" s="1487" t="s">
        <v>427</v>
      </c>
      <c r="C190" s="1488"/>
      <c r="D190" s="1488"/>
      <c r="E190" s="1488"/>
      <c r="F190" s="1488"/>
      <c r="G190" s="1489"/>
      <c r="H190" s="981" t="s">
        <v>100</v>
      </c>
      <c r="I190" s="1017"/>
      <c r="J190" s="1029"/>
      <c r="K190" s="1030"/>
      <c r="L190" s="1539"/>
      <c r="M190" s="1540"/>
      <c r="N190" s="1540"/>
      <c r="O190" s="1540"/>
      <c r="P190" s="1540"/>
      <c r="Q190" s="978" t="s">
        <v>100</v>
      </c>
      <c r="R190" s="972"/>
      <c r="S190" s="973"/>
      <c r="T190" s="1258"/>
      <c r="U190" s="1337"/>
      <c r="V190" s="72">
        <f>IF(AND(Q190="ja",R190=""),1,0)</f>
        <v>0</v>
      </c>
      <c r="Y190" s="74">
        <v>1.5E-3</v>
      </c>
      <c r="Z190" s="77">
        <f>IF(H190="ja",Y190,0)</f>
        <v>0</v>
      </c>
      <c r="AA190" s="78"/>
      <c r="AB190" s="194"/>
    </row>
    <row r="191" spans="1:28" ht="14.55" thickBot="1" x14ac:dyDescent="0.3">
      <c r="A191" s="1595"/>
      <c r="B191" s="1490"/>
      <c r="C191" s="1491"/>
      <c r="D191" s="1491"/>
      <c r="E191" s="1491"/>
      <c r="F191" s="1491"/>
      <c r="G191" s="1492"/>
      <c r="H191" s="983"/>
      <c r="I191" s="1018"/>
      <c r="J191" s="1031"/>
      <c r="K191" s="1032"/>
      <c r="L191" s="1541"/>
      <c r="M191" s="1542"/>
      <c r="N191" s="1542"/>
      <c r="O191" s="1542"/>
      <c r="P191" s="1542"/>
      <c r="Q191" s="979"/>
      <c r="R191" s="974"/>
      <c r="S191" s="975"/>
      <c r="T191" s="1259"/>
      <c r="U191" s="1337"/>
      <c r="Y191" s="74"/>
      <c r="Z191" s="77"/>
      <c r="AA191" s="78"/>
      <c r="AB191" s="194"/>
    </row>
    <row r="192" spans="1:28" ht="14.55" thickBot="1" x14ac:dyDescent="0.3">
      <c r="A192" s="1595"/>
      <c r="B192" s="1511" t="s">
        <v>428</v>
      </c>
      <c r="C192" s="1512"/>
      <c r="D192" s="1512"/>
      <c r="E192" s="1512"/>
      <c r="F192" s="1512"/>
      <c r="G192" s="1513"/>
      <c r="H192" s="342"/>
      <c r="I192" s="1361"/>
      <c r="J192" s="1362"/>
      <c r="K192" s="1362"/>
      <c r="L192" s="1534">
        <f>SUM(R178:S191)</f>
        <v>0</v>
      </c>
      <c r="M192" s="1535"/>
      <c r="N192" s="1535"/>
      <c r="O192" s="1535"/>
      <c r="P192" s="1535"/>
      <c r="Q192" s="338"/>
      <c r="R192" s="1495"/>
      <c r="S192" s="1496"/>
      <c r="U192" s="334"/>
      <c r="Y192" s="74"/>
      <c r="Z192" s="152">
        <f>SUM(Z178:Z190)</f>
        <v>0.04</v>
      </c>
      <c r="AA192" s="78"/>
      <c r="AB192" s="194"/>
    </row>
    <row r="193" spans="1:28" ht="15" customHeight="1" thickBot="1" x14ac:dyDescent="0.3">
      <c r="A193" s="1595"/>
      <c r="B193" s="1497" t="s">
        <v>429</v>
      </c>
      <c r="C193" s="1498"/>
      <c r="D193" s="1498"/>
      <c r="E193" s="1498"/>
      <c r="F193" s="1498"/>
      <c r="G193" s="1499"/>
      <c r="H193" s="1194" t="s">
        <v>100</v>
      </c>
      <c r="I193" s="1016">
        <f>Z234</f>
        <v>2.1999999999999999E-2</v>
      </c>
      <c r="J193" s="1027">
        <f>I115*I193</f>
        <v>0</v>
      </c>
      <c r="K193" s="1028"/>
      <c r="L193" s="1285" t="s">
        <v>430</v>
      </c>
      <c r="M193" s="1286"/>
      <c r="N193" s="1286"/>
      <c r="O193" s="1286"/>
      <c r="P193" s="1287"/>
      <c r="Q193" s="1294" t="s">
        <v>99</v>
      </c>
      <c r="R193" s="1626"/>
      <c r="S193" s="1297"/>
      <c r="T193" s="1257" t="str">
        <f>IFERROR(IF((VLOOKUP(U193,Überblick!$M$125:$N$133,2))="ja","ja","nein"),"")</f>
        <v/>
      </c>
      <c r="U193" s="1337"/>
      <c r="V193" s="72">
        <f>IF(AND(Q193="ja",R193=""),1,0)</f>
        <v>1</v>
      </c>
      <c r="Y193" s="74">
        <v>0.17499999999999999</v>
      </c>
      <c r="Z193" s="77">
        <f>IF(H193="ja",Y193,0)</f>
        <v>0</v>
      </c>
      <c r="AA193" s="78"/>
      <c r="AB193" s="194"/>
    </row>
    <row r="194" spans="1:28" ht="14.55" thickBot="1" x14ac:dyDescent="0.3">
      <c r="A194" s="1595"/>
      <c r="B194" s="1493"/>
      <c r="C194" s="1317"/>
      <c r="D194" s="1317"/>
      <c r="E194" s="1317"/>
      <c r="F194" s="1317"/>
      <c r="G194" s="1494"/>
      <c r="H194" s="982"/>
      <c r="I194" s="1017"/>
      <c r="J194" s="1029"/>
      <c r="K194" s="1030"/>
      <c r="L194" s="1288"/>
      <c r="M194" s="1289"/>
      <c r="N194" s="1289"/>
      <c r="O194" s="1289"/>
      <c r="P194" s="1290"/>
      <c r="Q194" s="1003"/>
      <c r="R194" s="1627"/>
      <c r="S194" s="1008"/>
      <c r="T194" s="1258"/>
      <c r="U194" s="1337"/>
      <c r="Y194" s="74"/>
      <c r="Z194" s="77"/>
      <c r="AA194" s="78"/>
      <c r="AB194" s="194"/>
    </row>
    <row r="195" spans="1:28" ht="14.55" thickBot="1" x14ac:dyDescent="0.3">
      <c r="A195" s="1595"/>
      <c r="B195" s="1493"/>
      <c r="C195" s="1317"/>
      <c r="D195" s="1317"/>
      <c r="E195" s="1317"/>
      <c r="F195" s="1317"/>
      <c r="G195" s="1494"/>
      <c r="H195" s="982"/>
      <c r="I195" s="1017"/>
      <c r="J195" s="1029"/>
      <c r="K195" s="1030"/>
      <c r="L195" s="1288"/>
      <c r="M195" s="1289"/>
      <c r="N195" s="1289"/>
      <c r="O195" s="1289"/>
      <c r="P195" s="1290"/>
      <c r="Q195" s="1003"/>
      <c r="R195" s="1627"/>
      <c r="S195" s="1008"/>
      <c r="T195" s="1258"/>
      <c r="U195" s="1337"/>
      <c r="Y195" s="74"/>
      <c r="Z195" s="77"/>
      <c r="AA195" s="78"/>
      <c r="AB195" s="194"/>
    </row>
    <row r="196" spans="1:28" ht="14.55" thickBot="1" x14ac:dyDescent="0.3">
      <c r="A196" s="1595"/>
      <c r="B196" s="1493"/>
      <c r="C196" s="1317"/>
      <c r="D196" s="1317"/>
      <c r="E196" s="1317"/>
      <c r="F196" s="1317"/>
      <c r="G196" s="1494"/>
      <c r="H196" s="982"/>
      <c r="I196" s="1017"/>
      <c r="J196" s="1029"/>
      <c r="K196" s="1030"/>
      <c r="L196" s="1288"/>
      <c r="M196" s="1289"/>
      <c r="N196" s="1289"/>
      <c r="O196" s="1289"/>
      <c r="P196" s="1290"/>
      <c r="Q196" s="1003"/>
      <c r="R196" s="1627"/>
      <c r="S196" s="1008"/>
      <c r="T196" s="1258"/>
      <c r="U196" s="1337"/>
      <c r="V196" s="72">
        <f>IF(AND(Q196="ja",R196=""),1,0)</f>
        <v>0</v>
      </c>
      <c r="Y196" s="74"/>
      <c r="Z196" s="77"/>
      <c r="AA196" s="78"/>
      <c r="AB196" s="194"/>
    </row>
    <row r="197" spans="1:28" ht="14.55" thickBot="1" x14ac:dyDescent="0.3">
      <c r="A197" s="1595"/>
      <c r="B197" s="1493"/>
      <c r="C197" s="1317"/>
      <c r="D197" s="1317"/>
      <c r="E197" s="1317"/>
      <c r="F197" s="1317"/>
      <c r="G197" s="1494"/>
      <c r="H197" s="982"/>
      <c r="I197" s="1017"/>
      <c r="J197" s="1029"/>
      <c r="K197" s="1030"/>
      <c r="L197" s="1288"/>
      <c r="M197" s="1289"/>
      <c r="N197" s="1289"/>
      <c r="O197" s="1289"/>
      <c r="P197" s="1290"/>
      <c r="Q197" s="1003"/>
      <c r="R197" s="1627"/>
      <c r="S197" s="1008"/>
      <c r="T197" s="1258"/>
      <c r="U197" s="1337"/>
      <c r="Y197" s="74"/>
      <c r="Z197" s="77"/>
      <c r="AA197" s="78"/>
      <c r="AB197" s="194"/>
    </row>
    <row r="198" spans="1:28" ht="14.55" thickBot="1" x14ac:dyDescent="0.3">
      <c r="A198" s="1595"/>
      <c r="B198" s="1493"/>
      <c r="C198" s="1317"/>
      <c r="D198" s="1317"/>
      <c r="E198" s="1317"/>
      <c r="F198" s="1317"/>
      <c r="G198" s="1494"/>
      <c r="H198" s="982"/>
      <c r="I198" s="1017"/>
      <c r="J198" s="1029"/>
      <c r="K198" s="1030"/>
      <c r="L198" s="1288"/>
      <c r="M198" s="1289"/>
      <c r="N198" s="1289"/>
      <c r="O198" s="1289"/>
      <c r="P198" s="1290"/>
      <c r="Q198" s="1003"/>
      <c r="R198" s="1627"/>
      <c r="S198" s="1008"/>
      <c r="T198" s="1258"/>
      <c r="U198" s="1337"/>
      <c r="Y198" s="74"/>
      <c r="Z198" s="77"/>
      <c r="AA198" s="78"/>
      <c r="AB198" s="194"/>
    </row>
    <row r="199" spans="1:28" ht="14.55" thickBot="1" x14ac:dyDescent="0.3">
      <c r="A199" s="1595"/>
      <c r="B199" s="1490"/>
      <c r="C199" s="1491"/>
      <c r="D199" s="1491"/>
      <c r="E199" s="1491"/>
      <c r="F199" s="1491"/>
      <c r="G199" s="1492"/>
      <c r="H199" s="983"/>
      <c r="I199" s="1017"/>
      <c r="J199" s="1029"/>
      <c r="K199" s="1030"/>
      <c r="L199" s="1288"/>
      <c r="M199" s="1289"/>
      <c r="N199" s="1289"/>
      <c r="O199" s="1289"/>
      <c r="P199" s="1290"/>
      <c r="Q199" s="1003"/>
      <c r="R199" s="1627"/>
      <c r="S199" s="1008"/>
      <c r="T199" s="1258"/>
      <c r="U199" s="1337"/>
      <c r="V199" s="72">
        <f>IF(AND(Q199="ja",R199=""),1,0)</f>
        <v>0</v>
      </c>
      <c r="Y199" s="74"/>
      <c r="Z199" s="77"/>
      <c r="AA199" s="78"/>
      <c r="AB199" s="194"/>
    </row>
    <row r="200" spans="1:28" ht="14.55" thickBot="1" x14ac:dyDescent="0.3">
      <c r="A200" s="1595"/>
      <c r="B200" s="1103" t="s">
        <v>431</v>
      </c>
      <c r="C200" s="1104"/>
      <c r="D200" s="1104"/>
      <c r="E200" s="1104"/>
      <c r="F200" s="1104"/>
      <c r="G200" s="1105"/>
      <c r="H200" s="314" t="s">
        <v>100</v>
      </c>
      <c r="I200" s="1017"/>
      <c r="J200" s="1029"/>
      <c r="K200" s="1030"/>
      <c r="L200" s="1288"/>
      <c r="M200" s="1289"/>
      <c r="N200" s="1289"/>
      <c r="O200" s="1289"/>
      <c r="P200" s="1290"/>
      <c r="Q200" s="1003"/>
      <c r="R200" s="1627"/>
      <c r="S200" s="1008"/>
      <c r="T200" s="1258"/>
      <c r="U200" s="1337"/>
      <c r="Y200" s="74">
        <v>3.0000000000000001E-3</v>
      </c>
      <c r="Z200" s="77">
        <f>IF(H200="ja",Y200,0)</f>
        <v>0</v>
      </c>
      <c r="AA200" s="78"/>
      <c r="AB200" s="194"/>
    </row>
    <row r="201" spans="1:28" ht="14.55" thickBot="1" x14ac:dyDescent="0.3">
      <c r="A201" s="1595"/>
      <c r="B201" s="1487" t="s">
        <v>432</v>
      </c>
      <c r="C201" s="1488"/>
      <c r="D201" s="1488"/>
      <c r="E201" s="1488"/>
      <c r="F201" s="1488"/>
      <c r="G201" s="1489"/>
      <c r="H201" s="981" t="s">
        <v>100</v>
      </c>
      <c r="I201" s="1017"/>
      <c r="J201" s="1029"/>
      <c r="K201" s="1030"/>
      <c r="L201" s="1288"/>
      <c r="M201" s="1289"/>
      <c r="N201" s="1289"/>
      <c r="O201" s="1289"/>
      <c r="P201" s="1290"/>
      <c r="Q201" s="1003"/>
      <c r="R201" s="1627"/>
      <c r="S201" s="1008"/>
      <c r="T201" s="1258"/>
      <c r="U201" s="1337"/>
      <c r="Y201" s="74">
        <v>6.4999999999999997E-3</v>
      </c>
      <c r="Z201" s="77">
        <f>IF(H201="ja",Y201,0)</f>
        <v>0</v>
      </c>
      <c r="AA201" s="78"/>
      <c r="AB201" s="194"/>
    </row>
    <row r="202" spans="1:28" ht="14.55" thickBot="1" x14ac:dyDescent="0.3">
      <c r="A202" s="1595"/>
      <c r="B202" s="1490"/>
      <c r="C202" s="1491"/>
      <c r="D202" s="1491"/>
      <c r="E202" s="1491"/>
      <c r="F202" s="1491"/>
      <c r="G202" s="1492"/>
      <c r="H202" s="983"/>
      <c r="I202" s="1017"/>
      <c r="J202" s="1029"/>
      <c r="K202" s="1030"/>
      <c r="L202" s="1288"/>
      <c r="M202" s="1289"/>
      <c r="N202" s="1289"/>
      <c r="O202" s="1289"/>
      <c r="P202" s="1290"/>
      <c r="Q202" s="1295"/>
      <c r="R202" s="1628"/>
      <c r="S202" s="1270"/>
      <c r="T202" s="1258"/>
      <c r="U202" s="1337"/>
      <c r="V202" s="72">
        <f>IF(AND(Q203="ja",R203=""),1,0)</f>
        <v>1</v>
      </c>
      <c r="Y202" s="74"/>
      <c r="Z202" s="77"/>
      <c r="AA202" s="78"/>
      <c r="AB202" s="194"/>
    </row>
    <row r="203" spans="1:28" ht="14.55" thickBot="1" x14ac:dyDescent="0.3">
      <c r="A203" s="1595"/>
      <c r="B203" s="1103" t="s">
        <v>433</v>
      </c>
      <c r="C203" s="1104"/>
      <c r="D203" s="1104"/>
      <c r="E203" s="1104"/>
      <c r="F203" s="1104"/>
      <c r="G203" s="1105"/>
      <c r="H203" s="314" t="s">
        <v>100</v>
      </c>
      <c r="I203" s="1017"/>
      <c r="J203" s="1029"/>
      <c r="K203" s="1030"/>
      <c r="L203" s="1484" t="s">
        <v>247</v>
      </c>
      <c r="M203" s="1485"/>
      <c r="N203" s="1485"/>
      <c r="O203" s="1485"/>
      <c r="P203" s="1486"/>
      <c r="Q203" s="979" t="s">
        <v>99</v>
      </c>
      <c r="R203" s="1007"/>
      <c r="S203" s="1008"/>
      <c r="T203" s="1258"/>
      <c r="U203" s="1337"/>
      <c r="Y203" s="74">
        <v>5.0000000000000001E-3</v>
      </c>
      <c r="Z203" s="77">
        <f>IF(H203="ja",Y203,0)</f>
        <v>0</v>
      </c>
      <c r="AA203" s="78"/>
      <c r="AB203" s="194"/>
    </row>
    <row r="204" spans="1:28" ht="14.55" thickBot="1" x14ac:dyDescent="0.3">
      <c r="A204" s="1595"/>
      <c r="B204" s="1487" t="s">
        <v>434</v>
      </c>
      <c r="C204" s="1488"/>
      <c r="D204" s="1488"/>
      <c r="E204" s="1488"/>
      <c r="F204" s="1488"/>
      <c r="G204" s="1489"/>
      <c r="H204" s="981" t="s">
        <v>99</v>
      </c>
      <c r="I204" s="1017"/>
      <c r="J204" s="1029"/>
      <c r="K204" s="1030"/>
      <c r="L204" s="1291"/>
      <c r="M204" s="1292"/>
      <c r="N204" s="1292"/>
      <c r="O204" s="1292"/>
      <c r="P204" s="1293"/>
      <c r="Q204" s="1295"/>
      <c r="R204" s="1269"/>
      <c r="S204" s="1270"/>
      <c r="T204" s="1258"/>
      <c r="U204" s="1337"/>
      <c r="Y204" s="74">
        <v>1E-3</v>
      </c>
      <c r="Z204" s="77">
        <f>IF(H204="ja",Y204,0)</f>
        <v>1E-3</v>
      </c>
      <c r="AA204" s="78"/>
      <c r="AB204" s="194"/>
    </row>
    <row r="205" spans="1:28" ht="14.55" thickBot="1" x14ac:dyDescent="0.3">
      <c r="A205" s="1595"/>
      <c r="B205" s="1493"/>
      <c r="C205" s="1317"/>
      <c r="D205" s="1317"/>
      <c r="E205" s="1317"/>
      <c r="F205" s="1317"/>
      <c r="G205" s="1494"/>
      <c r="H205" s="982"/>
      <c r="I205" s="1017"/>
      <c r="J205" s="1029"/>
      <c r="K205" s="1030"/>
      <c r="L205" s="984"/>
      <c r="M205" s="985"/>
      <c r="N205" s="985"/>
      <c r="O205" s="985"/>
      <c r="P205" s="985"/>
      <c r="Q205" s="978" t="s">
        <v>100</v>
      </c>
      <c r="R205" s="972"/>
      <c r="S205" s="973"/>
      <c r="T205" s="1258"/>
      <c r="U205" s="1337"/>
      <c r="V205" s="72">
        <f>IF(AND(Q205="ja",R205=""),1,0)</f>
        <v>0</v>
      </c>
      <c r="Y205" s="74"/>
      <c r="Z205" s="77"/>
      <c r="AA205" s="78"/>
      <c r="AB205" s="194"/>
    </row>
    <row r="206" spans="1:28" ht="14.55" thickBot="1" x14ac:dyDescent="0.3">
      <c r="A206" s="1595"/>
      <c r="B206" s="1490"/>
      <c r="C206" s="1491"/>
      <c r="D206" s="1491"/>
      <c r="E206" s="1491"/>
      <c r="F206" s="1491"/>
      <c r="G206" s="1492"/>
      <c r="H206" s="983"/>
      <c r="I206" s="1017"/>
      <c r="J206" s="1029"/>
      <c r="K206" s="1030"/>
      <c r="L206" s="984"/>
      <c r="M206" s="985"/>
      <c r="N206" s="985"/>
      <c r="O206" s="985"/>
      <c r="P206" s="985"/>
      <c r="Q206" s="978"/>
      <c r="R206" s="972"/>
      <c r="S206" s="973"/>
      <c r="T206" s="1258"/>
      <c r="U206" s="1337"/>
      <c r="Y206" s="74"/>
      <c r="Z206" s="77"/>
      <c r="AA206" s="78"/>
      <c r="AB206" s="194"/>
    </row>
    <row r="207" spans="1:28" ht="14.55" thickBot="1" x14ac:dyDescent="0.3">
      <c r="A207" s="1595"/>
      <c r="B207" s="1103" t="s">
        <v>435</v>
      </c>
      <c r="C207" s="1104"/>
      <c r="D207" s="1104"/>
      <c r="E207" s="1104"/>
      <c r="F207" s="1104"/>
      <c r="G207" s="1105"/>
      <c r="H207" s="314" t="s">
        <v>100</v>
      </c>
      <c r="I207" s="1017"/>
      <c r="J207" s="1029"/>
      <c r="K207" s="1030"/>
      <c r="L207" s="984"/>
      <c r="M207" s="985"/>
      <c r="N207" s="985"/>
      <c r="O207" s="985"/>
      <c r="P207" s="985"/>
      <c r="Q207" s="978"/>
      <c r="R207" s="972"/>
      <c r="S207" s="973"/>
      <c r="T207" s="1258"/>
      <c r="U207" s="1337"/>
      <c r="Y207" s="74">
        <v>2.2499999999999999E-2</v>
      </c>
      <c r="Z207" s="77">
        <f>IF(H207="ja",Y207,0)</f>
        <v>0</v>
      </c>
      <c r="AA207" s="78"/>
      <c r="AB207" s="194"/>
    </row>
    <row r="208" spans="1:28" ht="14.55" thickBot="1" x14ac:dyDescent="0.3">
      <c r="A208" s="1595"/>
      <c r="B208" s="1487" t="s">
        <v>436</v>
      </c>
      <c r="C208" s="1488"/>
      <c r="D208" s="1488"/>
      <c r="E208" s="1488"/>
      <c r="F208" s="1488"/>
      <c r="G208" s="1489"/>
      <c r="H208" s="981" t="s">
        <v>100</v>
      </c>
      <c r="I208" s="1017"/>
      <c r="J208" s="1029"/>
      <c r="K208" s="1030"/>
      <c r="L208" s="984" t="s">
        <v>437</v>
      </c>
      <c r="M208" s="985"/>
      <c r="N208" s="985"/>
      <c r="O208" s="985"/>
      <c r="P208" s="985"/>
      <c r="Q208" s="978" t="s">
        <v>99</v>
      </c>
      <c r="R208" s="972"/>
      <c r="S208" s="973"/>
      <c r="T208" s="1258"/>
      <c r="U208" s="1337"/>
      <c r="V208" s="72">
        <f>IF(AND(Q208="ja",R208=""),1,0)</f>
        <v>1</v>
      </c>
      <c r="Y208" s="74">
        <v>6.5000000000000002E-2</v>
      </c>
      <c r="Z208" s="77">
        <f>IF(H208="ja",Y208,0)</f>
        <v>0</v>
      </c>
      <c r="AA208" s="78"/>
      <c r="AB208" s="194"/>
    </row>
    <row r="209" spans="1:28" ht="14.55" thickBot="1" x14ac:dyDescent="0.3">
      <c r="A209" s="1595"/>
      <c r="B209" s="1493"/>
      <c r="C209" s="1317"/>
      <c r="D209" s="1317"/>
      <c r="E209" s="1317"/>
      <c r="F209" s="1317"/>
      <c r="G209" s="1494"/>
      <c r="H209" s="982"/>
      <c r="I209" s="1017"/>
      <c r="J209" s="1029"/>
      <c r="K209" s="1030"/>
      <c r="L209" s="984"/>
      <c r="M209" s="985"/>
      <c r="N209" s="985"/>
      <c r="O209" s="985"/>
      <c r="P209" s="985"/>
      <c r="Q209" s="978"/>
      <c r="R209" s="972"/>
      <c r="S209" s="973"/>
      <c r="T209" s="1258"/>
      <c r="U209" s="1337"/>
      <c r="Y209" s="74"/>
      <c r="Z209" s="77"/>
      <c r="AA209" s="78"/>
      <c r="AB209" s="194"/>
    </row>
    <row r="210" spans="1:28" ht="14.55" thickBot="1" x14ac:dyDescent="0.3">
      <c r="A210" s="159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194"/>
    </row>
    <row r="211" spans="1:28" ht="15" customHeight="1" thickBot="1" x14ac:dyDescent="0.3">
      <c r="A211" s="1595"/>
      <c r="B211" s="1490"/>
      <c r="C211" s="1491"/>
      <c r="D211" s="1491"/>
      <c r="E211" s="1491"/>
      <c r="F211" s="1491"/>
      <c r="G211" s="1492"/>
      <c r="H211" s="983"/>
      <c r="I211" s="1017"/>
      <c r="J211" s="1029"/>
      <c r="K211" s="1030"/>
      <c r="L211" s="1484" t="s">
        <v>438</v>
      </c>
      <c r="M211" s="1485"/>
      <c r="N211" s="1485"/>
      <c r="O211" s="1485"/>
      <c r="P211" s="1486"/>
      <c r="Q211" s="979" t="s">
        <v>99</v>
      </c>
      <c r="R211" s="1005"/>
      <c r="S211" s="1006"/>
      <c r="T211" s="1258"/>
      <c r="U211" s="1337"/>
      <c r="V211" s="72">
        <f>IF(AND(Q211="ja",R211=""),1,0)</f>
        <v>1</v>
      </c>
      <c r="Y211" s="74"/>
      <c r="Z211" s="77"/>
      <c r="AA211" s="78"/>
      <c r="AB211" s="194"/>
    </row>
    <row r="212" spans="1:28" ht="14.55" thickBot="1" x14ac:dyDescent="0.3">
      <c r="A212" s="1595"/>
      <c r="B212" s="1487" t="s">
        <v>439</v>
      </c>
      <c r="C212" s="1488"/>
      <c r="D212" s="1488"/>
      <c r="E212" s="1488"/>
      <c r="F212" s="1488"/>
      <c r="G212" s="1489"/>
      <c r="H212" s="981" t="s">
        <v>100</v>
      </c>
      <c r="I212" s="1017"/>
      <c r="J212" s="1029"/>
      <c r="K212" s="1030"/>
      <c r="L212" s="1288"/>
      <c r="M212" s="1289"/>
      <c r="N212" s="1289"/>
      <c r="O212" s="1289"/>
      <c r="P212" s="1290"/>
      <c r="Q212" s="1003"/>
      <c r="R212" s="1007"/>
      <c r="S212" s="1008"/>
      <c r="T212" s="1258"/>
      <c r="U212" s="1337"/>
      <c r="Y212" s="74">
        <v>8.5000000000000006E-3</v>
      </c>
      <c r="Z212" s="77">
        <f>IF(H212="ja",Y212,0)</f>
        <v>0</v>
      </c>
      <c r="AA212" s="78"/>
      <c r="AB212" s="194"/>
    </row>
    <row r="213" spans="1:28" ht="14.55" thickBot="1" x14ac:dyDescent="0.3">
      <c r="A213" s="1595"/>
      <c r="B213" s="1493"/>
      <c r="C213" s="1317"/>
      <c r="D213" s="1317"/>
      <c r="E213" s="1317"/>
      <c r="F213" s="1317"/>
      <c r="G213" s="1494"/>
      <c r="H213" s="982"/>
      <c r="I213" s="1017"/>
      <c r="J213" s="1029"/>
      <c r="K213" s="1030"/>
      <c r="L213" s="1288"/>
      <c r="M213" s="1289"/>
      <c r="N213" s="1289"/>
      <c r="O213" s="1289"/>
      <c r="P213" s="1290"/>
      <c r="Q213" s="1003"/>
      <c r="R213" s="1007"/>
      <c r="S213" s="1008"/>
      <c r="T213" s="1258"/>
      <c r="U213" s="1337"/>
      <c r="Y213" s="74"/>
      <c r="Z213" s="77"/>
      <c r="AA213" s="78"/>
      <c r="AB213" s="194"/>
    </row>
    <row r="214" spans="1:28" ht="14.55" thickBot="1" x14ac:dyDescent="0.3">
      <c r="A214" s="1595"/>
      <c r="B214" s="1493"/>
      <c r="C214" s="1317"/>
      <c r="D214" s="1317"/>
      <c r="E214" s="1317"/>
      <c r="F214" s="1317"/>
      <c r="G214" s="1494"/>
      <c r="H214" s="982"/>
      <c r="I214" s="1017"/>
      <c r="J214" s="1029"/>
      <c r="K214" s="1030"/>
      <c r="L214" s="1288"/>
      <c r="M214" s="1289"/>
      <c r="N214" s="1289"/>
      <c r="O214" s="1289"/>
      <c r="P214" s="1290"/>
      <c r="Q214" s="1003"/>
      <c r="R214" s="1007"/>
      <c r="S214" s="1008"/>
      <c r="T214" s="1258"/>
      <c r="U214" s="1337"/>
      <c r="V214" s="72">
        <f>IF(AND(Q214="ja",R214=""),1,0)</f>
        <v>0</v>
      </c>
      <c r="Y214" s="74"/>
      <c r="Z214" s="77"/>
      <c r="AA214" s="78"/>
      <c r="AB214" s="194"/>
    </row>
    <row r="215" spans="1:28" ht="14.55" thickBot="1" x14ac:dyDescent="0.3">
      <c r="A215" s="1595"/>
      <c r="B215" s="1490"/>
      <c r="C215" s="1491"/>
      <c r="D215" s="1491"/>
      <c r="E215" s="1491"/>
      <c r="F215" s="1491"/>
      <c r="G215" s="1492"/>
      <c r="H215" s="983"/>
      <c r="I215" s="1017"/>
      <c r="J215" s="1029"/>
      <c r="K215" s="1030"/>
      <c r="L215" s="1288"/>
      <c r="M215" s="1289"/>
      <c r="N215" s="1289"/>
      <c r="O215" s="1289"/>
      <c r="P215" s="1290"/>
      <c r="Q215" s="1003"/>
      <c r="R215" s="1007"/>
      <c r="S215" s="1008"/>
      <c r="T215" s="1258"/>
      <c r="U215" s="1337"/>
      <c r="Y215" s="74"/>
      <c r="Z215" s="77"/>
      <c r="AA215" s="78"/>
      <c r="AB215" s="194"/>
    </row>
    <row r="216" spans="1:28" ht="14.55" thickBot="1" x14ac:dyDescent="0.3">
      <c r="A216" s="1595"/>
      <c r="B216" s="1103" t="s">
        <v>440</v>
      </c>
      <c r="C216" s="1104"/>
      <c r="D216" s="1104"/>
      <c r="E216" s="1104"/>
      <c r="F216" s="1104"/>
      <c r="G216" s="1105"/>
      <c r="H216" s="314" t="s">
        <v>100</v>
      </c>
      <c r="I216" s="1017"/>
      <c r="J216" s="1029"/>
      <c r="K216" s="1030"/>
      <c r="L216" s="1291"/>
      <c r="M216" s="1292"/>
      <c r="N216" s="1292"/>
      <c r="O216" s="1292"/>
      <c r="P216" s="1293"/>
      <c r="Q216" s="1295"/>
      <c r="R216" s="1269"/>
      <c r="S216" s="1270"/>
      <c r="T216" s="1258"/>
      <c r="U216" s="1337"/>
      <c r="Y216" s="74">
        <v>8.0000000000000002E-3</v>
      </c>
      <c r="Z216" s="77">
        <f>IF(H216="ja",Y216,0)</f>
        <v>0</v>
      </c>
      <c r="AA216" s="78"/>
      <c r="AB216" s="194"/>
    </row>
    <row r="217" spans="1:28" ht="15" customHeight="1" thickBot="1" x14ac:dyDescent="0.3">
      <c r="A217" s="1595"/>
      <c r="B217" s="1103" t="s">
        <v>441</v>
      </c>
      <c r="C217" s="1104"/>
      <c r="D217" s="1104"/>
      <c r="E217" s="1104"/>
      <c r="F217" s="1104"/>
      <c r="G217" s="1105"/>
      <c r="H217" s="314" t="s">
        <v>99</v>
      </c>
      <c r="I217" s="1017"/>
      <c r="J217" s="1029"/>
      <c r="K217" s="1030"/>
      <c r="L217" s="1484" t="s">
        <v>442</v>
      </c>
      <c r="M217" s="1485"/>
      <c r="N217" s="1485"/>
      <c r="O217" s="1485"/>
      <c r="P217" s="1486"/>
      <c r="Q217" s="979" t="s">
        <v>99</v>
      </c>
      <c r="R217" s="1005"/>
      <c r="S217" s="1006"/>
      <c r="T217" s="1258"/>
      <c r="U217" s="1337"/>
      <c r="V217" s="72">
        <f>IF(AND(Q217="ja",R217=""),1,0)</f>
        <v>1</v>
      </c>
      <c r="Y217" s="74">
        <v>5.0000000000000001E-3</v>
      </c>
      <c r="Z217" s="77">
        <f>IF(H217="ja",Y217,0)</f>
        <v>5.0000000000000001E-3</v>
      </c>
      <c r="AA217" s="78"/>
      <c r="AB217" s="194"/>
    </row>
    <row r="218" spans="1:28" ht="14.55" thickBot="1" x14ac:dyDescent="0.3">
      <c r="A218" s="1595"/>
      <c r="B218" s="1487" t="s">
        <v>443</v>
      </c>
      <c r="C218" s="1488"/>
      <c r="D218" s="1488"/>
      <c r="E218" s="1488"/>
      <c r="F218" s="1488"/>
      <c r="G218" s="1489"/>
      <c r="H218" s="981" t="s">
        <v>100</v>
      </c>
      <c r="I218" s="1017"/>
      <c r="J218" s="1029"/>
      <c r="K218" s="1030"/>
      <c r="L218" s="1288"/>
      <c r="M218" s="1289"/>
      <c r="N218" s="1289"/>
      <c r="O218" s="1289"/>
      <c r="P218" s="1290"/>
      <c r="Q218" s="1003"/>
      <c r="R218" s="1007"/>
      <c r="S218" s="1008"/>
      <c r="T218" s="1258"/>
      <c r="U218" s="1337"/>
      <c r="Y218" s="74">
        <v>2.5000000000000001E-2</v>
      </c>
      <c r="Z218" s="77">
        <f>IF(H218="ja",Y218,0)</f>
        <v>0</v>
      </c>
      <c r="AA218" s="78"/>
      <c r="AB218" s="194"/>
    </row>
    <row r="219" spans="1:28" ht="14.55" thickBot="1" x14ac:dyDescent="0.3">
      <c r="A219" s="1595"/>
      <c r="B219" s="1493"/>
      <c r="C219" s="1317"/>
      <c r="D219" s="1317"/>
      <c r="E219" s="1317"/>
      <c r="F219" s="1317"/>
      <c r="G219" s="1494"/>
      <c r="H219" s="982"/>
      <c r="I219" s="1017"/>
      <c r="J219" s="1029"/>
      <c r="K219" s="1030"/>
      <c r="L219" s="1288"/>
      <c r="M219" s="1289"/>
      <c r="N219" s="1289"/>
      <c r="O219" s="1289"/>
      <c r="P219" s="1290"/>
      <c r="Q219" s="1003"/>
      <c r="R219" s="1007"/>
      <c r="S219" s="1008"/>
      <c r="T219" s="1258"/>
      <c r="U219" s="1337"/>
      <c r="Y219" s="74"/>
      <c r="Z219" s="77"/>
      <c r="AA219" s="78"/>
      <c r="AB219" s="194"/>
    </row>
    <row r="220" spans="1:28" ht="14.55" thickBot="1" x14ac:dyDescent="0.3">
      <c r="A220" s="159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V220" s="72">
        <f>IF(AND(Q220="ja",R220=""),1,0)</f>
        <v>0</v>
      </c>
      <c r="Y220" s="74"/>
      <c r="Z220" s="77"/>
      <c r="AA220" s="78"/>
      <c r="AB220" s="194"/>
    </row>
    <row r="221" spans="1:28" ht="14.55" thickBot="1" x14ac:dyDescent="0.3">
      <c r="A221" s="1595"/>
      <c r="B221" s="1490"/>
      <c r="C221" s="1491"/>
      <c r="D221" s="1491"/>
      <c r="E221" s="1491"/>
      <c r="F221" s="1491"/>
      <c r="G221" s="1492"/>
      <c r="H221" s="983"/>
      <c r="I221" s="1017"/>
      <c r="J221" s="1029"/>
      <c r="K221" s="1030"/>
      <c r="L221" s="1288"/>
      <c r="M221" s="1289"/>
      <c r="N221" s="1289"/>
      <c r="O221" s="1289"/>
      <c r="P221" s="1290"/>
      <c r="Q221" s="1003"/>
      <c r="R221" s="1007"/>
      <c r="S221" s="1008"/>
      <c r="T221" s="1258"/>
      <c r="U221" s="1337"/>
      <c r="Y221" s="74"/>
      <c r="Z221" s="77"/>
      <c r="AA221" s="78"/>
      <c r="AB221" s="194"/>
    </row>
    <row r="222" spans="1:28" ht="14.55" thickBot="1" x14ac:dyDescent="0.3">
      <c r="A222" s="1595"/>
      <c r="B222" s="1103" t="s">
        <v>444</v>
      </c>
      <c r="C222" s="1104"/>
      <c r="D222" s="1104"/>
      <c r="E222" s="1104"/>
      <c r="F222" s="1104"/>
      <c r="G222" s="1105"/>
      <c r="H222" s="314" t="s">
        <v>99</v>
      </c>
      <c r="I222" s="1017"/>
      <c r="J222" s="1029"/>
      <c r="K222" s="1030"/>
      <c r="L222" s="1288"/>
      <c r="M222" s="1289"/>
      <c r="N222" s="1289"/>
      <c r="O222" s="1289"/>
      <c r="P222" s="1290"/>
      <c r="Q222" s="1003"/>
      <c r="R222" s="1007"/>
      <c r="S222" s="1008"/>
      <c r="T222" s="1258"/>
      <c r="U222" s="1337"/>
      <c r="Y222" s="74">
        <v>1E-3</v>
      </c>
      <c r="Z222" s="77">
        <f>IF(H222="ja",Y222,0)</f>
        <v>1E-3</v>
      </c>
      <c r="AA222" s="78"/>
      <c r="AB222" s="194"/>
    </row>
    <row r="223" spans="1:28" ht="14.55" thickBot="1" x14ac:dyDescent="0.3">
      <c r="A223" s="1595"/>
      <c r="B223" s="1487" t="s">
        <v>445</v>
      </c>
      <c r="C223" s="1488"/>
      <c r="D223" s="1488"/>
      <c r="E223" s="1488"/>
      <c r="F223" s="1488"/>
      <c r="G223" s="1489"/>
      <c r="H223" s="981" t="s">
        <v>100</v>
      </c>
      <c r="I223" s="1017"/>
      <c r="J223" s="1029"/>
      <c r="K223" s="1030"/>
      <c r="L223" s="1288"/>
      <c r="M223" s="1289"/>
      <c r="N223" s="1289"/>
      <c r="O223" s="1289"/>
      <c r="P223" s="1290"/>
      <c r="Q223" s="1003"/>
      <c r="R223" s="1007"/>
      <c r="S223" s="1008"/>
      <c r="T223" s="1258"/>
      <c r="U223" s="1337"/>
      <c r="V223" s="72">
        <f>IF(AND(Q223="ja",R223=""),1,0)</f>
        <v>0</v>
      </c>
      <c r="Y223" s="74">
        <v>7.4999999999999997E-3</v>
      </c>
      <c r="Z223" s="77">
        <f>IF(H223="ja",Y223,0)</f>
        <v>0</v>
      </c>
      <c r="AA223" s="78"/>
      <c r="AB223" s="194"/>
    </row>
    <row r="224" spans="1:28" ht="14.55" thickBot="1" x14ac:dyDescent="0.3">
      <c r="A224" s="1595"/>
      <c r="B224" s="1493"/>
      <c r="C224" s="1317"/>
      <c r="D224" s="1317"/>
      <c r="E224" s="1317"/>
      <c r="F224" s="1317"/>
      <c r="G224" s="1494"/>
      <c r="H224" s="982"/>
      <c r="I224" s="1017"/>
      <c r="J224" s="1029"/>
      <c r="K224" s="1030"/>
      <c r="L224" s="1288"/>
      <c r="M224" s="1289"/>
      <c r="N224" s="1289"/>
      <c r="O224" s="1289"/>
      <c r="P224" s="1290"/>
      <c r="Q224" s="1003"/>
      <c r="R224" s="1007"/>
      <c r="S224" s="1008"/>
      <c r="T224" s="1258"/>
      <c r="U224" s="1337"/>
      <c r="Y224" s="74"/>
      <c r="Z224" s="77"/>
      <c r="AA224" s="78"/>
      <c r="AB224" s="194"/>
    </row>
    <row r="225" spans="1:28" ht="14.55" thickBot="1" x14ac:dyDescent="0.3">
      <c r="A225" s="1595"/>
      <c r="B225" s="1493"/>
      <c r="C225" s="1317"/>
      <c r="D225" s="1317"/>
      <c r="E225" s="1317"/>
      <c r="F225" s="1317"/>
      <c r="G225" s="1494"/>
      <c r="H225" s="982"/>
      <c r="I225" s="1017"/>
      <c r="J225" s="1029"/>
      <c r="K225" s="1030"/>
      <c r="L225" s="1291"/>
      <c r="M225" s="1292"/>
      <c r="N225" s="1292"/>
      <c r="O225" s="1292"/>
      <c r="P225" s="1293"/>
      <c r="Q225" s="1295"/>
      <c r="R225" s="1269"/>
      <c r="S225" s="1270"/>
      <c r="T225" s="1258"/>
      <c r="U225" s="1337"/>
      <c r="Y225" s="74"/>
      <c r="Z225" s="77"/>
      <c r="AA225" s="78"/>
      <c r="AB225" s="194"/>
    </row>
    <row r="226" spans="1:28" ht="14.55" thickBot="1" x14ac:dyDescent="0.3">
      <c r="A226" s="1595"/>
      <c r="B226" s="1490"/>
      <c r="C226" s="1491"/>
      <c r="D226" s="1491"/>
      <c r="E226" s="1491"/>
      <c r="F226" s="1491"/>
      <c r="G226" s="1492"/>
      <c r="H226" s="983"/>
      <c r="I226" s="1017"/>
      <c r="J226" s="1029"/>
      <c r="K226" s="1030"/>
      <c r="L226" s="984" t="s">
        <v>254</v>
      </c>
      <c r="M226" s="985"/>
      <c r="N226" s="985"/>
      <c r="O226" s="985"/>
      <c r="P226" s="985"/>
      <c r="Q226" s="978" t="s">
        <v>99</v>
      </c>
      <c r="R226" s="972"/>
      <c r="S226" s="973"/>
      <c r="T226" s="1258"/>
      <c r="U226" s="1337"/>
      <c r="V226" s="72">
        <f>IF(AND(Q226="ja",R226=""),1,0)</f>
        <v>1</v>
      </c>
      <c r="Y226" s="74"/>
      <c r="Z226" s="77"/>
      <c r="AA226" s="78"/>
      <c r="AB226" s="194"/>
    </row>
    <row r="227" spans="1:28" ht="14.55" thickBot="1" x14ac:dyDescent="0.3">
      <c r="A227" s="1595"/>
      <c r="B227" s="1487" t="s">
        <v>446</v>
      </c>
      <c r="C227" s="1488"/>
      <c r="D227" s="1488"/>
      <c r="E227" s="1488"/>
      <c r="F227" s="1488"/>
      <c r="G227" s="1489"/>
      <c r="H227" s="981" t="s">
        <v>100</v>
      </c>
      <c r="I227" s="1017"/>
      <c r="J227" s="1029"/>
      <c r="K227" s="1030"/>
      <c r="L227" s="984"/>
      <c r="M227" s="985"/>
      <c r="N227" s="985"/>
      <c r="O227" s="985"/>
      <c r="P227" s="985"/>
      <c r="Q227" s="978"/>
      <c r="R227" s="972"/>
      <c r="S227" s="973"/>
      <c r="T227" s="1258"/>
      <c r="U227" s="1337"/>
      <c r="Y227" s="74">
        <v>1E-3</v>
      </c>
      <c r="Z227" s="77">
        <f>IF(H227="ja",Y227,0)</f>
        <v>0</v>
      </c>
      <c r="AA227" s="78"/>
      <c r="AB227" s="194"/>
    </row>
    <row r="228" spans="1:28" ht="14.55" thickBot="1" x14ac:dyDescent="0.3">
      <c r="A228" s="1595"/>
      <c r="B228" s="1490"/>
      <c r="C228" s="1491"/>
      <c r="D228" s="1491"/>
      <c r="E228" s="1491"/>
      <c r="F228" s="1491"/>
      <c r="G228" s="1492"/>
      <c r="H228" s="983"/>
      <c r="I228" s="1017"/>
      <c r="J228" s="1029"/>
      <c r="K228" s="1030"/>
      <c r="L228" s="984"/>
      <c r="M228" s="985"/>
      <c r="N228" s="985"/>
      <c r="O228" s="985"/>
      <c r="P228" s="985"/>
      <c r="Q228" s="978"/>
      <c r="R228" s="972"/>
      <c r="S228" s="973"/>
      <c r="T228" s="1258"/>
      <c r="U228" s="1337"/>
      <c r="Y228" s="74"/>
      <c r="Z228" s="77"/>
      <c r="AA228" s="78"/>
      <c r="AB228" s="194"/>
    </row>
    <row r="229" spans="1:28" ht="15" customHeight="1" thickBot="1" x14ac:dyDescent="0.3">
      <c r="A229" s="1595"/>
      <c r="B229" s="1487" t="s">
        <v>270</v>
      </c>
      <c r="C229" s="1488"/>
      <c r="D229" s="1488"/>
      <c r="E229" s="1488"/>
      <c r="F229" s="1488"/>
      <c r="G229" s="1489"/>
      <c r="H229" s="981" t="s">
        <v>99</v>
      </c>
      <c r="I229" s="1017"/>
      <c r="J229" s="1029"/>
      <c r="K229" s="1030"/>
      <c r="L229" s="1484" t="s">
        <v>263</v>
      </c>
      <c r="M229" s="1485"/>
      <c r="N229" s="1485"/>
      <c r="O229" s="1485"/>
      <c r="P229" s="1486"/>
      <c r="Q229" s="979" t="s">
        <v>99</v>
      </c>
      <c r="R229" s="1005"/>
      <c r="S229" s="1006"/>
      <c r="T229" s="1258"/>
      <c r="U229" s="1337"/>
      <c r="V229" s="72">
        <f>IF(AND(Q229="ja",R229=""),1,0)</f>
        <v>1</v>
      </c>
      <c r="Y229" s="74">
        <v>1.4999999999999999E-2</v>
      </c>
      <c r="Z229" s="77">
        <f>IF(H229="ja",Y229,0)</f>
        <v>1.4999999999999999E-2</v>
      </c>
      <c r="AA229" s="78"/>
      <c r="AB229" s="194"/>
    </row>
    <row r="230" spans="1:28" ht="15.95" customHeight="1" thickBot="1" x14ac:dyDescent="0.3">
      <c r="A230" s="1595"/>
      <c r="B230" s="1490"/>
      <c r="C230" s="1491"/>
      <c r="D230" s="1491"/>
      <c r="E230" s="1491"/>
      <c r="F230" s="1491"/>
      <c r="G230" s="1492"/>
      <c r="H230" s="983"/>
      <c r="I230" s="1017"/>
      <c r="J230" s="1029"/>
      <c r="K230" s="1030"/>
      <c r="L230" s="1288"/>
      <c r="M230" s="1289"/>
      <c r="N230" s="1289"/>
      <c r="O230" s="1289"/>
      <c r="P230" s="1290"/>
      <c r="Q230" s="1003"/>
      <c r="R230" s="1007"/>
      <c r="S230" s="1008"/>
      <c r="T230" s="1258"/>
      <c r="U230" s="1337"/>
      <c r="Y230" s="74"/>
      <c r="Z230" s="77"/>
      <c r="AA230" s="78"/>
      <c r="AB230" s="194"/>
    </row>
    <row r="231" spans="1:28" ht="15.95" customHeight="1" thickBot="1" x14ac:dyDescent="0.3">
      <c r="A231" s="1595"/>
      <c r="B231" s="1487" t="s">
        <v>447</v>
      </c>
      <c r="C231" s="1488"/>
      <c r="D231" s="1488"/>
      <c r="E231" s="1488"/>
      <c r="F231" s="1488"/>
      <c r="G231" s="1489"/>
      <c r="H231" s="981" t="s">
        <v>100</v>
      </c>
      <c r="I231" s="1017"/>
      <c r="J231" s="1029"/>
      <c r="K231" s="1030"/>
      <c r="L231" s="1288"/>
      <c r="M231" s="1289"/>
      <c r="N231" s="1289"/>
      <c r="O231" s="1289"/>
      <c r="P231" s="1290"/>
      <c r="Q231" s="1003"/>
      <c r="R231" s="1007"/>
      <c r="S231" s="1008"/>
      <c r="T231" s="1258"/>
      <c r="U231" s="1337"/>
      <c r="Y231" s="74">
        <v>1E-3</v>
      </c>
      <c r="Z231" s="77">
        <f>IF(H231="ja",Y231,0)</f>
        <v>0</v>
      </c>
      <c r="AA231" s="77"/>
      <c r="AB231" s="194"/>
    </row>
    <row r="232" spans="1:28" ht="15.95" customHeight="1" thickBot="1" x14ac:dyDescent="0.3">
      <c r="A232" s="1595"/>
      <c r="B232" s="1493"/>
      <c r="C232" s="1317"/>
      <c r="D232" s="1317"/>
      <c r="E232" s="1317"/>
      <c r="F232" s="1317"/>
      <c r="G232" s="1494"/>
      <c r="H232" s="982"/>
      <c r="I232" s="1017"/>
      <c r="J232" s="1029"/>
      <c r="K232" s="1030"/>
      <c r="L232" s="1288"/>
      <c r="M232" s="1289"/>
      <c r="N232" s="1289"/>
      <c r="O232" s="1289"/>
      <c r="P232" s="1290"/>
      <c r="Q232" s="1003"/>
      <c r="R232" s="1007"/>
      <c r="S232" s="1008"/>
      <c r="T232" s="1258"/>
      <c r="U232" s="1337"/>
      <c r="V232" s="72">
        <f>IF(AND(Q232="ja",R232=""),1,0)</f>
        <v>0</v>
      </c>
      <c r="Y232" s="74"/>
      <c r="Z232" s="77"/>
      <c r="AA232" s="78"/>
      <c r="AB232" s="194"/>
    </row>
    <row r="233" spans="1:28" ht="15.95" customHeight="1" thickBot="1" x14ac:dyDescent="0.3">
      <c r="A233" s="1595"/>
      <c r="B233" s="1490"/>
      <c r="C233" s="1491"/>
      <c r="D233" s="1491"/>
      <c r="E233" s="1491"/>
      <c r="F233" s="1491"/>
      <c r="G233" s="1492"/>
      <c r="H233" s="983"/>
      <c r="I233" s="1018"/>
      <c r="J233" s="1031"/>
      <c r="K233" s="1032"/>
      <c r="L233" s="1508"/>
      <c r="M233" s="1509"/>
      <c r="N233" s="1509"/>
      <c r="O233" s="1509"/>
      <c r="P233" s="1510"/>
      <c r="Q233" s="1004"/>
      <c r="R233" s="1009"/>
      <c r="S233" s="1010"/>
      <c r="T233" s="1259"/>
      <c r="U233" s="1337"/>
      <c r="Y233" s="74"/>
      <c r="Z233" s="77"/>
      <c r="AA233" s="78"/>
      <c r="AB233" s="194"/>
    </row>
    <row r="234" spans="1:28" ht="14.55" thickBot="1" x14ac:dyDescent="0.3">
      <c r="A234" s="1595"/>
      <c r="B234" s="1511" t="s">
        <v>272</v>
      </c>
      <c r="C234" s="1512"/>
      <c r="D234" s="1512"/>
      <c r="E234" s="1512"/>
      <c r="F234" s="1512"/>
      <c r="G234" s="1513"/>
      <c r="H234" s="342"/>
      <c r="I234" s="1361"/>
      <c r="J234" s="1362"/>
      <c r="K234" s="1362"/>
      <c r="L234" s="1534">
        <f>SUM(R193:S233)</f>
        <v>0</v>
      </c>
      <c r="M234" s="1535"/>
      <c r="N234" s="1535"/>
      <c r="O234" s="1535"/>
      <c r="P234" s="1535"/>
      <c r="Q234" s="338"/>
      <c r="R234" s="1495"/>
      <c r="S234" s="1496"/>
      <c r="U234" s="334"/>
      <c r="Y234" s="74"/>
      <c r="Z234" s="152">
        <f>SUM(Z193:Z231)</f>
        <v>2.1999999999999999E-2</v>
      </c>
      <c r="AA234" s="78"/>
      <c r="AB234" s="194"/>
    </row>
    <row r="235" spans="1:28" ht="14.55" thickBot="1" x14ac:dyDescent="0.3">
      <c r="A235" s="1595"/>
      <c r="B235" s="1497" t="s">
        <v>274</v>
      </c>
      <c r="C235" s="1498"/>
      <c r="D235" s="1498"/>
      <c r="E235" s="1498"/>
      <c r="F235" s="1498"/>
      <c r="G235" s="1499"/>
      <c r="H235" s="1194" t="s">
        <v>99</v>
      </c>
      <c r="I235" s="1016">
        <f>Z244</f>
        <v>9.0000000000000011E-3</v>
      </c>
      <c r="J235" s="1027">
        <f>I235*I115</f>
        <v>0</v>
      </c>
      <c r="K235" s="1028"/>
      <c r="L235" s="984"/>
      <c r="M235" s="985"/>
      <c r="N235" s="985"/>
      <c r="O235" s="985"/>
      <c r="P235" s="985"/>
      <c r="Q235" s="978" t="s">
        <v>100</v>
      </c>
      <c r="R235" s="972"/>
      <c r="S235" s="973"/>
      <c r="T235" s="1257" t="str">
        <f>IFERROR(IF((VLOOKUP(U235,Überblick!$M$125:$N$133,2))="ja","ja","nein"),"")</f>
        <v/>
      </c>
      <c r="U235" s="1337"/>
      <c r="V235" s="72">
        <f>IF(AND(Q235="ja",R235=""),1,0)</f>
        <v>0</v>
      </c>
      <c r="Y235" s="74">
        <v>5.0000000000000001E-3</v>
      </c>
      <c r="Z235" s="77">
        <f>IF(H235="ja",Y235,0)</f>
        <v>5.0000000000000001E-3</v>
      </c>
      <c r="AA235" s="78"/>
      <c r="AB235" s="194"/>
    </row>
    <row r="236" spans="1:28" ht="14.55" thickBot="1" x14ac:dyDescent="0.3">
      <c r="A236" s="1595"/>
      <c r="B236" s="1493"/>
      <c r="C236" s="1317"/>
      <c r="D236" s="1317"/>
      <c r="E236" s="1317"/>
      <c r="F236" s="1317"/>
      <c r="G236" s="1494"/>
      <c r="H236" s="982"/>
      <c r="I236" s="1017"/>
      <c r="J236" s="1029"/>
      <c r="K236" s="1030"/>
      <c r="L236" s="984"/>
      <c r="M236" s="985"/>
      <c r="N236" s="985"/>
      <c r="O236" s="985"/>
      <c r="P236" s="985"/>
      <c r="Q236" s="978"/>
      <c r="R236" s="972"/>
      <c r="S236" s="973"/>
      <c r="T236" s="1258"/>
      <c r="U236" s="1337"/>
      <c r="Y236" s="74"/>
      <c r="Z236" s="77"/>
      <c r="AA236" s="78"/>
      <c r="AB236" s="194"/>
    </row>
    <row r="237" spans="1:28" ht="14.55" thickBot="1" x14ac:dyDescent="0.3">
      <c r="A237" s="159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194"/>
    </row>
    <row r="238" spans="1:28" ht="14.55" thickBot="1" x14ac:dyDescent="0.3">
      <c r="A238" s="1595"/>
      <c r="B238" s="1493"/>
      <c r="C238" s="1317"/>
      <c r="D238" s="1317"/>
      <c r="E238" s="1317"/>
      <c r="F238" s="1317"/>
      <c r="G238" s="1494"/>
      <c r="H238" s="982"/>
      <c r="I238" s="1017"/>
      <c r="J238" s="1029"/>
      <c r="K238" s="1030"/>
      <c r="L238" s="984"/>
      <c r="M238" s="985"/>
      <c r="N238" s="985"/>
      <c r="O238" s="985"/>
      <c r="P238" s="985"/>
      <c r="Q238" s="978" t="s">
        <v>100</v>
      </c>
      <c r="R238" s="972"/>
      <c r="S238" s="973"/>
      <c r="T238" s="1258"/>
      <c r="U238" s="1337"/>
      <c r="V238" s="72">
        <f>IF(AND(Q238="ja",R238=""),1,0)</f>
        <v>0</v>
      </c>
      <c r="Y238" s="74"/>
      <c r="Z238" s="77"/>
      <c r="AA238" s="78"/>
      <c r="AB238" s="194"/>
    </row>
    <row r="239" spans="1:28" ht="14.55" thickBot="1" x14ac:dyDescent="0.3">
      <c r="A239" s="1595"/>
      <c r="B239" s="1490"/>
      <c r="C239" s="1491"/>
      <c r="D239" s="1491"/>
      <c r="E239" s="1491"/>
      <c r="F239" s="1491"/>
      <c r="G239" s="1492"/>
      <c r="H239" s="983"/>
      <c r="I239" s="1017"/>
      <c r="J239" s="1029"/>
      <c r="K239" s="1030"/>
      <c r="L239" s="984"/>
      <c r="M239" s="985"/>
      <c r="N239" s="985"/>
      <c r="O239" s="985"/>
      <c r="P239" s="985"/>
      <c r="Q239" s="978"/>
      <c r="R239" s="972"/>
      <c r="S239" s="973"/>
      <c r="T239" s="1258"/>
      <c r="U239" s="1337"/>
      <c r="Y239" s="74"/>
      <c r="Z239" s="77"/>
      <c r="AA239" s="78"/>
      <c r="AB239" s="194"/>
    </row>
    <row r="240" spans="1:28" ht="14.55" thickBot="1" x14ac:dyDescent="0.3">
      <c r="A240" s="1595"/>
      <c r="B240" s="1487" t="s">
        <v>275</v>
      </c>
      <c r="C240" s="1488"/>
      <c r="D240" s="1488"/>
      <c r="E240" s="1488"/>
      <c r="F240" s="1488"/>
      <c r="G240" s="1489"/>
      <c r="H240" s="981" t="s">
        <v>99</v>
      </c>
      <c r="I240" s="1017"/>
      <c r="J240" s="1029"/>
      <c r="K240" s="1030"/>
      <c r="L240" s="984"/>
      <c r="M240" s="985"/>
      <c r="N240" s="985"/>
      <c r="O240" s="985"/>
      <c r="P240" s="985"/>
      <c r="Q240" s="978"/>
      <c r="R240" s="972"/>
      <c r="S240" s="973"/>
      <c r="T240" s="1258"/>
      <c r="U240" s="1337"/>
      <c r="Y240" s="74">
        <v>4.0000000000000001E-3</v>
      </c>
      <c r="Z240" s="77">
        <f>IF(H240="ja",Y240,0)</f>
        <v>4.0000000000000001E-3</v>
      </c>
      <c r="AA240" s="78"/>
      <c r="AB240" s="194"/>
    </row>
    <row r="241" spans="1:28" ht="14.55" thickBot="1" x14ac:dyDescent="0.3">
      <c r="A241" s="1595"/>
      <c r="B241" s="1493"/>
      <c r="C241" s="1317"/>
      <c r="D241" s="1317"/>
      <c r="E241" s="1317"/>
      <c r="F241" s="1317"/>
      <c r="G241" s="1494"/>
      <c r="H241" s="982"/>
      <c r="I241" s="1017"/>
      <c r="J241" s="1029"/>
      <c r="K241" s="1030"/>
      <c r="L241" s="984"/>
      <c r="M241" s="985"/>
      <c r="N241" s="985"/>
      <c r="O241" s="985"/>
      <c r="P241" s="985"/>
      <c r="Q241" s="978" t="s">
        <v>100</v>
      </c>
      <c r="R241" s="972"/>
      <c r="S241" s="973"/>
      <c r="T241" s="1258"/>
      <c r="U241" s="1337"/>
      <c r="V241" s="72">
        <f>IF(AND(Q241="ja",R241=""),1,0)</f>
        <v>0</v>
      </c>
      <c r="Y241" s="74"/>
      <c r="Z241" s="77"/>
      <c r="AB241" s="194"/>
    </row>
    <row r="242" spans="1:28" ht="14.55" thickBot="1" x14ac:dyDescent="0.3">
      <c r="A242" s="1595"/>
      <c r="B242" s="1490"/>
      <c r="C242" s="1491"/>
      <c r="D242" s="1491"/>
      <c r="E242" s="1491"/>
      <c r="F242" s="1491"/>
      <c r="G242" s="1492"/>
      <c r="H242" s="983"/>
      <c r="I242" s="1017"/>
      <c r="J242" s="1029"/>
      <c r="K242" s="1030"/>
      <c r="L242" s="984"/>
      <c r="M242" s="985"/>
      <c r="N242" s="985"/>
      <c r="O242" s="985"/>
      <c r="P242" s="985"/>
      <c r="Q242" s="978"/>
      <c r="R242" s="972"/>
      <c r="S242" s="973"/>
      <c r="T242" s="1258"/>
      <c r="U242" s="1337"/>
      <c r="Y242" s="74"/>
      <c r="Z242" s="77"/>
      <c r="AB242" s="194"/>
    </row>
    <row r="243" spans="1:28" ht="14.55" thickBot="1" x14ac:dyDescent="0.3">
      <c r="A243" s="1595"/>
      <c r="B243" s="1184" t="s">
        <v>276</v>
      </c>
      <c r="C243" s="1185"/>
      <c r="D243" s="1185"/>
      <c r="E243" s="1185"/>
      <c r="F243" s="1185"/>
      <c r="G243" s="1186"/>
      <c r="H243" s="315" t="s">
        <v>100</v>
      </c>
      <c r="I243" s="1018"/>
      <c r="J243" s="1031"/>
      <c r="K243" s="1032"/>
      <c r="L243" s="1369"/>
      <c r="M243" s="1370"/>
      <c r="N243" s="1370"/>
      <c r="O243" s="1370"/>
      <c r="P243" s="1370"/>
      <c r="Q243" s="979"/>
      <c r="R243" s="974"/>
      <c r="S243" s="975"/>
      <c r="T243" s="1259"/>
      <c r="U243" s="1337"/>
      <c r="Y243" s="74">
        <v>1E-3</v>
      </c>
      <c r="Z243" s="77">
        <f>IF(H243="ja",Y243,0)</f>
        <v>0</v>
      </c>
      <c r="AB243" s="194"/>
    </row>
    <row r="244" spans="1:28" ht="14.55" thickBot="1" x14ac:dyDescent="0.3">
      <c r="B244" s="1502" t="s">
        <v>277</v>
      </c>
      <c r="C244" s="1503"/>
      <c r="D244" s="1503"/>
      <c r="E244" s="1503"/>
      <c r="F244" s="1503"/>
      <c r="G244" s="1503"/>
      <c r="H244" s="1503"/>
      <c r="I244" s="1500">
        <f>I235+I193+I178+I154+I128+I119+I82+I55+I39+I133+I143+I144+I145+I150</f>
        <v>0.59200000000000008</v>
      </c>
      <c r="J244" s="1506">
        <f>J235+J193+J178+J154+J128+J119+J82+J55+J39+J133+J143+J144+J145+J150</f>
        <v>0</v>
      </c>
      <c r="K244" s="1161"/>
      <c r="L244" s="1355">
        <f>SUM(R235:S243)</f>
        <v>0</v>
      </c>
      <c r="M244" s="1356"/>
      <c r="N244" s="1356"/>
      <c r="O244" s="1356"/>
      <c r="P244" s="1356"/>
      <c r="Q244" s="1329"/>
      <c r="R244" s="1327">
        <f>SUM(R235:S243)+SUM(R193:S233)+SUM(R178:S191)+SUM(R154:S176)+SUM(R128:S152)+SUM(R119:S126)+SUM(R82:S114)+SUM(R55:S77)+SUM(R39:S53)</f>
        <v>0</v>
      </c>
      <c r="S244" s="1037"/>
      <c r="T244" s="1567"/>
      <c r="U244" s="1610"/>
      <c r="Z244" s="152">
        <f>SUM(Z235:Z243)</f>
        <v>9.0000000000000011E-3</v>
      </c>
    </row>
    <row r="245" spans="1:28" ht="14.55" thickBot="1" x14ac:dyDescent="0.3">
      <c r="B245" s="1504"/>
      <c r="C245" s="1505"/>
      <c r="D245" s="1505"/>
      <c r="E245" s="1505"/>
      <c r="F245" s="1505"/>
      <c r="G245" s="1505"/>
      <c r="H245" s="1505"/>
      <c r="I245" s="1501"/>
      <c r="J245" s="1507"/>
      <c r="K245" s="1163"/>
      <c r="L245" s="1359"/>
      <c r="M245" s="1360"/>
      <c r="N245" s="1360"/>
      <c r="O245" s="1360"/>
      <c r="P245" s="1360"/>
      <c r="Q245" s="1330"/>
      <c r="R245" s="1328"/>
      <c r="S245" s="1043"/>
      <c r="T245" s="1569"/>
      <c r="U245" s="1610"/>
      <c r="V245" s="72">
        <f>SUM(V39:V243)+R23</f>
        <v>17</v>
      </c>
    </row>
    <row r="247" spans="1:28" x14ac:dyDescent="0.25">
      <c r="A247" s="491" t="s">
        <v>279</v>
      </c>
      <c r="B247" s="40" t="str">
        <f>IF(B1=V1,"Honorarangebot für die zunächst beauftragten und für die optionalen Leistungen","Honorarvereinbarung für die zunächst beauftragten und für die optionalen Leistungen ")</f>
        <v>Honorarangebot für die zunächst beauftragten und für die optionalen Leistungen</v>
      </c>
      <c r="Q247" s="40"/>
      <c r="AA247" s="151"/>
    </row>
    <row r="248" spans="1:28" ht="14.55" thickBot="1" x14ac:dyDescent="0.3">
      <c r="A248" s="491"/>
    </row>
    <row r="249" spans="1:28" x14ac:dyDescent="0.25">
      <c r="A249" s="491"/>
      <c r="B249" s="941" t="s">
        <v>55</v>
      </c>
      <c r="C249" s="942"/>
      <c r="D249" s="942"/>
      <c r="E249" s="942"/>
      <c r="F249" s="943"/>
      <c r="G249" s="99"/>
      <c r="H249" s="944">
        <f>J244</f>
        <v>0</v>
      </c>
      <c r="I249" s="944"/>
      <c r="J249" s="945"/>
    </row>
    <row r="250" spans="1:28" x14ac:dyDescent="0.25">
      <c r="A250" s="491"/>
      <c r="B250" s="301"/>
      <c r="C250" s="41"/>
      <c r="D250" s="41"/>
      <c r="E250" s="41"/>
      <c r="F250" s="302"/>
      <c r="G250" s="101"/>
      <c r="H250" s="303"/>
      <c r="I250" s="303"/>
      <c r="J250" s="304"/>
    </row>
    <row r="251" spans="1:28" ht="15.95" customHeight="1" thickBot="1" x14ac:dyDescent="0.3">
      <c r="A251" s="491"/>
      <c r="B251" s="1298" t="s">
        <v>280</v>
      </c>
      <c r="C251" s="1299"/>
      <c r="D251" s="1299"/>
      <c r="E251" s="1299"/>
      <c r="F251" s="1300"/>
      <c r="G251" s="102">
        <f>F23</f>
        <v>0</v>
      </c>
      <c r="H251" s="956">
        <f>H249*G251</f>
        <v>0</v>
      </c>
      <c r="I251" s="956"/>
      <c r="J251" s="957"/>
      <c r="K251" s="96">
        <f>H249+H251</f>
        <v>0</v>
      </c>
    </row>
    <row r="252" spans="1:28" x14ac:dyDescent="0.25">
      <c r="A252" s="491"/>
      <c r="B252" s="90"/>
      <c r="C252" s="91"/>
      <c r="D252" s="91"/>
      <c r="E252" s="91"/>
      <c r="F252" s="92"/>
      <c r="G252" s="88"/>
      <c r="J252" s="89"/>
    </row>
    <row r="253" spans="1:28" x14ac:dyDescent="0.25">
      <c r="A253" s="491"/>
      <c r="B253" s="926" t="s">
        <v>57</v>
      </c>
      <c r="C253" s="927"/>
      <c r="D253" s="927"/>
      <c r="E253" s="927"/>
      <c r="F253" s="928"/>
      <c r="G253" s="101"/>
      <c r="H253" s="954">
        <f>R244</f>
        <v>0</v>
      </c>
      <c r="I253" s="954"/>
      <c r="J253" s="955"/>
    </row>
    <row r="254" spans="1:28" ht="14.55" thickBot="1" x14ac:dyDescent="0.3">
      <c r="A254" s="491"/>
      <c r="B254" s="296"/>
      <c r="C254" s="297"/>
      <c r="D254" s="297"/>
      <c r="E254" s="297"/>
      <c r="F254" s="298"/>
      <c r="G254" s="1333"/>
      <c r="H254" s="1334"/>
      <c r="I254" s="1334"/>
      <c r="J254" s="1335"/>
    </row>
    <row r="255" spans="1:28" ht="15.95" customHeight="1" thickBot="1" x14ac:dyDescent="0.3">
      <c r="A255" s="491"/>
      <c r="B255" s="929" t="s">
        <v>59</v>
      </c>
      <c r="C255" s="930"/>
      <c r="D255" s="930"/>
      <c r="E255" s="930"/>
      <c r="F255" s="931"/>
      <c r="G255" s="107"/>
      <c r="H255" s="935">
        <f>SUM(H249:J253)</f>
        <v>0</v>
      </c>
      <c r="I255" s="935"/>
      <c r="J255" s="936"/>
    </row>
    <row r="256" spans="1:28" x14ac:dyDescent="0.25">
      <c r="A256" s="491"/>
      <c r="B256" s="320"/>
      <c r="C256" s="321"/>
      <c r="D256" s="321"/>
      <c r="E256" s="321"/>
      <c r="F256" s="322"/>
      <c r="G256" s="45"/>
      <c r="H256" s="93"/>
      <c r="I256" s="93"/>
      <c r="J256" s="94"/>
    </row>
    <row r="257" spans="1:26" ht="15" customHeight="1" x14ac:dyDescent="0.25">
      <c r="A257" s="491"/>
      <c r="B257" s="917" t="s">
        <v>60</v>
      </c>
      <c r="C257" s="918"/>
      <c r="D257" s="918"/>
      <c r="E257" s="918"/>
      <c r="F257" s="919"/>
      <c r="G257" s="100">
        <f>Überblick!$G$98</f>
        <v>0.19</v>
      </c>
      <c r="H257" s="954">
        <f>H255*G257</f>
        <v>0</v>
      </c>
      <c r="I257" s="954"/>
      <c r="J257" s="955"/>
    </row>
    <row r="258" spans="1:26" ht="14.55" thickBot="1" x14ac:dyDescent="0.3">
      <c r="A258" s="491"/>
      <c r="B258" s="305"/>
      <c r="C258" s="306"/>
      <c r="D258" s="306"/>
      <c r="E258" s="306"/>
      <c r="F258" s="307"/>
      <c r="G258" s="102"/>
      <c r="H258" s="299"/>
      <c r="I258" s="299"/>
      <c r="J258" s="300"/>
    </row>
    <row r="259" spans="1:26" ht="15" customHeight="1" x14ac:dyDescent="0.25">
      <c r="A259" s="491"/>
      <c r="B259" s="920" t="s">
        <v>281</v>
      </c>
      <c r="C259" s="921"/>
      <c r="D259" s="921"/>
      <c r="E259" s="921"/>
      <c r="F259" s="922"/>
      <c r="G259" s="97"/>
      <c r="H259" s="937">
        <f>H255+H257</f>
        <v>0</v>
      </c>
      <c r="I259" s="937"/>
      <c r="J259" s="938"/>
    </row>
    <row r="260" spans="1:26" ht="14.55" thickBot="1" x14ac:dyDescent="0.3">
      <c r="A260" s="491"/>
      <c r="B260" s="923"/>
      <c r="C260" s="924"/>
      <c r="D260" s="924"/>
      <c r="E260" s="924"/>
      <c r="F260" s="925"/>
      <c r="G260" s="98"/>
      <c r="H260" s="939"/>
      <c r="I260" s="939"/>
      <c r="J260" s="940"/>
    </row>
    <row r="261" spans="1:26" x14ac:dyDescent="0.25">
      <c r="A261" s="491"/>
    </row>
    <row r="262" spans="1:26" x14ac:dyDescent="0.25">
      <c r="A262" s="491" t="s">
        <v>282</v>
      </c>
      <c r="B262" s="60" t="str">
        <f>IF(B1=V1,"Honorangebot für die zunächst beauftragenden Leistungen","Honorarvereinbarung für die zunächst beauftragenden Leistungen")</f>
        <v>Honorangebot für die zunächst beauftragenden Leistungen</v>
      </c>
      <c r="C262" s="60"/>
      <c r="D262" s="60"/>
      <c r="E262" s="60"/>
      <c r="F262" s="65"/>
      <c r="G262" s="65"/>
      <c r="H262" s="65"/>
      <c r="I262" s="66"/>
      <c r="J262" s="66"/>
      <c r="K262" s="66"/>
      <c r="L262" s="66"/>
      <c r="M262" s="66"/>
      <c r="N262" s="66"/>
      <c r="O262" s="66"/>
      <c r="P262" s="67"/>
      <c r="Q262" s="60"/>
      <c r="R262" s="67"/>
      <c r="S262" s="67"/>
      <c r="T262" s="67"/>
      <c r="U262" s="67"/>
      <c r="Z262" s="461"/>
    </row>
    <row r="263" spans="1:26" ht="14.55" thickBot="1" x14ac:dyDescent="0.3">
      <c r="A263" s="491"/>
      <c r="B263" s="60"/>
      <c r="C263" s="60"/>
      <c r="D263" s="60"/>
      <c r="E263" s="60"/>
      <c r="F263" s="65"/>
      <c r="G263" s="65"/>
      <c r="H263" s="65"/>
      <c r="I263" s="66"/>
      <c r="J263" s="66"/>
      <c r="K263" s="66"/>
      <c r="L263" s="66"/>
      <c r="M263" s="66"/>
      <c r="N263" s="66"/>
      <c r="O263" s="66"/>
      <c r="P263" s="67"/>
      <c r="Q263" s="67"/>
      <c r="R263" s="67"/>
      <c r="S263" s="67"/>
      <c r="T263" s="67"/>
      <c r="U263" s="67"/>
    </row>
    <row r="264" spans="1:26" x14ac:dyDescent="0.25">
      <c r="A264" s="491"/>
      <c r="B264" s="941" t="s">
        <v>55</v>
      </c>
      <c r="C264" s="942"/>
      <c r="D264" s="942"/>
      <c r="E264" s="942"/>
      <c r="F264" s="943"/>
      <c r="G264" s="99"/>
      <c r="H264" s="944">
        <f>'Berechnung - Abwasser'!C123</f>
        <v>0</v>
      </c>
      <c r="I264" s="944"/>
      <c r="J264" s="945"/>
      <c r="K264" s="66"/>
      <c r="L264" s="66"/>
      <c r="M264" s="66"/>
      <c r="N264" s="66"/>
      <c r="O264" s="66"/>
      <c r="P264" s="67"/>
      <c r="Q264" s="67"/>
      <c r="R264" s="67"/>
      <c r="S264" s="67"/>
      <c r="T264" s="67"/>
      <c r="U264" s="67"/>
    </row>
    <row r="265" spans="1:26" x14ac:dyDescent="0.25">
      <c r="A265" s="491"/>
      <c r="B265" s="301"/>
      <c r="C265" s="41"/>
      <c r="D265" s="41"/>
      <c r="E265" s="41"/>
      <c r="F265" s="302"/>
      <c r="G265" s="101"/>
      <c r="H265" s="303"/>
      <c r="I265" s="303"/>
      <c r="J265" s="304"/>
      <c r="K265" s="66"/>
      <c r="L265" s="66"/>
      <c r="M265" s="66"/>
      <c r="N265" s="66"/>
      <c r="O265" s="66"/>
      <c r="P265" s="67"/>
      <c r="Q265" s="67"/>
      <c r="R265" s="67"/>
      <c r="S265" s="67"/>
      <c r="T265" s="67"/>
      <c r="U265" s="67"/>
    </row>
    <row r="266" spans="1:26" ht="15" customHeight="1" thickBot="1" x14ac:dyDescent="0.3">
      <c r="A266" s="491"/>
      <c r="B266" s="1298" t="s">
        <v>280</v>
      </c>
      <c r="C266" s="1299"/>
      <c r="D266" s="1299"/>
      <c r="E266" s="1299"/>
      <c r="F266" s="1300"/>
      <c r="G266" s="102">
        <f>F23</f>
        <v>0</v>
      </c>
      <c r="H266" s="956">
        <f>H264*G266</f>
        <v>0</v>
      </c>
      <c r="I266" s="956"/>
      <c r="J266" s="957"/>
      <c r="K266" s="66"/>
      <c r="L266" s="66"/>
      <c r="M266" s="66"/>
      <c r="N266" s="66"/>
      <c r="O266" s="66"/>
      <c r="P266" s="67"/>
      <c r="Q266" s="67"/>
      <c r="R266" s="67"/>
      <c r="S266" s="67"/>
      <c r="T266" s="67"/>
      <c r="U266" s="67"/>
    </row>
    <row r="267" spans="1:26" x14ac:dyDescent="0.25">
      <c r="A267" s="491"/>
      <c r="B267" s="90"/>
      <c r="C267" s="91"/>
      <c r="D267" s="91"/>
      <c r="E267" s="91"/>
      <c r="F267" s="92"/>
      <c r="G267" s="45"/>
      <c r="H267" s="46"/>
      <c r="I267" s="46"/>
      <c r="J267" s="105"/>
      <c r="K267" s="66"/>
      <c r="L267" s="66"/>
      <c r="M267" s="66"/>
      <c r="N267" s="66"/>
      <c r="O267" s="66"/>
      <c r="P267" s="67"/>
      <c r="Q267" s="67"/>
      <c r="R267" s="67"/>
      <c r="S267" s="67"/>
      <c r="T267" s="67"/>
      <c r="U267" s="67"/>
    </row>
    <row r="268" spans="1:26" x14ac:dyDescent="0.25">
      <c r="A268" s="491"/>
      <c r="B268" s="926" t="s">
        <v>57</v>
      </c>
      <c r="C268" s="927"/>
      <c r="D268" s="927"/>
      <c r="E268" s="927"/>
      <c r="F268" s="928"/>
      <c r="G268" s="101"/>
      <c r="H268" s="954">
        <f>'Berechnung - Abwasser'!E123</f>
        <v>0</v>
      </c>
      <c r="I268" s="954"/>
      <c r="J268" s="955"/>
      <c r="K268" s="66"/>
      <c r="L268" s="66"/>
      <c r="M268" s="66"/>
      <c r="N268" s="66"/>
      <c r="O268" s="66"/>
      <c r="P268" s="67"/>
      <c r="Q268" s="67"/>
      <c r="R268" s="67"/>
      <c r="S268" s="67"/>
      <c r="T268" s="67"/>
      <c r="U268" s="67"/>
    </row>
    <row r="269" spans="1:26" ht="14.55" thickBot="1" x14ac:dyDescent="0.3">
      <c r="A269" s="491"/>
      <c r="B269" s="90"/>
      <c r="C269" s="91"/>
      <c r="D269" s="91"/>
      <c r="E269" s="91"/>
      <c r="F269" s="92"/>
      <c r="G269" s="1333"/>
      <c r="H269" s="1334"/>
      <c r="I269" s="1334"/>
      <c r="J269" s="1335"/>
      <c r="K269" s="66"/>
      <c r="L269" s="66"/>
      <c r="M269" s="66"/>
      <c r="N269" s="66"/>
      <c r="O269" s="66"/>
      <c r="P269" s="67"/>
      <c r="Q269" s="67"/>
      <c r="R269" s="67"/>
      <c r="S269" s="67"/>
      <c r="T269" s="67"/>
      <c r="U269" s="67"/>
    </row>
    <row r="270" spans="1:26" ht="15.95" customHeight="1" thickBot="1" x14ac:dyDescent="0.3">
      <c r="A270" s="491"/>
      <c r="B270" s="929" t="s">
        <v>59</v>
      </c>
      <c r="C270" s="930"/>
      <c r="D270" s="930"/>
      <c r="E270" s="930"/>
      <c r="F270" s="931"/>
      <c r="G270" s="107"/>
      <c r="H270" s="935">
        <f>SUM(H264:J268)</f>
        <v>0</v>
      </c>
      <c r="I270" s="935"/>
      <c r="J270" s="936"/>
      <c r="K270" s="66"/>
      <c r="L270" s="66"/>
      <c r="M270" s="66"/>
      <c r="N270" s="66"/>
      <c r="O270" s="66"/>
      <c r="P270" s="67"/>
      <c r="Q270" s="67"/>
      <c r="R270" s="67"/>
      <c r="S270" s="67"/>
      <c r="T270" s="67"/>
      <c r="U270" s="67"/>
    </row>
    <row r="271" spans="1:26" x14ac:dyDescent="0.25">
      <c r="A271" s="491"/>
      <c r="B271" s="320"/>
      <c r="C271" s="321"/>
      <c r="D271" s="321"/>
      <c r="E271" s="321"/>
      <c r="F271" s="322"/>
      <c r="G271" s="45"/>
      <c r="H271" s="93"/>
      <c r="I271" s="93"/>
      <c r="J271" s="94"/>
      <c r="K271" s="66"/>
      <c r="L271" s="66"/>
      <c r="M271" s="66"/>
      <c r="N271" s="66"/>
      <c r="O271" s="66"/>
      <c r="P271" s="67"/>
      <c r="Q271" s="67"/>
      <c r="R271" s="67"/>
      <c r="S271" s="67"/>
      <c r="T271" s="67"/>
      <c r="U271" s="67"/>
    </row>
    <row r="272" spans="1:26" ht="15" customHeight="1" x14ac:dyDescent="0.25">
      <c r="A272" s="491"/>
      <c r="B272" s="917" t="s">
        <v>94</v>
      </c>
      <c r="C272" s="918"/>
      <c r="D272" s="918"/>
      <c r="E272" s="918"/>
      <c r="F272" s="919"/>
      <c r="G272" s="100">
        <f>Überblick!$G$98</f>
        <v>0.19</v>
      </c>
      <c r="H272" s="954">
        <f>H270*G272</f>
        <v>0</v>
      </c>
      <c r="I272" s="954"/>
      <c r="J272" s="955"/>
      <c r="K272" s="66"/>
      <c r="L272" s="66"/>
      <c r="M272" s="66"/>
      <c r="N272" s="66"/>
      <c r="O272" s="66"/>
      <c r="P272" s="67"/>
      <c r="Q272" s="67"/>
      <c r="R272" s="67"/>
      <c r="S272" s="67"/>
      <c r="T272" s="67"/>
      <c r="U272" s="67"/>
    </row>
    <row r="273" spans="1:21" ht="14.55" thickBot="1" x14ac:dyDescent="0.3">
      <c r="A273" s="491"/>
      <c r="B273" s="305"/>
      <c r="C273" s="306"/>
      <c r="D273" s="306"/>
      <c r="E273" s="306"/>
      <c r="F273" s="307"/>
      <c r="G273" s="102"/>
      <c r="H273" s="299"/>
      <c r="I273" s="299"/>
      <c r="J273" s="300"/>
      <c r="K273" s="66"/>
      <c r="L273" s="66"/>
      <c r="M273" s="66"/>
      <c r="N273" s="66"/>
      <c r="O273" s="66"/>
      <c r="P273" s="67"/>
      <c r="Q273" s="67"/>
      <c r="R273" s="67"/>
      <c r="S273" s="67"/>
      <c r="T273" s="67"/>
      <c r="U273" s="67"/>
    </row>
    <row r="274" spans="1:21" ht="15" customHeight="1" x14ac:dyDescent="0.25">
      <c r="A274" s="491"/>
      <c r="B274" s="920" t="s">
        <v>98</v>
      </c>
      <c r="C274" s="921"/>
      <c r="D274" s="921"/>
      <c r="E274" s="921"/>
      <c r="F274" s="922"/>
      <c r="G274" s="172"/>
      <c r="H274" s="937">
        <f>H270+H272</f>
        <v>0</v>
      </c>
      <c r="I274" s="937"/>
      <c r="J274" s="938"/>
      <c r="K274" s="66"/>
      <c r="L274" s="66"/>
      <c r="M274" s="66"/>
      <c r="N274" s="66"/>
      <c r="O274" s="66"/>
      <c r="P274" s="67"/>
      <c r="Q274" s="67"/>
      <c r="R274" s="67"/>
      <c r="S274" s="67"/>
      <c r="T274" s="67"/>
      <c r="U274" s="67"/>
    </row>
    <row r="275" spans="1:21" ht="14.55" thickBot="1" x14ac:dyDescent="0.3">
      <c r="A275" s="491"/>
      <c r="B275" s="923"/>
      <c r="C275" s="924"/>
      <c r="D275" s="924"/>
      <c r="E275" s="924"/>
      <c r="F275" s="925"/>
      <c r="G275" s="98"/>
      <c r="H275" s="939"/>
      <c r="I275" s="939"/>
      <c r="J275" s="940"/>
      <c r="K275" s="66"/>
      <c r="L275" s="66"/>
      <c r="M275" s="66"/>
      <c r="N275" s="66"/>
      <c r="O275" s="66"/>
      <c r="P275" s="67"/>
      <c r="Q275" s="67"/>
      <c r="R275" s="67"/>
      <c r="S275" s="67"/>
      <c r="T275" s="67"/>
      <c r="U275" s="67"/>
    </row>
    <row r="276" spans="1:21" x14ac:dyDescent="0.25">
      <c r="A276" s="491"/>
      <c r="B276" s="60"/>
      <c r="C276" s="60"/>
      <c r="D276" s="60"/>
      <c r="E276" s="60"/>
      <c r="F276" s="65"/>
      <c r="G276" s="65"/>
      <c r="H276" s="65"/>
      <c r="I276" s="66"/>
      <c r="J276" s="66"/>
      <c r="K276" s="66"/>
      <c r="L276" s="66"/>
      <c r="M276" s="66"/>
      <c r="N276" s="66"/>
      <c r="O276" s="66"/>
      <c r="P276" s="67"/>
      <c r="Q276" s="67"/>
      <c r="R276" s="67"/>
      <c r="S276" s="67"/>
      <c r="T276" s="67"/>
      <c r="U276" s="67"/>
    </row>
    <row r="277" spans="1:21" x14ac:dyDescent="0.25">
      <c r="A277" s="491" t="s">
        <v>284</v>
      </c>
      <c r="B277" s="40" t="str">
        <f>IF(B1=V1,"Gemäß des Honorarangebotes werden die Stufen wie folgt vergütet (netto):","Gemäß der Honorarvereinbarung werden die Stufen wie folgt vergütet (netto): ")</f>
        <v>Gemäß des Honorarangebotes werden die Stufen wie folgt vergütet (netto):</v>
      </c>
      <c r="C277" s="40"/>
      <c r="D277" s="40"/>
      <c r="E277" s="40"/>
      <c r="F277" s="40"/>
      <c r="G277" s="40"/>
      <c r="H277" s="40"/>
      <c r="I277" s="40"/>
      <c r="J277" s="40"/>
      <c r="K277" s="40"/>
      <c r="L277" s="60"/>
      <c r="M277" s="66"/>
      <c r="N277" s="66"/>
      <c r="O277" s="40"/>
      <c r="P277" s="67"/>
      <c r="Q277" s="67"/>
      <c r="R277" s="67"/>
      <c r="S277" s="67"/>
      <c r="T277" s="67"/>
      <c r="U277" s="67"/>
    </row>
    <row r="278" spans="1:21" ht="14.55" thickBot="1" x14ac:dyDescent="0.3">
      <c r="A278" s="491"/>
      <c r="B278" s="60"/>
      <c r="C278" s="60"/>
      <c r="D278" s="60"/>
      <c r="E278" s="60"/>
      <c r="F278" s="65"/>
      <c r="G278" s="65"/>
      <c r="H278" s="65"/>
      <c r="I278" s="66"/>
      <c r="J278" s="66"/>
      <c r="K278" s="66"/>
      <c r="L278" s="66"/>
      <c r="M278" s="66"/>
      <c r="N278" s="66"/>
      <c r="O278" s="40"/>
      <c r="P278" s="67"/>
      <c r="Q278" s="67"/>
      <c r="R278" s="67"/>
      <c r="S278" s="67"/>
      <c r="T278" s="67"/>
      <c r="U278" s="67"/>
    </row>
    <row r="279" spans="1:21" ht="15.2" thickTop="1" thickBot="1" x14ac:dyDescent="0.3">
      <c r="A279" s="491"/>
      <c r="B279" s="357" t="s">
        <v>105</v>
      </c>
      <c r="C279" s="358" t="s">
        <v>285</v>
      </c>
      <c r="D279" s="359" t="s">
        <v>286</v>
      </c>
      <c r="E279" s="360" t="s">
        <v>287</v>
      </c>
      <c r="F279" s="360" t="s">
        <v>288</v>
      </c>
      <c r="G279" s="361" t="s">
        <v>289</v>
      </c>
      <c r="H279" s="361" t="s">
        <v>290</v>
      </c>
      <c r="I279" s="362" t="s">
        <v>291</v>
      </c>
      <c r="J279" s="362" t="s">
        <v>292</v>
      </c>
      <c r="K279" s="362" t="s">
        <v>293</v>
      </c>
      <c r="L279" s="362" t="s">
        <v>294</v>
      </c>
      <c r="M279" s="362" t="s">
        <v>295</v>
      </c>
      <c r="N279" s="362" t="s">
        <v>296</v>
      </c>
      <c r="O279" s="362" t="s">
        <v>297</v>
      </c>
      <c r="P279" s="363" t="s">
        <v>298</v>
      </c>
      <c r="Q279" s="67"/>
      <c r="R279" s="67"/>
      <c r="S279" s="67"/>
      <c r="T279" s="67"/>
      <c r="U279" s="67"/>
    </row>
    <row r="280" spans="1:21" x14ac:dyDescent="0.25">
      <c r="A280" s="492"/>
      <c r="B280" s="153" t="str">
        <f>IF(Überblick!$H$53&gt;=1,"1:",0)</f>
        <v>1:</v>
      </c>
      <c r="C280" s="481">
        <f>'Berechnung - Abwasser'!C138</f>
        <v>0</v>
      </c>
      <c r="D280" s="481">
        <f>'Berechnung - Abwasser'!D138</f>
        <v>0</v>
      </c>
      <c r="E280" s="481">
        <f>'Berechnung - Abwasser'!E138</f>
        <v>0</v>
      </c>
      <c r="F280" s="481">
        <f>'Berechnung - Abwasser'!F138</f>
        <v>0</v>
      </c>
      <c r="G280" s="481">
        <f>'Berechnung - Abwasser'!G138</f>
        <v>0</v>
      </c>
      <c r="H280" s="481">
        <f>'Berechnung - Abwasser'!H138</f>
        <v>0</v>
      </c>
      <c r="I280" s="481">
        <f>'Berechnung - Abwasser'!I138</f>
        <v>0</v>
      </c>
      <c r="J280" s="481">
        <f>'Berechnung - Abwasser'!J138</f>
        <v>0</v>
      </c>
      <c r="K280" s="481">
        <f>'Berechnung - Abwasser'!K138</f>
        <v>0</v>
      </c>
      <c r="L280" s="481">
        <f>'Berechnung - Abwasser'!L138</f>
        <v>0</v>
      </c>
      <c r="M280" s="481">
        <f>'Berechnung - Abwasser'!M138</f>
        <v>0</v>
      </c>
      <c r="N280" s="481">
        <f>'Berechnung - Abwasser'!N138</f>
        <v>0</v>
      </c>
      <c r="O280" s="481">
        <f>'Berechnung - Abwasser'!O138</f>
        <v>0</v>
      </c>
      <c r="P280" s="481">
        <f>'Berechnung - Abwasser'!P138</f>
        <v>0</v>
      </c>
      <c r="Q280" s="96">
        <f>SUM(C280:P280)</f>
        <v>0</v>
      </c>
      <c r="S280" s="63"/>
      <c r="T280" s="63"/>
      <c r="U280" s="63"/>
    </row>
    <row r="281" spans="1:21" ht="15.95" customHeight="1" x14ac:dyDescent="0.25">
      <c r="A281" s="492"/>
      <c r="B281" s="153" t="str">
        <f>IF(Überblick!$H$53&gt;=2,"2:",0)</f>
        <v>2:</v>
      </c>
      <c r="C281" s="481">
        <f>'Berechnung - Abwasser'!C139</f>
        <v>0</v>
      </c>
      <c r="D281" s="481">
        <f>'Berechnung - Abwasser'!D139</f>
        <v>0</v>
      </c>
      <c r="E281" s="481">
        <f>'Berechnung - Abwasser'!E139</f>
        <v>0</v>
      </c>
      <c r="F281" s="481">
        <f>'Berechnung - Abwasser'!F139</f>
        <v>0</v>
      </c>
      <c r="G281" s="481">
        <f>'Berechnung - Abwasser'!G139</f>
        <v>0</v>
      </c>
      <c r="H281" s="481">
        <f>'Berechnung - Abwasser'!H139</f>
        <v>0</v>
      </c>
      <c r="I281" s="481">
        <f>'Berechnung - Abwasser'!I139</f>
        <v>0</v>
      </c>
      <c r="J281" s="481">
        <f>'Berechnung - Abwasser'!J139</f>
        <v>0</v>
      </c>
      <c r="K281" s="481">
        <f>'Berechnung - Abwasser'!K139</f>
        <v>0</v>
      </c>
      <c r="L281" s="481">
        <f>'Berechnung - Abwasser'!L139</f>
        <v>0</v>
      </c>
      <c r="M281" s="481">
        <f>'Berechnung - Abwasser'!M139</f>
        <v>0</v>
      </c>
      <c r="N281" s="481">
        <f>'Berechnung - Abwasser'!N139</f>
        <v>0</v>
      </c>
      <c r="O281" s="481">
        <f>'Berechnung - Abwasser'!O139</f>
        <v>0</v>
      </c>
      <c r="P281" s="481">
        <f>'Berechnung - Abwasser'!P139</f>
        <v>0</v>
      </c>
      <c r="Q281" s="96">
        <f t="shared" ref="Q281:Q287" si="0">SUM(C281:P281)</f>
        <v>0</v>
      </c>
    </row>
    <row r="282" spans="1:21" x14ac:dyDescent="0.25">
      <c r="A282" s="59"/>
      <c r="B282" s="153" t="str">
        <f>IF(Überblick!$H$53&gt;=3,"3:",0)</f>
        <v>3:</v>
      </c>
      <c r="C282" s="481">
        <f>'Berechnung - Abwasser'!C140</f>
        <v>0</v>
      </c>
      <c r="D282" s="481">
        <f>'Berechnung - Abwasser'!D140</f>
        <v>0</v>
      </c>
      <c r="E282" s="481">
        <f>'Berechnung - Abwasser'!E140</f>
        <v>0</v>
      </c>
      <c r="F282" s="481">
        <f>'Berechnung - Abwasser'!F140</f>
        <v>0</v>
      </c>
      <c r="G282" s="481">
        <f>'Berechnung - Abwasser'!G140</f>
        <v>0</v>
      </c>
      <c r="H282" s="481">
        <f>'Berechnung - Abwasser'!H140</f>
        <v>0</v>
      </c>
      <c r="I282" s="481">
        <f>'Berechnung - Abwasser'!I140</f>
        <v>0</v>
      </c>
      <c r="J282" s="481">
        <f>'Berechnung - Abwasser'!J140</f>
        <v>0</v>
      </c>
      <c r="K282" s="481">
        <f>'Berechnung - Abwasser'!K140</f>
        <v>0</v>
      </c>
      <c r="L282" s="481">
        <f>'Berechnung - Abwasser'!L140</f>
        <v>0</v>
      </c>
      <c r="M282" s="481">
        <f>'Berechnung - Abwasser'!M140</f>
        <v>0</v>
      </c>
      <c r="N282" s="481">
        <f>'Berechnung - Abwasser'!N140</f>
        <v>0</v>
      </c>
      <c r="O282" s="481">
        <f>'Berechnung - Abwasser'!O140</f>
        <v>0</v>
      </c>
      <c r="P282" s="481">
        <f>'Berechnung - Abwasser'!P140</f>
        <v>0</v>
      </c>
      <c r="Q282" s="96">
        <f t="shared" si="0"/>
        <v>0</v>
      </c>
    </row>
    <row r="283" spans="1:21" x14ac:dyDescent="0.25">
      <c r="A283" s="491"/>
      <c r="B283" s="153" t="str">
        <f>IF(Überblick!$H$53&gt;=4,"4:",0)</f>
        <v>4:</v>
      </c>
      <c r="C283" s="481">
        <f>'Berechnung - Abwasser'!C141</f>
        <v>0</v>
      </c>
      <c r="D283" s="481">
        <f>'Berechnung - Abwasser'!D141</f>
        <v>0</v>
      </c>
      <c r="E283" s="481">
        <f>'Berechnung - Abwasser'!E141</f>
        <v>0</v>
      </c>
      <c r="F283" s="481">
        <f>'Berechnung - Abwasser'!F141</f>
        <v>0</v>
      </c>
      <c r="G283" s="481">
        <f>'Berechnung - Abwasser'!G141</f>
        <v>0</v>
      </c>
      <c r="H283" s="481">
        <f>'Berechnung - Abwasser'!H141</f>
        <v>0</v>
      </c>
      <c r="I283" s="481">
        <f>'Berechnung - Abwasser'!I141</f>
        <v>0</v>
      </c>
      <c r="J283" s="481">
        <f>'Berechnung - Abwasser'!J141</f>
        <v>0</v>
      </c>
      <c r="K283" s="481">
        <f>'Berechnung - Abwasser'!K141</f>
        <v>0</v>
      </c>
      <c r="L283" s="481">
        <f>'Berechnung - Abwasser'!L141</f>
        <v>0</v>
      </c>
      <c r="M283" s="481">
        <f>'Berechnung - Abwasser'!M141</f>
        <v>0</v>
      </c>
      <c r="N283" s="481">
        <f>'Berechnung - Abwasser'!N141</f>
        <v>0</v>
      </c>
      <c r="O283" s="481">
        <f>'Berechnung - Abwasser'!O141</f>
        <v>0</v>
      </c>
      <c r="P283" s="481">
        <f>'Berechnung - Abwasser'!P141</f>
        <v>0</v>
      </c>
      <c r="Q283" s="96">
        <f t="shared" si="0"/>
        <v>0</v>
      </c>
    </row>
    <row r="284" spans="1:21" x14ac:dyDescent="0.25">
      <c r="A284" s="491"/>
      <c r="B284" s="153" t="str">
        <f>IF(Überblick!$H$53&gt;=5,"5:",0)</f>
        <v>5:</v>
      </c>
      <c r="C284" s="481">
        <f>'Berechnung - Abwasser'!C142</f>
        <v>0</v>
      </c>
      <c r="D284" s="481">
        <f>'Berechnung - Abwasser'!D142</f>
        <v>0</v>
      </c>
      <c r="E284" s="481">
        <f>'Berechnung - Abwasser'!E142</f>
        <v>0</v>
      </c>
      <c r="F284" s="481">
        <f>'Berechnung - Abwasser'!F142</f>
        <v>0</v>
      </c>
      <c r="G284" s="481">
        <f>'Berechnung - Abwasser'!G142</f>
        <v>0</v>
      </c>
      <c r="H284" s="481">
        <f>'Berechnung - Abwasser'!H142</f>
        <v>0</v>
      </c>
      <c r="I284" s="481">
        <f>'Berechnung - Abwasser'!I142</f>
        <v>0</v>
      </c>
      <c r="J284" s="481">
        <f>'Berechnung - Abwasser'!J142</f>
        <v>0</v>
      </c>
      <c r="K284" s="481">
        <f>'Berechnung - Abwasser'!K142</f>
        <v>0</v>
      </c>
      <c r="L284" s="481">
        <f>'Berechnung - Abwasser'!L142</f>
        <v>0</v>
      </c>
      <c r="M284" s="481">
        <f>'Berechnung - Abwasser'!M142</f>
        <v>0</v>
      </c>
      <c r="N284" s="481">
        <f>'Berechnung - Abwasser'!N142</f>
        <v>0</v>
      </c>
      <c r="O284" s="481">
        <f>'Berechnung - Abwasser'!O142</f>
        <v>0</v>
      </c>
      <c r="P284" s="481">
        <f>'Berechnung - Abwasser'!P142</f>
        <v>0</v>
      </c>
      <c r="Q284" s="96">
        <f t="shared" si="0"/>
        <v>0</v>
      </c>
    </row>
    <row r="285" spans="1:21" ht="15.95" customHeight="1" x14ac:dyDescent="0.25">
      <c r="A285" s="491"/>
      <c r="B285" s="153" t="str">
        <f>IF(Überblick!$H$53&gt;=6,"6:",0)</f>
        <v>6:</v>
      </c>
      <c r="C285" s="481">
        <f>'Berechnung - Abwasser'!C143</f>
        <v>0</v>
      </c>
      <c r="D285" s="481">
        <f>'Berechnung - Abwasser'!D143</f>
        <v>0</v>
      </c>
      <c r="E285" s="481">
        <f>'Berechnung - Abwasser'!E143</f>
        <v>0</v>
      </c>
      <c r="F285" s="481">
        <f>'Berechnung - Abwasser'!F143</f>
        <v>0</v>
      </c>
      <c r="G285" s="481">
        <f>'Berechnung - Abwasser'!G143</f>
        <v>0</v>
      </c>
      <c r="H285" s="481">
        <f>'Berechnung - Abwasser'!H143</f>
        <v>0</v>
      </c>
      <c r="I285" s="481">
        <f>'Berechnung - Abwasser'!I143</f>
        <v>0</v>
      </c>
      <c r="J285" s="481">
        <f>'Berechnung - Abwasser'!J143</f>
        <v>0</v>
      </c>
      <c r="K285" s="481">
        <f>'Berechnung - Abwasser'!K143</f>
        <v>0</v>
      </c>
      <c r="L285" s="481">
        <f>'Berechnung - Abwasser'!L143</f>
        <v>0</v>
      </c>
      <c r="M285" s="481">
        <f>'Berechnung - Abwasser'!M143</f>
        <v>0</v>
      </c>
      <c r="N285" s="481">
        <f>'Berechnung - Abwasser'!N143</f>
        <v>0</v>
      </c>
      <c r="O285" s="481">
        <f>'Berechnung - Abwasser'!O143</f>
        <v>0</v>
      </c>
      <c r="P285" s="481">
        <f>'Berechnung - Abwasser'!P143</f>
        <v>0</v>
      </c>
      <c r="Q285" s="96">
        <f t="shared" si="0"/>
        <v>0</v>
      </c>
    </row>
    <row r="286" spans="1:21" x14ac:dyDescent="0.25">
      <c r="A286" s="491"/>
      <c r="B286" s="153">
        <f>IF(Überblick!$H$53&gt;=7,"7:",0)</f>
        <v>0</v>
      </c>
      <c r="C286" s="481">
        <f>'Berechnung - Abwasser'!C144</f>
        <v>0</v>
      </c>
      <c r="D286" s="481">
        <f>'Berechnung - Abwasser'!D144</f>
        <v>0</v>
      </c>
      <c r="E286" s="481">
        <f>'Berechnung - Abwasser'!E144</f>
        <v>0</v>
      </c>
      <c r="F286" s="481">
        <f>'Berechnung - Abwasser'!F144</f>
        <v>0</v>
      </c>
      <c r="G286" s="481">
        <f>'Berechnung - Abwasser'!G144</f>
        <v>0</v>
      </c>
      <c r="H286" s="481">
        <f>'Berechnung - Abwasser'!H144</f>
        <v>0</v>
      </c>
      <c r="I286" s="481">
        <f>'Berechnung - Abwasser'!I144</f>
        <v>0</v>
      </c>
      <c r="J286" s="481">
        <f>'Berechnung - Abwasser'!J144</f>
        <v>0</v>
      </c>
      <c r="K286" s="481">
        <f>'Berechnung - Abwasser'!K144</f>
        <v>0</v>
      </c>
      <c r="L286" s="481">
        <f>'Berechnung - Abwasser'!L144</f>
        <v>0</v>
      </c>
      <c r="M286" s="481">
        <f>'Berechnung - Abwasser'!M144</f>
        <v>0</v>
      </c>
      <c r="N286" s="481">
        <f>'Berechnung - Abwasser'!N144</f>
        <v>0</v>
      </c>
      <c r="O286" s="481">
        <f>'Berechnung - Abwasser'!O144</f>
        <v>0</v>
      </c>
      <c r="P286" s="481">
        <f>'Berechnung - Abwasser'!P144</f>
        <v>0</v>
      </c>
      <c r="Q286" s="96">
        <f t="shared" si="0"/>
        <v>0</v>
      </c>
    </row>
    <row r="287" spans="1:21" ht="15" customHeight="1" x14ac:dyDescent="0.25">
      <c r="A287" s="491"/>
      <c r="B287" s="153">
        <f>IF(Überblick!$H$53&gt;=8,"8:",0)</f>
        <v>0</v>
      </c>
      <c r="C287" s="481">
        <f>'Berechnung - Abwasser'!C145</f>
        <v>0</v>
      </c>
      <c r="D287" s="481">
        <f>'Berechnung - Abwasser'!D145</f>
        <v>0</v>
      </c>
      <c r="E287" s="481">
        <f>'Berechnung - Abwasser'!E145</f>
        <v>0</v>
      </c>
      <c r="F287" s="481">
        <f>'Berechnung - Abwasser'!F145</f>
        <v>0</v>
      </c>
      <c r="G287" s="481">
        <f>'Berechnung - Abwasser'!G145</f>
        <v>0</v>
      </c>
      <c r="H287" s="481">
        <f>'Berechnung - Abwasser'!H145</f>
        <v>0</v>
      </c>
      <c r="I287" s="481">
        <f>'Berechnung - Abwasser'!I145</f>
        <v>0</v>
      </c>
      <c r="J287" s="481">
        <f>'Berechnung - Abwasser'!J145</f>
        <v>0</v>
      </c>
      <c r="K287" s="481">
        <f>'Berechnung - Abwasser'!K145</f>
        <v>0</v>
      </c>
      <c r="L287" s="481">
        <f>'Berechnung - Abwasser'!L145</f>
        <v>0</v>
      </c>
      <c r="M287" s="481">
        <f>'Berechnung - Abwasser'!M145</f>
        <v>0</v>
      </c>
      <c r="N287" s="481">
        <f>'Berechnung - Abwasser'!N145</f>
        <v>0</v>
      </c>
      <c r="O287" s="481">
        <f>'Berechnung - Abwasser'!O145</f>
        <v>0</v>
      </c>
      <c r="P287" s="481">
        <f>'Berechnung - Abwasser'!P145</f>
        <v>0</v>
      </c>
      <c r="Q287" s="96">
        <f t="shared" si="0"/>
        <v>0</v>
      </c>
    </row>
    <row r="288" spans="1:21" x14ac:dyDescent="0.25">
      <c r="B288" s="153">
        <f>IF(Überblick!$H$53&gt;=9,"9:",0)</f>
        <v>0</v>
      </c>
      <c r="C288" s="481">
        <f>'Berechnung - Abwasser'!C146</f>
        <v>0</v>
      </c>
      <c r="D288" s="481">
        <f>'Berechnung - Abwasser'!D146</f>
        <v>0</v>
      </c>
      <c r="E288" s="481">
        <f>'Berechnung - Abwasser'!E146</f>
        <v>0</v>
      </c>
      <c r="F288" s="481">
        <f>'Berechnung - Abwasser'!F146</f>
        <v>0</v>
      </c>
      <c r="G288" s="481">
        <f>'Berechnung - Abwasser'!G146</f>
        <v>0</v>
      </c>
      <c r="H288" s="481">
        <f>'Berechnung - Abwasser'!H146</f>
        <v>0</v>
      </c>
      <c r="I288" s="481">
        <f>'Berechnung - Abwasser'!I146</f>
        <v>0</v>
      </c>
      <c r="J288" s="481">
        <f>'Berechnung - Abwasser'!J146</f>
        <v>0</v>
      </c>
      <c r="K288" s="481">
        <f>'Berechnung - Abwasser'!K146</f>
        <v>0</v>
      </c>
      <c r="L288" s="481">
        <f>'Berechnung - Abwasser'!L146</f>
        <v>0</v>
      </c>
      <c r="M288" s="481">
        <f>'Berechnung - Abwasser'!M146</f>
        <v>0</v>
      </c>
      <c r="N288" s="481">
        <f>'Berechnung - Abwasser'!N146</f>
        <v>0</v>
      </c>
      <c r="O288" s="481">
        <f>'Berechnung - Abwasser'!O146</f>
        <v>0</v>
      </c>
      <c r="P288" s="481">
        <f>'Berechnung - Abwasser'!P146</f>
        <v>0</v>
      </c>
    </row>
    <row r="289" spans="2:16" x14ac:dyDescent="0.25">
      <c r="B289" s="140"/>
      <c r="C289" s="140"/>
      <c r="D289" s="140"/>
      <c r="E289" s="140"/>
      <c r="F289" s="140"/>
      <c r="G289" s="140"/>
      <c r="H289" s="140"/>
      <c r="I289" s="140"/>
      <c r="J289" s="140"/>
      <c r="K289" s="140"/>
      <c r="L289" s="140"/>
      <c r="M289" s="140"/>
      <c r="N289" s="140"/>
      <c r="O289" s="140"/>
      <c r="P289" s="140"/>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row r="294" spans="2:16" x14ac:dyDescent="0.25">
      <c r="B294" s="140"/>
      <c r="C294" s="140"/>
      <c r="D294" s="140"/>
      <c r="E294" s="140"/>
      <c r="F294" s="140"/>
      <c r="G294" s="140"/>
      <c r="H294" s="140"/>
      <c r="I294" s="140"/>
      <c r="J294" s="140"/>
      <c r="K294" s="140"/>
      <c r="L294" s="140"/>
      <c r="M294" s="140"/>
      <c r="N294" s="140"/>
      <c r="O294" s="140"/>
      <c r="P294" s="140"/>
    </row>
    <row r="295" spans="2:16" x14ac:dyDescent="0.25">
      <c r="B295" s="140"/>
      <c r="C295" s="140"/>
      <c r="D295" s="140"/>
      <c r="E295" s="140"/>
      <c r="F295" s="140"/>
      <c r="G295" s="140"/>
      <c r="H295" s="140"/>
      <c r="I295" s="140"/>
      <c r="J295" s="140"/>
      <c r="K295" s="140"/>
      <c r="L295" s="140"/>
      <c r="M295" s="140"/>
      <c r="N295" s="140"/>
      <c r="O295" s="140"/>
      <c r="P295" s="140"/>
    </row>
    <row r="296" spans="2:16" x14ac:dyDescent="0.25">
      <c r="B296" s="140"/>
      <c r="C296" s="140"/>
      <c r="D296" s="140"/>
      <c r="E296" s="140"/>
      <c r="F296" s="140"/>
      <c r="G296" s="140"/>
      <c r="H296" s="140"/>
      <c r="I296" s="140"/>
      <c r="J296" s="140"/>
      <c r="K296" s="140"/>
      <c r="L296" s="140"/>
      <c r="M296" s="140"/>
      <c r="N296" s="140"/>
      <c r="O296" s="140"/>
      <c r="P296" s="140"/>
    </row>
  </sheetData>
  <sheetProtection algorithmName="SHA-512" hashValue="342xNAS4TulS8QM6HgdhmoUightOy5boHYGGx/x1VCRe6SDeb3SCfCqlLzK0hAVkh8llJDxmxQk0WzWbxKkTiQ==" saltValue="NsGj6GEIV+Req1XbZPJNFQ==" spinCount="100000" sheet="1" objects="1" scenarios="1"/>
  <mergeCells count="476">
    <mergeCell ref="S2:U2"/>
    <mergeCell ref="S3:U3"/>
    <mergeCell ref="S4:U4"/>
    <mergeCell ref="T1:U1"/>
    <mergeCell ref="F9:I11"/>
    <mergeCell ref="J9:M11"/>
    <mergeCell ref="N9:Q11"/>
    <mergeCell ref="Q229:Q233"/>
    <mergeCell ref="R229:S233"/>
    <mergeCell ref="L211:P216"/>
    <mergeCell ref="Q211:Q216"/>
    <mergeCell ref="R211:S216"/>
    <mergeCell ref="L193:P202"/>
    <mergeCell ref="L203:P204"/>
    <mergeCell ref="Q203:Q204"/>
    <mergeCell ref="R203:S204"/>
    <mergeCell ref="Q193:Q202"/>
    <mergeCell ref="R193:S202"/>
    <mergeCell ref="I35:K37"/>
    <mergeCell ref="L35:P37"/>
    <mergeCell ref="I38:K38"/>
    <mergeCell ref="L38:P38"/>
    <mergeCell ref="B78:G80"/>
    <mergeCell ref="H78:H80"/>
    <mergeCell ref="B54:G54"/>
    <mergeCell ref="B74:G75"/>
    <mergeCell ref="H74:H75"/>
    <mergeCell ref="U244:U245"/>
    <mergeCell ref="I192:K192"/>
    <mergeCell ref="R234:S234"/>
    <mergeCell ref="Q235:Q237"/>
    <mergeCell ref="R235:S237"/>
    <mergeCell ref="U235:U243"/>
    <mergeCell ref="Q238:Q240"/>
    <mergeCell ref="R238:S240"/>
    <mergeCell ref="Q241:Q243"/>
    <mergeCell ref="R241:S243"/>
    <mergeCell ref="U193:U233"/>
    <mergeCell ref="T244:T245"/>
    <mergeCell ref="Q226:Q228"/>
    <mergeCell ref="R226:S228"/>
    <mergeCell ref="T235:T243"/>
    <mergeCell ref="T193:T233"/>
    <mergeCell ref="Q205:Q207"/>
    <mergeCell ref="R205:S207"/>
    <mergeCell ref="Q208:Q210"/>
    <mergeCell ref="R192:S192"/>
    <mergeCell ref="L244:P245"/>
    <mergeCell ref="U178:U191"/>
    <mergeCell ref="Q181:Q183"/>
    <mergeCell ref="R181:S183"/>
    <mergeCell ref="Q184:Q186"/>
    <mergeCell ref="R184:S186"/>
    <mergeCell ref="Q187:Q189"/>
    <mergeCell ref="R187:S189"/>
    <mergeCell ref="Q190:Q191"/>
    <mergeCell ref="R190:S191"/>
    <mergeCell ref="T178:T191"/>
    <mergeCell ref="U145:U149"/>
    <mergeCell ref="L148:P149"/>
    <mergeCell ref="Q148:Q149"/>
    <mergeCell ref="R148:S149"/>
    <mergeCell ref="L144:P144"/>
    <mergeCell ref="U150:U152"/>
    <mergeCell ref="R153:S153"/>
    <mergeCell ref="Q154:Q156"/>
    <mergeCell ref="R154:S156"/>
    <mergeCell ref="U154:U176"/>
    <mergeCell ref="Q157:Q165"/>
    <mergeCell ref="R157:S165"/>
    <mergeCell ref="Q166:Q168"/>
    <mergeCell ref="R166:S168"/>
    <mergeCell ref="Q169:Q172"/>
    <mergeCell ref="R169:S172"/>
    <mergeCell ref="Q173:Q175"/>
    <mergeCell ref="R173:S175"/>
    <mergeCell ref="R176:S176"/>
    <mergeCell ref="Q150:Q152"/>
    <mergeCell ref="R150:S152"/>
    <mergeCell ref="T154:T176"/>
    <mergeCell ref="T150:T152"/>
    <mergeCell ref="T145:T149"/>
    <mergeCell ref="U128:U132"/>
    <mergeCell ref="L131:P132"/>
    <mergeCell ref="Q131:Q132"/>
    <mergeCell ref="R131:S132"/>
    <mergeCell ref="L133:P135"/>
    <mergeCell ref="Q133:Q135"/>
    <mergeCell ref="R133:S135"/>
    <mergeCell ref="U133:U142"/>
    <mergeCell ref="L136:P138"/>
    <mergeCell ref="Q136:Q138"/>
    <mergeCell ref="R136:S138"/>
    <mergeCell ref="L139:P141"/>
    <mergeCell ref="Q139:Q141"/>
    <mergeCell ref="R139:S141"/>
    <mergeCell ref="L142:P142"/>
    <mergeCell ref="R142:S142"/>
    <mergeCell ref="T133:T142"/>
    <mergeCell ref="T128:T132"/>
    <mergeCell ref="Q128:Q130"/>
    <mergeCell ref="R128:S130"/>
    <mergeCell ref="U115:U117"/>
    <mergeCell ref="R118:S118"/>
    <mergeCell ref="Q119:Q121"/>
    <mergeCell ref="R119:S121"/>
    <mergeCell ref="U119:U126"/>
    <mergeCell ref="Q122:Q124"/>
    <mergeCell ref="R122:S124"/>
    <mergeCell ref="Q125:Q126"/>
    <mergeCell ref="R125:S126"/>
    <mergeCell ref="T119:T126"/>
    <mergeCell ref="Q115:Q117"/>
    <mergeCell ref="R115:S117"/>
    <mergeCell ref="T115:T117"/>
    <mergeCell ref="U78:U80"/>
    <mergeCell ref="R81:S81"/>
    <mergeCell ref="Q82:Q84"/>
    <mergeCell ref="R82:S84"/>
    <mergeCell ref="U82:U114"/>
    <mergeCell ref="Q85:Q87"/>
    <mergeCell ref="R85:S87"/>
    <mergeCell ref="Q88:Q90"/>
    <mergeCell ref="R88:S90"/>
    <mergeCell ref="Q91:Q93"/>
    <mergeCell ref="R91:S93"/>
    <mergeCell ref="Q94:Q97"/>
    <mergeCell ref="R94:S97"/>
    <mergeCell ref="Q98:Q100"/>
    <mergeCell ref="R98:S100"/>
    <mergeCell ref="Q101:Q103"/>
    <mergeCell ref="R101:S103"/>
    <mergeCell ref="Q104:Q106"/>
    <mergeCell ref="R104:S106"/>
    <mergeCell ref="Q107:Q109"/>
    <mergeCell ref="R107:S109"/>
    <mergeCell ref="Q110:Q112"/>
    <mergeCell ref="R110:S112"/>
    <mergeCell ref="Q113:Q114"/>
    <mergeCell ref="U55:U77"/>
    <mergeCell ref="Q58:Q60"/>
    <mergeCell ref="R58:S60"/>
    <mergeCell ref="Q61:Q63"/>
    <mergeCell ref="R61:S63"/>
    <mergeCell ref="Q64:Q66"/>
    <mergeCell ref="R64:S66"/>
    <mergeCell ref="Q67:Q69"/>
    <mergeCell ref="R67:S69"/>
    <mergeCell ref="Q70:Q72"/>
    <mergeCell ref="R70:S72"/>
    <mergeCell ref="Q73:Q75"/>
    <mergeCell ref="R73:S75"/>
    <mergeCell ref="Q76:Q77"/>
    <mergeCell ref="R76:S77"/>
    <mergeCell ref="U35:U37"/>
    <mergeCell ref="R38:S38"/>
    <mergeCell ref="Q39:Q43"/>
    <mergeCell ref="R39:S43"/>
    <mergeCell ref="U39:U53"/>
    <mergeCell ref="Q44:Q46"/>
    <mergeCell ref="R44:S46"/>
    <mergeCell ref="Q47:Q48"/>
    <mergeCell ref="R47:S48"/>
    <mergeCell ref="R49:S49"/>
    <mergeCell ref="R50:S50"/>
    <mergeCell ref="Q51:Q52"/>
    <mergeCell ref="R51:S52"/>
    <mergeCell ref="R53:S53"/>
    <mergeCell ref="T35:T37"/>
    <mergeCell ref="Q35:Q37"/>
    <mergeCell ref="R35:S37"/>
    <mergeCell ref="A153:A243"/>
    <mergeCell ref="N19:Q19"/>
    <mergeCell ref="B7:E7"/>
    <mergeCell ref="F7:G7"/>
    <mergeCell ref="H7:I7"/>
    <mergeCell ref="J7:K7"/>
    <mergeCell ref="L7:M7"/>
    <mergeCell ref="N7:O7"/>
    <mergeCell ref="P7:Q7"/>
    <mergeCell ref="B8:E8"/>
    <mergeCell ref="F8:G8"/>
    <mergeCell ref="H8:I8"/>
    <mergeCell ref="J8:K8"/>
    <mergeCell ref="L8:M8"/>
    <mergeCell ref="B16:E16"/>
    <mergeCell ref="F16:Q16"/>
    <mergeCell ref="F17:I18"/>
    <mergeCell ref="J17:M18"/>
    <mergeCell ref="N17:Q18"/>
    <mergeCell ref="F19:I19"/>
    <mergeCell ref="J19:M19"/>
    <mergeCell ref="L64:P66"/>
    <mergeCell ref="B81:G81"/>
    <mergeCell ref="B38:G38"/>
    <mergeCell ref="N8:O8"/>
    <mergeCell ref="P8:Q8"/>
    <mergeCell ref="I39:I53"/>
    <mergeCell ref="F5:I5"/>
    <mergeCell ref="J5:M5"/>
    <mergeCell ref="N5:Q5"/>
    <mergeCell ref="F6:G6"/>
    <mergeCell ref="H6:I6"/>
    <mergeCell ref="J6:K6"/>
    <mergeCell ref="L6:M6"/>
    <mergeCell ref="N6:O6"/>
    <mergeCell ref="P6:Q6"/>
    <mergeCell ref="B32:G34"/>
    <mergeCell ref="H32:H34"/>
    <mergeCell ref="B15:E15"/>
    <mergeCell ref="F15:Q15"/>
    <mergeCell ref="B23:E23"/>
    <mergeCell ref="F23:Q23"/>
    <mergeCell ref="B45:G53"/>
    <mergeCell ref="H45:H53"/>
    <mergeCell ref="B42:G44"/>
    <mergeCell ref="B39:G41"/>
    <mergeCell ref="H39:H41"/>
    <mergeCell ref="H42:H44"/>
    <mergeCell ref="B87:G87"/>
    <mergeCell ref="H88:H100"/>
    <mergeCell ref="B115:G117"/>
    <mergeCell ref="H76:H77"/>
    <mergeCell ref="B76:G77"/>
    <mergeCell ref="B67:G70"/>
    <mergeCell ref="B55:G56"/>
    <mergeCell ref="H55:H56"/>
    <mergeCell ref="B57:G64"/>
    <mergeCell ref="H57:H64"/>
    <mergeCell ref="B65:G66"/>
    <mergeCell ref="H65:H66"/>
    <mergeCell ref="H67:H70"/>
    <mergeCell ref="B71:G73"/>
    <mergeCell ref="H71:H73"/>
    <mergeCell ref="H115:H117"/>
    <mergeCell ref="B133:G142"/>
    <mergeCell ref="H133:H142"/>
    <mergeCell ref="J145:K149"/>
    <mergeCell ref="H82:H86"/>
    <mergeCell ref="B82:G86"/>
    <mergeCell ref="B128:G132"/>
    <mergeCell ref="H128:H132"/>
    <mergeCell ref="H124:H126"/>
    <mergeCell ref="B124:G126"/>
    <mergeCell ref="B119:G123"/>
    <mergeCell ref="H119:H123"/>
    <mergeCell ref="B113:G114"/>
    <mergeCell ref="H113:H114"/>
    <mergeCell ref="B111:G112"/>
    <mergeCell ref="H111:H112"/>
    <mergeCell ref="B118:G118"/>
    <mergeCell ref="B127:G127"/>
    <mergeCell ref="B109:G110"/>
    <mergeCell ref="H109:H110"/>
    <mergeCell ref="B107:G108"/>
    <mergeCell ref="H107:H108"/>
    <mergeCell ref="B101:G106"/>
    <mergeCell ref="H101:H106"/>
    <mergeCell ref="B88:G100"/>
    <mergeCell ref="L177:P177"/>
    <mergeCell ref="L153:P153"/>
    <mergeCell ref="L127:P127"/>
    <mergeCell ref="I118:K118"/>
    <mergeCell ref="L173:P175"/>
    <mergeCell ref="L176:P176"/>
    <mergeCell ref="L104:P106"/>
    <mergeCell ref="L150:P152"/>
    <mergeCell ref="I127:K127"/>
    <mergeCell ref="L157:P165"/>
    <mergeCell ref="L166:P168"/>
    <mergeCell ref="L169:P172"/>
    <mergeCell ref="L128:P130"/>
    <mergeCell ref="L115:P117"/>
    <mergeCell ref="B167:G169"/>
    <mergeCell ref="H167:H169"/>
    <mergeCell ref="I153:K153"/>
    <mergeCell ref="B153:G153"/>
    <mergeCell ref="B177:G177"/>
    <mergeCell ref="B157:G166"/>
    <mergeCell ref="H157:H166"/>
    <mergeCell ref="B178:G178"/>
    <mergeCell ref="B173:G175"/>
    <mergeCell ref="H173:H175"/>
    <mergeCell ref="R143:S143"/>
    <mergeCell ref="B150:G152"/>
    <mergeCell ref="H150:H152"/>
    <mergeCell ref="B143:G143"/>
    <mergeCell ref="B144:G144"/>
    <mergeCell ref="B145:G149"/>
    <mergeCell ref="H145:H149"/>
    <mergeCell ref="L39:P43"/>
    <mergeCell ref="L61:P63"/>
    <mergeCell ref="L67:P69"/>
    <mergeCell ref="L44:P46"/>
    <mergeCell ref="L73:P75"/>
    <mergeCell ref="L55:P57"/>
    <mergeCell ref="I81:K81"/>
    <mergeCell ref="J39:K53"/>
    <mergeCell ref="I119:I126"/>
    <mergeCell ref="J119:K126"/>
    <mergeCell ref="L119:P121"/>
    <mergeCell ref="L122:P124"/>
    <mergeCell ref="L125:P126"/>
    <mergeCell ref="I115:K117"/>
    <mergeCell ref="I78:K80"/>
    <mergeCell ref="I82:I114"/>
    <mergeCell ref="J82:K114"/>
    <mergeCell ref="T82:T114"/>
    <mergeCell ref="T55:T77"/>
    <mergeCell ref="T39:T53"/>
    <mergeCell ref="L47:P48"/>
    <mergeCell ref="L50:P50"/>
    <mergeCell ref="L51:P52"/>
    <mergeCell ref="L53:P53"/>
    <mergeCell ref="L54:P54"/>
    <mergeCell ref="R54:S54"/>
    <mergeCell ref="Q55:Q57"/>
    <mergeCell ref="R55:S57"/>
    <mergeCell ref="Q78:Q80"/>
    <mergeCell ref="R78:S80"/>
    <mergeCell ref="R113:S114"/>
    <mergeCell ref="L81:P81"/>
    <mergeCell ref="L76:P77"/>
    <mergeCell ref="L107:P109"/>
    <mergeCell ref="L110:P112"/>
    <mergeCell ref="L113:P114"/>
    <mergeCell ref="L82:P84"/>
    <mergeCell ref="L101:P103"/>
    <mergeCell ref="L78:P80"/>
    <mergeCell ref="T78:T80"/>
    <mergeCell ref="I54:K54"/>
    <mergeCell ref="L70:P72"/>
    <mergeCell ref="L58:P60"/>
    <mergeCell ref="I55:I77"/>
    <mergeCell ref="J55:K77"/>
    <mergeCell ref="L49:P49"/>
    <mergeCell ref="L241:P243"/>
    <mergeCell ref="L208:P210"/>
    <mergeCell ref="L234:P234"/>
    <mergeCell ref="L226:P228"/>
    <mergeCell ref="L85:P87"/>
    <mergeCell ref="L88:P90"/>
    <mergeCell ref="L91:P93"/>
    <mergeCell ref="L94:P97"/>
    <mergeCell ref="L98:P100"/>
    <mergeCell ref="L118:P118"/>
    <mergeCell ref="L143:P143"/>
    <mergeCell ref="L154:P156"/>
    <mergeCell ref="J143:K143"/>
    <mergeCell ref="J144:K144"/>
    <mergeCell ref="L190:P191"/>
    <mergeCell ref="L187:P189"/>
    <mergeCell ref="L181:P183"/>
    <mergeCell ref="L192:P192"/>
    <mergeCell ref="R144:S144"/>
    <mergeCell ref="L145:P147"/>
    <mergeCell ref="Q145:Q147"/>
    <mergeCell ref="R145:S147"/>
    <mergeCell ref="R208:S210"/>
    <mergeCell ref="R127:S127"/>
    <mergeCell ref="A32:A126"/>
    <mergeCell ref="I32:I34"/>
    <mergeCell ref="J32:K34"/>
    <mergeCell ref="I154:I176"/>
    <mergeCell ref="J154:K176"/>
    <mergeCell ref="J178:K191"/>
    <mergeCell ref="J193:K233"/>
    <mergeCell ref="A150:A152"/>
    <mergeCell ref="A145:A149"/>
    <mergeCell ref="A133:A142"/>
    <mergeCell ref="A128:A132"/>
    <mergeCell ref="I150:I152"/>
    <mergeCell ref="I145:I149"/>
    <mergeCell ref="I133:I142"/>
    <mergeCell ref="I128:I132"/>
    <mergeCell ref="J128:K132"/>
    <mergeCell ref="J133:K142"/>
    <mergeCell ref="J150:K152"/>
    <mergeCell ref="B154:G156"/>
    <mergeCell ref="H154:H156"/>
    <mergeCell ref="B217:G217"/>
    <mergeCell ref="B212:G215"/>
    <mergeCell ref="H212:H215"/>
    <mergeCell ref="B203:G203"/>
    <mergeCell ref="B201:G202"/>
    <mergeCell ref="H201:H202"/>
    <mergeCell ref="B216:G216"/>
    <mergeCell ref="B208:G211"/>
    <mergeCell ref="B179:G183"/>
    <mergeCell ref="H179:H183"/>
    <mergeCell ref="B207:G207"/>
    <mergeCell ref="B204:G206"/>
    <mergeCell ref="H190:H191"/>
    <mergeCell ref="B192:G192"/>
    <mergeCell ref="H204:H206"/>
    <mergeCell ref="B185:G187"/>
    <mergeCell ref="B184:G184"/>
    <mergeCell ref="B190:G191"/>
    <mergeCell ref="B170:G172"/>
    <mergeCell ref="B188:G189"/>
    <mergeCell ref="H170:H172"/>
    <mergeCell ref="B176:G176"/>
    <mergeCell ref="B243:G243"/>
    <mergeCell ref="B240:G242"/>
    <mergeCell ref="H240:H242"/>
    <mergeCell ref="I234:K234"/>
    <mergeCell ref="L229:P233"/>
    <mergeCell ref="B235:G239"/>
    <mergeCell ref="B234:G234"/>
    <mergeCell ref="B231:G233"/>
    <mergeCell ref="B229:G230"/>
    <mergeCell ref="H229:H230"/>
    <mergeCell ref="L235:P237"/>
    <mergeCell ref="I193:I233"/>
    <mergeCell ref="H218:H221"/>
    <mergeCell ref="J244:K245"/>
    <mergeCell ref="Q244:Q245"/>
    <mergeCell ref="R244:S245"/>
    <mergeCell ref="L184:P186"/>
    <mergeCell ref="L238:P240"/>
    <mergeCell ref="H231:H233"/>
    <mergeCell ref="I235:I243"/>
    <mergeCell ref="H235:H239"/>
    <mergeCell ref="J235:K243"/>
    <mergeCell ref="H188:H189"/>
    <mergeCell ref="I178:I191"/>
    <mergeCell ref="H185:H187"/>
    <mergeCell ref="Q217:Q225"/>
    <mergeCell ref="R217:S225"/>
    <mergeCell ref="H193:H199"/>
    <mergeCell ref="B272:F272"/>
    <mergeCell ref="H272:J272"/>
    <mergeCell ref="B274:F275"/>
    <mergeCell ref="H274:J275"/>
    <mergeCell ref="B253:F253"/>
    <mergeCell ref="H253:J253"/>
    <mergeCell ref="G254:J254"/>
    <mergeCell ref="B255:F255"/>
    <mergeCell ref="H255:J255"/>
    <mergeCell ref="B257:F257"/>
    <mergeCell ref="H257:J257"/>
    <mergeCell ref="B259:F260"/>
    <mergeCell ref="H259:J260"/>
    <mergeCell ref="B264:F264"/>
    <mergeCell ref="H264:J264"/>
    <mergeCell ref="B266:F266"/>
    <mergeCell ref="H266:J266"/>
    <mergeCell ref="B268:F268"/>
    <mergeCell ref="H268:J268"/>
    <mergeCell ref="G269:J269"/>
    <mergeCell ref="B270:F270"/>
    <mergeCell ref="H270:J270"/>
    <mergeCell ref="B249:F249"/>
    <mergeCell ref="H249:J249"/>
    <mergeCell ref="B251:F251"/>
    <mergeCell ref="L178:P180"/>
    <mergeCell ref="L205:P207"/>
    <mergeCell ref="L217:P225"/>
    <mergeCell ref="AA5:AA7"/>
    <mergeCell ref="B35:G37"/>
    <mergeCell ref="H35:H37"/>
    <mergeCell ref="B227:G228"/>
    <mergeCell ref="H227:H228"/>
    <mergeCell ref="B223:G226"/>
    <mergeCell ref="H223:H226"/>
    <mergeCell ref="H208:H211"/>
    <mergeCell ref="B222:G222"/>
    <mergeCell ref="R177:S177"/>
    <mergeCell ref="Q178:Q180"/>
    <mergeCell ref="R178:S180"/>
    <mergeCell ref="B200:G200"/>
    <mergeCell ref="B193:G199"/>
    <mergeCell ref="B218:G221"/>
    <mergeCell ref="H251:J251"/>
    <mergeCell ref="I244:I245"/>
    <mergeCell ref="B244:H245"/>
  </mergeCells>
  <phoneticPr fontId="37" type="noConversion"/>
  <conditionalFormatting sqref="AA39">
    <cfRule type="containsText" dxfId="1415" priority="347" operator="containsText" text="Ja">
      <formula>NOT(ISERROR(SEARCH("Ja",AA39)))</formula>
    </cfRule>
  </conditionalFormatting>
  <conditionalFormatting sqref="AA232">
    <cfRule type="containsText" dxfId="1414" priority="338" operator="containsText" text="Ja">
      <formula>NOT(ISERROR(SEARCH("Ja",AA232)))</formula>
    </cfRule>
  </conditionalFormatting>
  <conditionalFormatting sqref="AA55">
    <cfRule type="containsText" dxfId="1413" priority="345" operator="containsText" text="Ja">
      <formula>NOT(ISERROR(SEARCH("Ja",AA55)))</formula>
    </cfRule>
  </conditionalFormatting>
  <conditionalFormatting sqref="AA79">
    <cfRule type="containsText" dxfId="1412" priority="344" operator="containsText" text="Ja">
      <formula>NOT(ISERROR(SEARCH("Ja",AA79)))</formula>
    </cfRule>
  </conditionalFormatting>
  <conditionalFormatting sqref="AA113">
    <cfRule type="containsText" dxfId="1411" priority="343" operator="containsText" text="Ja">
      <formula>NOT(ISERROR(SEARCH("Ja",AA113)))</formula>
    </cfRule>
  </conditionalFormatting>
  <conditionalFormatting sqref="AA125">
    <cfRule type="containsText" dxfId="1410" priority="342" operator="containsText" text="Ja">
      <formula>NOT(ISERROR(SEARCH("Ja",AA125)))</formula>
    </cfRule>
  </conditionalFormatting>
  <conditionalFormatting sqref="AA151">
    <cfRule type="containsText" dxfId="1409" priority="341" operator="containsText" text="Ja">
      <formula>NOT(ISERROR(SEARCH("Ja",AA151)))</formula>
    </cfRule>
  </conditionalFormatting>
  <conditionalFormatting sqref="AA175">
    <cfRule type="containsText" dxfId="1408" priority="340" operator="containsText" text="Ja">
      <formula>NOT(ISERROR(SEARCH("Ja",AA175)))</formula>
    </cfRule>
  </conditionalFormatting>
  <conditionalFormatting sqref="AA190">
    <cfRule type="containsText" dxfId="1407" priority="339" operator="containsText" text="Ja">
      <formula>NOT(ISERROR(SEARCH("Ja",AA190)))</formula>
    </cfRule>
  </conditionalFormatting>
  <conditionalFormatting sqref="B280:B287">
    <cfRule type="cellIs" dxfId="1406" priority="76" operator="greaterThan">
      <formula>0</formula>
    </cfRule>
  </conditionalFormatting>
  <conditionalFormatting sqref="C280:P288">
    <cfRule type="expression" dxfId="1405" priority="75">
      <formula>$B280&gt;=1</formula>
    </cfRule>
  </conditionalFormatting>
  <conditionalFormatting sqref="C281:P281">
    <cfRule type="expression" dxfId="1404" priority="74">
      <formula>$B281&gt;=1</formula>
    </cfRule>
  </conditionalFormatting>
  <conditionalFormatting sqref="C282:P282">
    <cfRule type="expression" dxfId="1403" priority="73">
      <formula>$B282&gt;=1</formula>
    </cfRule>
  </conditionalFormatting>
  <conditionalFormatting sqref="C283:P283">
    <cfRule type="expression" dxfId="1402" priority="72">
      <formula>$B283&gt;=1</formula>
    </cfRule>
  </conditionalFormatting>
  <conditionalFormatting sqref="C284:P284">
    <cfRule type="expression" dxfId="1401" priority="71">
      <formula>$B284&gt;=1</formula>
    </cfRule>
  </conditionalFormatting>
  <conditionalFormatting sqref="C285:P285">
    <cfRule type="expression" dxfId="1400" priority="70">
      <formula>$B285&gt;=1</formula>
    </cfRule>
  </conditionalFormatting>
  <conditionalFormatting sqref="C286:P286">
    <cfRule type="expression" dxfId="1399" priority="69">
      <formula>$B286&gt;=1</formula>
    </cfRule>
  </conditionalFormatting>
  <conditionalFormatting sqref="C287:P288">
    <cfRule type="expression" dxfId="1398" priority="68">
      <formula>$B287&gt;=1</formula>
    </cfRule>
  </conditionalFormatting>
  <conditionalFormatting sqref="C280:P288">
    <cfRule type="cellIs" dxfId="1397" priority="67" operator="greaterThan">
      <formula>0</formula>
    </cfRule>
  </conditionalFormatting>
  <conditionalFormatting sqref="F23">
    <cfRule type="expression" dxfId="1396" priority="66">
      <formula>$H$8+$L$8+$P$8&gt;0</formula>
    </cfRule>
  </conditionalFormatting>
  <conditionalFormatting sqref="R241">
    <cfRule type="expression" dxfId="1395" priority="6">
      <formula>Q241="ja"</formula>
    </cfRule>
  </conditionalFormatting>
  <conditionalFormatting sqref="T39:T53 T55:T77 T82:T114 T119:T126 T154:T176 T178:T191 T193:T233 T235:T243 T128:T152">
    <cfRule type="cellIs" dxfId="1394" priority="58" operator="equal">
      <formula>"ja"</formula>
    </cfRule>
  </conditionalFormatting>
  <conditionalFormatting sqref="R229">
    <cfRule type="expression" dxfId="1393" priority="10">
      <formula>Q229="ja"</formula>
    </cfRule>
  </conditionalFormatting>
  <conditionalFormatting sqref="R235">
    <cfRule type="expression" dxfId="1392" priority="8">
      <formula>Q235="ja"</formula>
    </cfRule>
  </conditionalFormatting>
  <conditionalFormatting sqref="R238">
    <cfRule type="expression" dxfId="1391" priority="7">
      <formula>Q238="ja"</formula>
    </cfRule>
  </conditionalFormatting>
  <conditionalFormatting sqref="R39">
    <cfRule type="expression" dxfId="1390" priority="57">
      <formula>Q39="ja"</formula>
    </cfRule>
  </conditionalFormatting>
  <conditionalFormatting sqref="R44">
    <cfRule type="expression" dxfId="1389" priority="56">
      <formula>Q44="ja"</formula>
    </cfRule>
  </conditionalFormatting>
  <conditionalFormatting sqref="R47">
    <cfRule type="expression" dxfId="1388" priority="55">
      <formula>Q47="ja"</formula>
    </cfRule>
  </conditionalFormatting>
  <conditionalFormatting sqref="R49 R51 R53">
    <cfRule type="expression" dxfId="1387" priority="54">
      <formula>Q49="ja"</formula>
    </cfRule>
  </conditionalFormatting>
  <conditionalFormatting sqref="R50">
    <cfRule type="expression" dxfId="1386" priority="53">
      <formula>Q50="ja"</formula>
    </cfRule>
  </conditionalFormatting>
  <conditionalFormatting sqref="R55">
    <cfRule type="expression" dxfId="1385" priority="52">
      <formula>Q55="ja"</formula>
    </cfRule>
  </conditionalFormatting>
  <conditionalFormatting sqref="R58 R61 R64 R67 R70 R73">
    <cfRule type="expression" dxfId="1384" priority="51">
      <formula>Q58="ja"</formula>
    </cfRule>
  </conditionalFormatting>
  <conditionalFormatting sqref="R76">
    <cfRule type="expression" dxfId="1383" priority="50">
      <formula>Q76="ja"</formula>
    </cfRule>
  </conditionalFormatting>
  <conditionalFormatting sqref="R82 R85 R88 R91 R94:R95 R98 R101 R104 R107 R110">
    <cfRule type="expression" dxfId="1382" priority="49">
      <formula>Q82="ja"</formula>
    </cfRule>
  </conditionalFormatting>
  <conditionalFormatting sqref="R113">
    <cfRule type="expression" dxfId="1381" priority="48">
      <formula>Q113="ja"</formula>
    </cfRule>
  </conditionalFormatting>
  <conditionalFormatting sqref="R125">
    <cfRule type="expression" dxfId="1380" priority="45">
      <formula>Q125="ja"</formula>
    </cfRule>
  </conditionalFormatting>
  <conditionalFormatting sqref="R119">
    <cfRule type="expression" dxfId="1379" priority="47">
      <formula>Q119="ja"</formula>
    </cfRule>
  </conditionalFormatting>
  <conditionalFormatting sqref="R122">
    <cfRule type="expression" dxfId="1378" priority="46">
      <formula>Q122="ja"</formula>
    </cfRule>
  </conditionalFormatting>
  <conditionalFormatting sqref="R128">
    <cfRule type="expression" dxfId="1377" priority="44">
      <formula>Q128="ja"</formula>
    </cfRule>
  </conditionalFormatting>
  <conditionalFormatting sqref="R131">
    <cfRule type="expression" dxfId="1376" priority="43">
      <formula>Q131="ja"</formula>
    </cfRule>
  </conditionalFormatting>
  <conditionalFormatting sqref="R133">
    <cfRule type="expression" dxfId="1375" priority="42">
      <formula>Q133="ja"</formula>
    </cfRule>
  </conditionalFormatting>
  <conditionalFormatting sqref="R136">
    <cfRule type="expression" dxfId="1374" priority="41">
      <formula>Q136="ja"</formula>
    </cfRule>
  </conditionalFormatting>
  <conditionalFormatting sqref="R139">
    <cfRule type="expression" dxfId="1373" priority="40">
      <formula>Q139="ja"</formula>
    </cfRule>
  </conditionalFormatting>
  <conditionalFormatting sqref="R142">
    <cfRule type="expression" dxfId="1372" priority="39">
      <formula>Q142="ja"</formula>
    </cfRule>
  </conditionalFormatting>
  <conditionalFormatting sqref="R143">
    <cfRule type="expression" dxfId="1371" priority="38">
      <formula>Q143="ja"</formula>
    </cfRule>
  </conditionalFormatting>
  <conditionalFormatting sqref="R144">
    <cfRule type="expression" dxfId="1370" priority="37">
      <formula>Q144="ja"</formula>
    </cfRule>
  </conditionalFormatting>
  <conditionalFormatting sqref="R145">
    <cfRule type="expression" dxfId="1369" priority="36">
      <formula>Q145="ja"</formula>
    </cfRule>
  </conditionalFormatting>
  <conditionalFormatting sqref="R148">
    <cfRule type="expression" dxfId="1368" priority="35">
      <formula>Q148="ja"</formula>
    </cfRule>
  </conditionalFormatting>
  <conditionalFormatting sqref="R150">
    <cfRule type="expression" dxfId="1367" priority="34">
      <formula>Q150="ja"</formula>
    </cfRule>
  </conditionalFormatting>
  <conditionalFormatting sqref="R154">
    <cfRule type="expression" dxfId="1366" priority="33">
      <formula>Q154="ja"</formula>
    </cfRule>
  </conditionalFormatting>
  <conditionalFormatting sqref="R157:R163">
    <cfRule type="expression" dxfId="1365" priority="32">
      <formula>Q157="ja"</formula>
    </cfRule>
  </conditionalFormatting>
  <conditionalFormatting sqref="R166">
    <cfRule type="expression" dxfId="1364" priority="31">
      <formula>Q166="ja"</formula>
    </cfRule>
  </conditionalFormatting>
  <conditionalFormatting sqref="R169">
    <cfRule type="expression" dxfId="1363" priority="30">
      <formula>Q169="ja"</formula>
    </cfRule>
  </conditionalFormatting>
  <conditionalFormatting sqref="R173">
    <cfRule type="expression" dxfId="1362" priority="29">
      <formula>Q173="ja"</formula>
    </cfRule>
  </conditionalFormatting>
  <conditionalFormatting sqref="R176">
    <cfRule type="expression" dxfId="1361" priority="28">
      <formula>Q176="ja"</formula>
    </cfRule>
  </conditionalFormatting>
  <conditionalFormatting sqref="R178">
    <cfRule type="expression" dxfId="1360" priority="27">
      <formula>Q178="ja"</formula>
    </cfRule>
  </conditionalFormatting>
  <conditionalFormatting sqref="R181">
    <cfRule type="expression" dxfId="1359" priority="26">
      <formula>Q181="ja"</formula>
    </cfRule>
  </conditionalFormatting>
  <conditionalFormatting sqref="R184">
    <cfRule type="expression" dxfId="1358" priority="25">
      <formula>Q184="ja"</formula>
    </cfRule>
  </conditionalFormatting>
  <conditionalFormatting sqref="R187">
    <cfRule type="expression" dxfId="1357" priority="24">
      <formula>Q187="ja"</formula>
    </cfRule>
  </conditionalFormatting>
  <conditionalFormatting sqref="R190">
    <cfRule type="expression" dxfId="1356" priority="23">
      <formula>Q190="ja"</formula>
    </cfRule>
  </conditionalFormatting>
  <conditionalFormatting sqref="R226">
    <cfRule type="expression" dxfId="1355" priority="11">
      <formula>Q226="ja"</formula>
    </cfRule>
  </conditionalFormatting>
  <conditionalFormatting sqref="R193">
    <cfRule type="expression" dxfId="1354" priority="22">
      <formula>Q193="ja"</formula>
    </cfRule>
  </conditionalFormatting>
  <conditionalFormatting sqref="R205">
    <cfRule type="expression" dxfId="1353" priority="18">
      <formula>Q205="ja"</formula>
    </cfRule>
  </conditionalFormatting>
  <conditionalFormatting sqref="R208">
    <cfRule type="expression" dxfId="1352" priority="17">
      <formula>Q208="ja"</formula>
    </cfRule>
  </conditionalFormatting>
  <conditionalFormatting sqref="R211">
    <cfRule type="expression" dxfId="1351" priority="16">
      <formula>Q211="ja"</formula>
    </cfRule>
  </conditionalFormatting>
  <conditionalFormatting sqref="R217">
    <cfRule type="expression" dxfId="1350" priority="14">
      <formula>Q217="ja"</formula>
    </cfRule>
  </conditionalFormatting>
  <conditionalFormatting sqref="B288">
    <cfRule type="cellIs" dxfId="1349" priority="5" operator="greaterThan">
      <formula>0</formula>
    </cfRule>
  </conditionalFormatting>
  <conditionalFormatting sqref="R203">
    <cfRule type="expression" dxfId="1348" priority="717">
      <formula>Q203="ja"</formula>
    </cfRule>
  </conditionalFormatting>
  <dataValidations count="2">
    <dataValidation type="list" allowBlank="1" showInputMessage="1" showErrorMessage="1" sqref="H39:H53 Q235:Q243 Q178:Q191 Q154:Q176 Q128:Q152 Q119:Q126 Q82:Q114 Q55:Q77 Q39:Q53 H128:H152 H119:H126 H235:H243 H82:H114 H55:H77 H193:H233 H178:H191 Q193 Q203 Q226:Q229 Q205:Q211 Q217 H154:H176" xr:uid="{B33C3092-20E9-41AB-9D1C-DA11E3220707}">
      <formula1>$T$32:$T$33</formula1>
    </dataValidation>
    <dataValidation type="list" allowBlank="1" showInputMessage="1" showErrorMessage="1" sqref="F15:Q15" xr:uid="{EB5053EC-CEE7-44E5-BEE7-DD866C59D9D1}">
      <formula1>$V$15:$V$17</formula1>
    </dataValidation>
  </dataValidations>
  <pageMargins left="0.25" right="0.25" top="0.75" bottom="0.75" header="0.3" footer="0.3"/>
  <pageSetup paperSize="9" scale="50" fitToHeight="99" orientation="portrait" r:id="rId1"/>
  <headerFooter>
    <oddHeader xml:space="preserve">&amp;L
</oddHeader>
  </headerFooter>
  <rowBreaks count="3" manualBreakCount="3">
    <brk id="87" max="16383" man="1"/>
    <brk id="187" max="16383" man="1"/>
    <brk id="276" max="16383" man="1"/>
  </rowBreaks>
  <ignoredErrors>
    <ignoredError sqref="R23 J8 F8" unlockedFormula="1"/>
    <ignoredError sqref="Z177"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95EA0C9D-8C7F-40DB-A2B0-1380CDBD3EAE}">
          <x14:formula1>
            <xm:f>'Berechnung - Hochbau'!$H$52:$H$56</xm:f>
          </x14:formula1>
          <xm:sqref>F16</xm:sqref>
        </x14:dataValidation>
        <x14:dataValidation type="list" allowBlank="1" showInputMessage="1" showErrorMessage="1" xr:uid="{E5CF8511-F6A6-4CDF-8065-59C2C7D369FE}">
          <x14:formula1>
            <xm:f>'Berechnung - Hochbau'!$B$109:$B$112</xm:f>
          </x14:formula1>
          <xm:sqref>R5:S6 W5:X6</xm:sqref>
        </x14:dataValidation>
        <x14:dataValidation type="list" allowBlank="1" showInputMessage="1" showErrorMessage="1" xr:uid="{3904A96C-BA5F-4331-A1EA-68E6E81C9DC4}">
          <x14:formula1>
            <xm:f>'Berechnung - Abwasser'!$B$138:$B$147</xm:f>
          </x14:formula1>
          <xm:sqref>U39:U233 U235:U243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170DC-2977-40E6-B0FC-D41B8C3908D1}">
  <sheetPr codeName="Tabelle17">
    <tabColor rgb="FFFFC000"/>
  </sheetPr>
  <dimension ref="A1:R159"/>
  <sheetViews>
    <sheetView workbookViewId="0"/>
  </sheetViews>
  <sheetFormatPr baseColWidth="10" defaultColWidth="11.44140625" defaultRowHeight="14.55" x14ac:dyDescent="0.3"/>
  <cols>
    <col min="1" max="1" width="12.77734375" style="594" bestFit="1" customWidth="1"/>
    <col min="2" max="2" width="11.5546875" style="594" bestFit="1" customWidth="1"/>
    <col min="3" max="6" width="11.77734375" style="594" bestFit="1" customWidth="1"/>
    <col min="7" max="7" width="17.77734375" style="594" bestFit="1" customWidth="1"/>
    <col min="8" max="8" width="15" style="594" bestFit="1" customWidth="1"/>
    <col min="9" max="9" width="17.77734375" style="594" bestFit="1" customWidth="1"/>
    <col min="10" max="10" width="14.5546875" style="594" bestFit="1" customWidth="1"/>
    <col min="11" max="12" width="12" style="594" bestFit="1" customWidth="1"/>
    <col min="13" max="17" width="11.5546875"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x14ac:dyDescent="0.3">
      <c r="A2" s="1443" t="s">
        <v>300</v>
      </c>
      <c r="B2" s="593"/>
      <c r="C2" s="1448" t="s">
        <v>301</v>
      </c>
      <c r="D2" s="1449"/>
      <c r="E2" s="593"/>
      <c r="F2" s="1448" t="s">
        <v>302</v>
      </c>
      <c r="G2" s="1449"/>
      <c r="H2" s="593"/>
      <c r="I2" s="1448" t="s">
        <v>303</v>
      </c>
      <c r="J2" s="1449"/>
    </row>
    <row r="3" spans="1:13" ht="26.2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6">
        <v>2547</v>
      </c>
      <c r="G6" s="607">
        <v>2990</v>
      </c>
      <c r="H6" s="605"/>
      <c r="I6" s="606">
        <v>2990</v>
      </c>
      <c r="J6" s="607">
        <v>3405</v>
      </c>
    </row>
    <row r="7" spans="1:13" x14ac:dyDescent="0.3">
      <c r="A7" s="610">
        <v>10000</v>
      </c>
      <c r="B7" s="605"/>
      <c r="C7" s="611">
        <v>3689</v>
      </c>
      <c r="D7" s="612">
        <v>4408</v>
      </c>
      <c r="E7" s="605"/>
      <c r="F7" s="611">
        <v>4408</v>
      </c>
      <c r="G7" s="612">
        <v>5174</v>
      </c>
      <c r="H7" s="605"/>
      <c r="I7" s="611">
        <v>5174</v>
      </c>
      <c r="J7" s="612">
        <v>5893</v>
      </c>
    </row>
    <row r="8" spans="1:13" x14ac:dyDescent="0.3">
      <c r="A8" s="610">
        <v>15000</v>
      </c>
      <c r="B8" s="605"/>
      <c r="C8" s="611">
        <v>5084</v>
      </c>
      <c r="D8" s="612">
        <v>6075</v>
      </c>
      <c r="E8" s="605"/>
      <c r="F8" s="611">
        <v>6075</v>
      </c>
      <c r="G8" s="612">
        <v>7131</v>
      </c>
      <c r="H8" s="605"/>
      <c r="I8" s="611">
        <v>7131</v>
      </c>
      <c r="J8" s="612">
        <v>8122</v>
      </c>
    </row>
    <row r="9" spans="1:13" x14ac:dyDescent="0.3">
      <c r="A9" s="610">
        <v>25000</v>
      </c>
      <c r="B9" s="605"/>
      <c r="C9" s="611">
        <v>7615</v>
      </c>
      <c r="D9" s="612">
        <v>9098</v>
      </c>
      <c r="E9" s="605"/>
      <c r="F9" s="611">
        <v>9098</v>
      </c>
      <c r="G9" s="612">
        <v>10681</v>
      </c>
      <c r="H9" s="605"/>
      <c r="I9" s="611">
        <v>10681</v>
      </c>
      <c r="J9" s="612">
        <v>12164</v>
      </c>
    </row>
    <row r="10" spans="1:13" x14ac:dyDescent="0.3">
      <c r="A10" s="610">
        <v>35000</v>
      </c>
      <c r="B10" s="605"/>
      <c r="C10" s="611">
        <v>9934</v>
      </c>
      <c r="D10" s="612">
        <v>11869</v>
      </c>
      <c r="E10" s="605"/>
      <c r="F10" s="611">
        <v>11869</v>
      </c>
      <c r="G10" s="612">
        <v>13934</v>
      </c>
      <c r="H10" s="605"/>
      <c r="I10" s="611">
        <v>13934</v>
      </c>
      <c r="J10" s="612">
        <v>15869</v>
      </c>
    </row>
    <row r="11" spans="1:13" x14ac:dyDescent="0.3">
      <c r="A11" s="610">
        <v>50000</v>
      </c>
      <c r="B11" s="605"/>
      <c r="C11" s="611">
        <v>13165</v>
      </c>
      <c r="D11" s="612">
        <v>15729</v>
      </c>
      <c r="E11" s="605"/>
      <c r="F11" s="611">
        <v>15729</v>
      </c>
      <c r="G11" s="612">
        <v>18465</v>
      </c>
      <c r="H11" s="605"/>
      <c r="I11" s="611">
        <v>18465</v>
      </c>
      <c r="J11" s="612">
        <v>21029</v>
      </c>
    </row>
    <row r="12" spans="1:13" x14ac:dyDescent="0.3">
      <c r="A12" s="610">
        <v>75000</v>
      </c>
      <c r="B12" s="605"/>
      <c r="C12" s="611">
        <v>18122</v>
      </c>
      <c r="D12" s="612">
        <v>21652</v>
      </c>
      <c r="E12" s="605"/>
      <c r="F12" s="611">
        <v>21652</v>
      </c>
      <c r="G12" s="612">
        <v>25418</v>
      </c>
      <c r="H12" s="605"/>
      <c r="I12" s="611">
        <v>25418</v>
      </c>
      <c r="J12" s="612">
        <v>28948</v>
      </c>
    </row>
    <row r="13" spans="1:13" x14ac:dyDescent="0.3">
      <c r="A13" s="610">
        <v>100000</v>
      </c>
      <c r="B13" s="605"/>
      <c r="C13" s="611">
        <v>22723</v>
      </c>
      <c r="D13" s="612">
        <v>27150</v>
      </c>
      <c r="E13" s="605"/>
      <c r="F13" s="611">
        <v>27150</v>
      </c>
      <c r="G13" s="612">
        <v>31872</v>
      </c>
      <c r="H13" s="605"/>
      <c r="I13" s="611">
        <v>31872</v>
      </c>
      <c r="J13" s="612">
        <v>36299</v>
      </c>
    </row>
    <row r="14" spans="1:13" x14ac:dyDescent="0.3">
      <c r="A14" s="610">
        <v>150000</v>
      </c>
      <c r="B14" s="605"/>
      <c r="C14" s="611">
        <v>31228</v>
      </c>
      <c r="D14" s="612">
        <v>37311</v>
      </c>
      <c r="E14" s="605"/>
      <c r="F14" s="611">
        <v>37311</v>
      </c>
      <c r="G14" s="612">
        <v>43800</v>
      </c>
      <c r="H14" s="605"/>
      <c r="I14" s="611">
        <v>43800</v>
      </c>
      <c r="J14" s="612">
        <v>49883</v>
      </c>
    </row>
    <row r="15" spans="1:13" x14ac:dyDescent="0.3">
      <c r="A15" s="610">
        <v>250000</v>
      </c>
      <c r="B15" s="605"/>
      <c r="C15" s="611">
        <v>46640</v>
      </c>
      <c r="D15" s="612">
        <v>55726</v>
      </c>
      <c r="E15" s="605"/>
      <c r="F15" s="611">
        <v>55726</v>
      </c>
      <c r="G15" s="612">
        <v>65418</v>
      </c>
      <c r="H15" s="605"/>
      <c r="I15" s="611">
        <v>65418</v>
      </c>
      <c r="J15" s="612">
        <v>74504</v>
      </c>
    </row>
    <row r="16" spans="1:13" x14ac:dyDescent="0.3">
      <c r="A16" s="610">
        <v>500000</v>
      </c>
      <c r="B16" s="605"/>
      <c r="C16" s="611">
        <v>80684</v>
      </c>
      <c r="D16" s="612">
        <v>96402</v>
      </c>
      <c r="E16" s="605"/>
      <c r="F16" s="611">
        <v>96402</v>
      </c>
      <c r="G16" s="612">
        <v>113168</v>
      </c>
      <c r="H16" s="605"/>
      <c r="I16" s="611">
        <v>113168</v>
      </c>
      <c r="J16" s="612">
        <v>128886</v>
      </c>
    </row>
    <row r="17" spans="1:12" x14ac:dyDescent="0.3">
      <c r="A17" s="610">
        <v>750000</v>
      </c>
      <c r="B17" s="605"/>
      <c r="C17" s="611">
        <v>111105</v>
      </c>
      <c r="D17" s="612">
        <v>132749</v>
      </c>
      <c r="E17" s="605"/>
      <c r="F17" s="611">
        <v>132749</v>
      </c>
      <c r="G17" s="612">
        <v>155836</v>
      </c>
      <c r="H17" s="605"/>
      <c r="I17" s="611">
        <v>155836</v>
      </c>
      <c r="J17" s="612">
        <v>177480</v>
      </c>
    </row>
    <row r="18" spans="1:12" x14ac:dyDescent="0.3">
      <c r="A18" s="610">
        <v>1000000</v>
      </c>
      <c r="B18" s="605"/>
      <c r="C18" s="611">
        <v>139347</v>
      </c>
      <c r="D18" s="612">
        <v>166493</v>
      </c>
      <c r="E18" s="605"/>
      <c r="F18" s="611">
        <v>166493</v>
      </c>
      <c r="G18" s="612">
        <v>195448</v>
      </c>
      <c r="H18" s="605"/>
      <c r="I18" s="611">
        <v>195448</v>
      </c>
      <c r="J18" s="612">
        <v>222594</v>
      </c>
    </row>
    <row r="19" spans="1:12" x14ac:dyDescent="0.3">
      <c r="A19" s="610">
        <v>1250000</v>
      </c>
      <c r="B19" s="605"/>
      <c r="C19" s="611">
        <v>166043</v>
      </c>
      <c r="D19" s="612">
        <v>198389</v>
      </c>
      <c r="E19" s="605"/>
      <c r="F19" s="611">
        <v>198389</v>
      </c>
      <c r="G19" s="612">
        <v>232891</v>
      </c>
      <c r="H19" s="605"/>
      <c r="I19" s="611">
        <v>232891</v>
      </c>
      <c r="J19" s="612">
        <v>265237</v>
      </c>
    </row>
    <row r="20" spans="1:12" x14ac:dyDescent="0.3">
      <c r="A20" s="610">
        <v>1500000</v>
      </c>
      <c r="B20" s="605"/>
      <c r="C20" s="611">
        <v>191545</v>
      </c>
      <c r="D20" s="612">
        <v>228859</v>
      </c>
      <c r="E20" s="605"/>
      <c r="F20" s="611">
        <v>228859</v>
      </c>
      <c r="G20" s="612">
        <v>268660</v>
      </c>
      <c r="H20" s="605"/>
      <c r="I20" s="611">
        <v>268660</v>
      </c>
      <c r="J20" s="612">
        <v>305974</v>
      </c>
    </row>
    <row r="21" spans="1:12" x14ac:dyDescent="0.3">
      <c r="A21" s="610">
        <v>2000000</v>
      </c>
      <c r="B21" s="605"/>
      <c r="C21" s="611">
        <v>239792</v>
      </c>
      <c r="D21" s="612">
        <v>286504</v>
      </c>
      <c r="E21" s="605"/>
      <c r="F21" s="611">
        <v>286504</v>
      </c>
      <c r="G21" s="612">
        <v>336331</v>
      </c>
      <c r="H21" s="605"/>
      <c r="I21" s="611">
        <v>336331</v>
      </c>
      <c r="J21" s="612">
        <v>383044</v>
      </c>
    </row>
    <row r="22" spans="1:12" x14ac:dyDescent="0.3">
      <c r="A22" s="610">
        <v>2500000</v>
      </c>
      <c r="B22" s="605"/>
      <c r="C22" s="611">
        <v>285649</v>
      </c>
      <c r="D22" s="612">
        <v>341295</v>
      </c>
      <c r="E22" s="605"/>
      <c r="F22" s="611">
        <v>341295</v>
      </c>
      <c r="G22" s="612">
        <v>400650</v>
      </c>
      <c r="H22" s="605"/>
      <c r="I22" s="611">
        <v>400650</v>
      </c>
      <c r="J22" s="612">
        <v>456296</v>
      </c>
    </row>
    <row r="23" spans="1:12" x14ac:dyDescent="0.3">
      <c r="A23" s="610">
        <v>3000000</v>
      </c>
      <c r="B23" s="605"/>
      <c r="C23" s="611">
        <v>329420</v>
      </c>
      <c r="D23" s="612">
        <v>393593</v>
      </c>
      <c r="E23" s="605"/>
      <c r="F23" s="611">
        <v>393593</v>
      </c>
      <c r="G23" s="612">
        <v>462044</v>
      </c>
      <c r="H23" s="605"/>
      <c r="I23" s="611">
        <v>462044</v>
      </c>
      <c r="J23" s="612">
        <v>526217</v>
      </c>
    </row>
    <row r="24" spans="1:12" x14ac:dyDescent="0.3">
      <c r="A24" s="610">
        <v>3500000</v>
      </c>
      <c r="B24" s="605"/>
      <c r="C24" s="611">
        <v>371491</v>
      </c>
      <c r="D24" s="612">
        <v>443859</v>
      </c>
      <c r="E24" s="605"/>
      <c r="F24" s="611">
        <v>443859</v>
      </c>
      <c r="G24" s="612">
        <v>521052</v>
      </c>
      <c r="H24" s="605"/>
      <c r="I24" s="611">
        <v>521052</v>
      </c>
      <c r="J24" s="612">
        <v>593420</v>
      </c>
    </row>
    <row r="25" spans="1:12" ht="15.2" thickBot="1" x14ac:dyDescent="0.35">
      <c r="A25" s="610">
        <v>4000000</v>
      </c>
      <c r="B25" s="614"/>
      <c r="C25" s="611">
        <v>412126</v>
      </c>
      <c r="D25" s="612">
        <v>492410</v>
      </c>
      <c r="E25" s="615"/>
      <c r="F25" s="611">
        <v>492410</v>
      </c>
      <c r="G25" s="612">
        <v>578046</v>
      </c>
      <c r="H25" s="605"/>
      <c r="I25" s="611">
        <v>578046</v>
      </c>
      <c r="J25" s="612">
        <v>658331</v>
      </c>
    </row>
    <row r="26" spans="1:12" x14ac:dyDescent="0.3">
      <c r="A26" s="610">
        <v>5000000</v>
      </c>
      <c r="B26" s="1652" t="s">
        <v>313</v>
      </c>
      <c r="C26" s="611">
        <v>491179</v>
      </c>
      <c r="D26" s="612">
        <v>586864</v>
      </c>
      <c r="E26" s="1652" t="s">
        <v>313</v>
      </c>
      <c r="F26" s="611">
        <f>D26</f>
        <v>586864</v>
      </c>
      <c r="G26" s="612">
        <v>688927</v>
      </c>
      <c r="H26" s="1652" t="s">
        <v>313</v>
      </c>
      <c r="I26" s="611">
        <f>G26</f>
        <v>688927</v>
      </c>
      <c r="J26" s="612">
        <v>784611</v>
      </c>
      <c r="L26" s="760"/>
    </row>
    <row r="27" spans="1:12" x14ac:dyDescent="0.3">
      <c r="A27" s="610">
        <v>6000000</v>
      </c>
      <c r="B27" s="1653"/>
      <c r="C27" s="611">
        <v>566898</v>
      </c>
      <c r="D27" s="612">
        <v>677333</v>
      </c>
      <c r="E27" s="1653"/>
      <c r="F27" s="611">
        <f>D27</f>
        <v>677333</v>
      </c>
      <c r="G27" s="612">
        <v>795130</v>
      </c>
      <c r="H27" s="1653"/>
      <c r="I27" s="611">
        <f>G27</f>
        <v>795130</v>
      </c>
      <c r="J27" s="612">
        <v>905564</v>
      </c>
      <c r="L27" s="760"/>
    </row>
    <row r="28" spans="1:12" x14ac:dyDescent="0.3">
      <c r="A28" s="610">
        <v>7000000</v>
      </c>
      <c r="B28" s="1653"/>
      <c r="C28" s="611">
        <v>639950</v>
      </c>
      <c r="D28" s="612">
        <v>764616</v>
      </c>
      <c r="E28" s="1653"/>
      <c r="F28" s="611">
        <f t="shared" ref="F28:F44" si="0">D28</f>
        <v>764616</v>
      </c>
      <c r="G28" s="612">
        <v>897593</v>
      </c>
      <c r="H28" s="1653"/>
      <c r="I28" s="611">
        <f t="shared" ref="I28:I44" si="1">G28</f>
        <v>897593</v>
      </c>
      <c r="J28" s="612">
        <v>1022258</v>
      </c>
      <c r="L28" s="760"/>
    </row>
    <row r="29" spans="1:12" x14ac:dyDescent="0.3">
      <c r="A29" s="610">
        <v>8000000</v>
      </c>
      <c r="B29" s="1653"/>
      <c r="C29" s="611">
        <v>710795</v>
      </c>
      <c r="D29" s="612">
        <v>849261</v>
      </c>
      <c r="E29" s="1653"/>
      <c r="F29" s="611">
        <f t="shared" si="0"/>
        <v>849261</v>
      </c>
      <c r="G29" s="612">
        <v>996959</v>
      </c>
      <c r="H29" s="1653"/>
      <c r="I29" s="611">
        <f t="shared" si="1"/>
        <v>996959</v>
      </c>
      <c r="J29" s="612">
        <v>1135425</v>
      </c>
      <c r="L29" s="760"/>
    </row>
    <row r="30" spans="1:12" x14ac:dyDescent="0.3">
      <c r="A30" s="610">
        <v>9000000</v>
      </c>
      <c r="B30" s="1653"/>
      <c r="C30" s="611">
        <v>779763</v>
      </c>
      <c r="D30" s="612">
        <v>931665</v>
      </c>
      <c r="E30" s="1653"/>
      <c r="F30" s="611">
        <f t="shared" si="0"/>
        <v>931665</v>
      </c>
      <c r="G30" s="612">
        <v>1093694</v>
      </c>
      <c r="H30" s="1653"/>
      <c r="I30" s="611">
        <f t="shared" si="1"/>
        <v>1093694</v>
      </c>
      <c r="J30" s="612">
        <v>1245595</v>
      </c>
      <c r="L30" s="760"/>
    </row>
    <row r="31" spans="1:12" x14ac:dyDescent="0.3">
      <c r="A31" s="610">
        <v>10000000</v>
      </c>
      <c r="B31" s="1653"/>
      <c r="C31" s="611">
        <v>847106</v>
      </c>
      <c r="D31" s="612">
        <v>1012127</v>
      </c>
      <c r="E31" s="1653"/>
      <c r="F31" s="611">
        <f t="shared" si="0"/>
        <v>1012127</v>
      </c>
      <c r="G31" s="612">
        <v>1188149</v>
      </c>
      <c r="H31" s="1653"/>
      <c r="I31" s="611">
        <f t="shared" si="1"/>
        <v>1188149</v>
      </c>
      <c r="J31" s="612">
        <v>1353170</v>
      </c>
      <c r="L31" s="760"/>
    </row>
    <row r="32" spans="1:12" x14ac:dyDescent="0.3">
      <c r="A32" s="610">
        <v>12500000</v>
      </c>
      <c r="B32" s="1653"/>
      <c r="C32" s="611">
        <v>1009545</v>
      </c>
      <c r="D32" s="612">
        <v>1206209</v>
      </c>
      <c r="E32" s="1653"/>
      <c r="F32" s="611">
        <f t="shared" si="0"/>
        <v>1206209</v>
      </c>
      <c r="G32" s="612">
        <v>1415985</v>
      </c>
      <c r="H32" s="1653"/>
      <c r="I32" s="611">
        <f t="shared" si="1"/>
        <v>1415985</v>
      </c>
      <c r="J32" s="612">
        <v>1612649</v>
      </c>
      <c r="L32" s="760"/>
    </row>
    <row r="33" spans="1:17" x14ac:dyDescent="0.3">
      <c r="A33" s="610">
        <v>15000000</v>
      </c>
      <c r="B33" s="1653"/>
      <c r="C33" s="611">
        <v>1165120</v>
      </c>
      <c r="D33" s="612">
        <v>1392092</v>
      </c>
      <c r="E33" s="1653"/>
      <c r="F33" s="611">
        <f t="shared" si="0"/>
        <v>1392092</v>
      </c>
      <c r="G33" s="612">
        <v>1634195</v>
      </c>
      <c r="H33" s="1653"/>
      <c r="I33" s="611">
        <f t="shared" si="1"/>
        <v>1634195</v>
      </c>
      <c r="J33" s="612">
        <v>1861166</v>
      </c>
      <c r="L33" s="760"/>
    </row>
    <row r="34" spans="1:17" x14ac:dyDescent="0.3">
      <c r="A34" s="610">
        <v>17500000</v>
      </c>
      <c r="B34" s="1653"/>
      <c r="C34" s="611">
        <v>1315210</v>
      </c>
      <c r="D34" s="612">
        <v>1571419</v>
      </c>
      <c r="E34" s="1653"/>
      <c r="F34" s="611">
        <f t="shared" si="0"/>
        <v>1571419</v>
      </c>
      <c r="G34" s="612">
        <v>1844710</v>
      </c>
      <c r="H34" s="1653"/>
      <c r="I34" s="611">
        <f t="shared" si="1"/>
        <v>1844710</v>
      </c>
      <c r="J34" s="612">
        <v>2100919</v>
      </c>
      <c r="L34" s="760"/>
    </row>
    <row r="35" spans="1:17" x14ac:dyDescent="0.3">
      <c r="A35" s="610">
        <v>20000000</v>
      </c>
      <c r="B35" s="1653"/>
      <c r="C35" s="611">
        <v>1460755</v>
      </c>
      <c r="D35" s="612">
        <v>1745318</v>
      </c>
      <c r="E35" s="1653"/>
      <c r="F35" s="611">
        <f t="shared" si="0"/>
        <v>1745318</v>
      </c>
      <c r="G35" s="612">
        <v>2048852</v>
      </c>
      <c r="H35" s="1653"/>
      <c r="I35" s="611">
        <f t="shared" si="1"/>
        <v>2048852</v>
      </c>
      <c r="J35" s="612">
        <v>2333414</v>
      </c>
      <c r="L35" s="760"/>
    </row>
    <row r="36" spans="1:17" x14ac:dyDescent="0.3">
      <c r="A36" s="610">
        <v>25000000</v>
      </c>
      <c r="B36" s="1653"/>
      <c r="C36" s="611">
        <v>1740783</v>
      </c>
      <c r="D36" s="612">
        <v>2079896</v>
      </c>
      <c r="E36" s="1653"/>
      <c r="F36" s="611">
        <f t="shared" si="0"/>
        <v>2079896</v>
      </c>
      <c r="G36" s="612">
        <v>2441617</v>
      </c>
      <c r="H36" s="1653"/>
      <c r="I36" s="611">
        <f t="shared" si="1"/>
        <v>2441617</v>
      </c>
      <c r="J36" s="612">
        <v>2780731</v>
      </c>
      <c r="L36" s="760"/>
    </row>
    <row r="37" spans="1:17" x14ac:dyDescent="0.3">
      <c r="A37" s="610">
        <v>30000000</v>
      </c>
      <c r="B37" s="1653"/>
      <c r="C37" s="611">
        <v>2008964</v>
      </c>
      <c r="D37" s="612">
        <v>2400321</v>
      </c>
      <c r="E37" s="1653"/>
      <c r="F37" s="611">
        <f t="shared" si="0"/>
        <v>2400321</v>
      </c>
      <c r="G37" s="612">
        <v>2817768</v>
      </c>
      <c r="H37" s="1653"/>
      <c r="I37" s="611">
        <f t="shared" si="1"/>
        <v>2817768</v>
      </c>
      <c r="J37" s="612">
        <v>3209125</v>
      </c>
      <c r="L37" s="760"/>
    </row>
    <row r="38" spans="1:17" x14ac:dyDescent="0.3">
      <c r="A38" s="610">
        <v>40000000</v>
      </c>
      <c r="B38" s="1653"/>
      <c r="C38" s="611">
        <v>2518545</v>
      </c>
      <c r="D38" s="612">
        <v>3009171</v>
      </c>
      <c r="E38" s="1653"/>
      <c r="F38" s="611">
        <f t="shared" si="0"/>
        <v>3009171</v>
      </c>
      <c r="G38" s="612">
        <v>3532505</v>
      </c>
      <c r="H38" s="1653"/>
      <c r="I38" s="611">
        <f t="shared" si="1"/>
        <v>3532505</v>
      </c>
      <c r="J38" s="612">
        <v>4023130</v>
      </c>
      <c r="L38" s="760"/>
    </row>
    <row r="39" spans="1:17" x14ac:dyDescent="0.3">
      <c r="A39" s="610">
        <v>50000000</v>
      </c>
      <c r="B39" s="1653"/>
      <c r="C39" s="611">
        <v>3001186</v>
      </c>
      <c r="D39" s="612">
        <v>3585832</v>
      </c>
      <c r="E39" s="1653"/>
      <c r="F39" s="611">
        <f t="shared" si="0"/>
        <v>3585832</v>
      </c>
      <c r="G39" s="612">
        <v>4209455</v>
      </c>
      <c r="H39" s="1653"/>
      <c r="I39" s="611">
        <f t="shared" si="1"/>
        <v>4209455</v>
      </c>
      <c r="J39" s="612">
        <v>4794102</v>
      </c>
      <c r="L39" s="760"/>
    </row>
    <row r="40" spans="1:17" x14ac:dyDescent="0.3">
      <c r="A40" s="610">
        <v>75000000</v>
      </c>
      <c r="B40" s="1653"/>
      <c r="C40" s="611">
        <v>4126934</v>
      </c>
      <c r="D40" s="612">
        <v>4930882</v>
      </c>
      <c r="E40" s="1653"/>
      <c r="F40" s="611">
        <f t="shared" si="0"/>
        <v>4930882</v>
      </c>
      <c r="G40" s="612">
        <v>5788426</v>
      </c>
      <c r="H40" s="1653"/>
      <c r="I40" s="611">
        <f t="shared" si="1"/>
        <v>5788426</v>
      </c>
      <c r="J40" s="612">
        <v>6592374</v>
      </c>
      <c r="L40" s="760"/>
    </row>
    <row r="41" spans="1:17" x14ac:dyDescent="0.3">
      <c r="A41" s="610">
        <v>100000000</v>
      </c>
      <c r="B41" s="1653"/>
      <c r="C41" s="611">
        <v>5173197</v>
      </c>
      <c r="D41" s="612">
        <v>6180963</v>
      </c>
      <c r="E41" s="1653"/>
      <c r="F41" s="611">
        <f t="shared" si="0"/>
        <v>6180963</v>
      </c>
      <c r="G41" s="612">
        <v>7255913</v>
      </c>
      <c r="H41" s="1653"/>
      <c r="I41" s="611">
        <f t="shared" si="1"/>
        <v>7255913</v>
      </c>
      <c r="J41" s="612">
        <v>8263678</v>
      </c>
      <c r="L41" s="760"/>
    </row>
    <row r="42" spans="1:17" x14ac:dyDescent="0.3">
      <c r="A42" s="610">
        <v>150000000</v>
      </c>
      <c r="B42" s="1653"/>
      <c r="C42" s="611">
        <v>7112783</v>
      </c>
      <c r="D42" s="612">
        <v>8498390</v>
      </c>
      <c r="E42" s="1653"/>
      <c r="F42" s="611">
        <f t="shared" si="0"/>
        <v>8498390</v>
      </c>
      <c r="G42" s="612">
        <v>9976370</v>
      </c>
      <c r="H42" s="1653"/>
      <c r="I42" s="611">
        <f t="shared" si="1"/>
        <v>9976370</v>
      </c>
      <c r="J42" s="612">
        <v>11361977</v>
      </c>
      <c r="L42" s="760"/>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c r="L43" s="760"/>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c r="L44" s="760"/>
    </row>
    <row r="45" spans="1:17" x14ac:dyDescent="0.3">
      <c r="A45" s="614"/>
      <c r="B45" s="614"/>
      <c r="C45" s="614"/>
      <c r="D45" s="614"/>
      <c r="E45" s="614"/>
      <c r="F45" s="619"/>
      <c r="G45" s="619"/>
      <c r="H45" s="614"/>
      <c r="I45" s="619"/>
      <c r="J45" s="619"/>
    </row>
    <row r="46" spans="1:17" s="628" customFormat="1" ht="26.25" customHeight="1" x14ac:dyDescent="0.3">
      <c r="A46" s="620"/>
      <c r="B46" s="621" t="s">
        <v>449</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'Abwasser-, Wasser-, Gasanlagen'!H8</f>
        <v>0</v>
      </c>
      <c r="H62" s="1648"/>
      <c r="I62" s="1647">
        <f>'Abwasser-, Wasser-, Gasanlagen'!L8</f>
        <v>0</v>
      </c>
      <c r="J62" s="1648"/>
      <c r="K62" s="1647">
        <f>'Abwasser-, Wasser-, Gasanlagen'!P8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'Abwasser-, Wasser-, Gasanlagen'!F15</f>
        <v>2</v>
      </c>
      <c r="H64" s="1463"/>
      <c r="J64" s="1643"/>
      <c r="K64" s="1643"/>
      <c r="L64" s="642"/>
      <c r="M64" s="645"/>
      <c r="N64" s="626"/>
      <c r="O64" s="626"/>
      <c r="P64" s="626"/>
      <c r="Q64" s="627"/>
    </row>
    <row r="65" spans="1:17" x14ac:dyDescent="0.3">
      <c r="A65" s="629"/>
      <c r="B65" s="1422" t="s">
        <v>317</v>
      </c>
      <c r="C65" s="1423"/>
      <c r="D65" s="1423"/>
      <c r="E65" s="1424"/>
      <c r="F65" s="644"/>
      <c r="G65" s="1462" t="str">
        <f>'Abwasser-, Wasser-, Gasanlagen'!F16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425"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426"/>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759">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759">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759">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652"/>
      <c r="C75" s="652"/>
      <c r="D75" s="652"/>
      <c r="E75" s="603"/>
      <c r="F75" s="603"/>
      <c r="G75" s="653"/>
      <c r="H75" s="651"/>
      <c r="I75" s="641"/>
      <c r="J75" s="641"/>
      <c r="K75" s="641"/>
      <c r="L75" s="654"/>
      <c r="M75" s="641"/>
      <c r="N75" s="627"/>
      <c r="O75" s="627"/>
      <c r="P75" s="627"/>
      <c r="Q75" s="627"/>
    </row>
    <row r="76" spans="1:17" x14ac:dyDescent="0.3">
      <c r="A76" s="629"/>
      <c r="B76" s="708"/>
      <c r="C76" s="709"/>
      <c r="D76" s="1397" t="s">
        <v>925</v>
      </c>
      <c r="E76" s="1425" t="s">
        <v>316</v>
      </c>
      <c r="F76" s="603"/>
      <c r="G76" s="647" t="s">
        <v>328</v>
      </c>
      <c r="H76" s="648" cm="1">
        <f t="array" ref="H76">IF(G62&lt;$A$6,0,IF(G62&gt;$A$44,0,INDEX($A$6:$A$44,MATCH(G62,$A$6:$A$44,1)+1,1)))</f>
        <v>0</v>
      </c>
      <c r="I76" s="647" t="s">
        <v>328</v>
      </c>
      <c r="J76" s="648" cm="1">
        <f t="array" ref="J76">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426"/>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759">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759">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759">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0</v>
      </c>
      <c r="H85" s="655">
        <f>VLOOKUP(G64,E72:H74,4)</f>
        <v>0</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0</v>
      </c>
      <c r="H86" s="655">
        <f>VLOOKUP(G64,E78:H80,4)</f>
        <v>0</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659">
        <f>G64</f>
        <v>2</v>
      </c>
      <c r="I88" s="657">
        <f>I62-J70</f>
        <v>0</v>
      </c>
      <c r="J88" s="659">
        <f>G64</f>
        <v>2</v>
      </c>
      <c r="K88" s="657">
        <f>K62-L70</f>
        <v>0</v>
      </c>
      <c r="L88" s="659">
        <f>G64</f>
        <v>2</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0</v>
      </c>
      <c r="H93" s="655">
        <f t="shared" si="3"/>
        <v>0</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0</v>
      </c>
      <c r="H94" s="655">
        <f>G88</f>
        <v>0</v>
      </c>
      <c r="I94" s="655">
        <f>I88</f>
        <v>0</v>
      </c>
      <c r="J94" s="655">
        <f>I88</f>
        <v>0</v>
      </c>
      <c r="K94" s="655">
        <f>K88</f>
        <v>0</v>
      </c>
      <c r="L94" s="655">
        <f>K88</f>
        <v>0</v>
      </c>
      <c r="M94" s="656"/>
    </row>
    <row r="95" spans="1:17" x14ac:dyDescent="0.3">
      <c r="A95" s="629"/>
      <c r="B95" s="1416" t="s">
        <v>336</v>
      </c>
      <c r="C95" s="1416"/>
      <c r="D95" s="1416"/>
      <c r="E95" s="1416"/>
      <c r="F95" s="660"/>
      <c r="G95" s="655">
        <f t="shared" ref="G95:L95" si="4">G87</f>
        <v>0</v>
      </c>
      <c r="H95" s="655">
        <f t="shared" si="4"/>
        <v>0</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0</v>
      </c>
      <c r="H96" s="655">
        <f>H76-H70</f>
        <v>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2</v>
      </c>
      <c r="H105" s="671">
        <f>IF(G65="Basishonorarsatz",H98,IF(G65="Viertelsatz",H99,IF(G65="Mittelsatz",H100,IF(G65="Dreiviertelsatz",H101,H102))))</f>
        <v>0</v>
      </c>
      <c r="I105" s="672">
        <f>G64</f>
        <v>2</v>
      </c>
      <c r="J105" s="671">
        <f>IF(G65="Basishonorarsatz",J98,IF(G65="Viertelsatz",J99,IF(G65="Mittelsatz",J100,IF(G65="Dreiviertelsatz",J101,J102))))</f>
        <v>0</v>
      </c>
      <c r="K105" s="672">
        <f>G64</f>
        <v>2</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IF('Abwasser-, Wasser-, Gasanlagen'!T39="ja",'Abwasser-, Wasser-, Gasanlagen'!J39,0)</f>
        <v>0</v>
      </c>
      <c r="D109" s="1639"/>
      <c r="E109" s="1638">
        <f>IF('Abwasser-, Wasser-, Gasanlagen'!$T39="ja",'Abwasser-, Wasser-, Gasanlagen'!L54,0)</f>
        <v>0</v>
      </c>
      <c r="F109" s="1639"/>
      <c r="G109" s="681">
        <f>C109*1.1+E109</f>
        <v>0</v>
      </c>
    </row>
    <row r="110" spans="1:13" x14ac:dyDescent="0.3">
      <c r="B110" s="682">
        <v>2</v>
      </c>
      <c r="C110" s="1408">
        <f>IF('Abwasser-, Wasser-, Gasanlagen'!T55="ja",'Abwasser-, Wasser-, Gasanlagen'!J55,0)</f>
        <v>0</v>
      </c>
      <c r="D110" s="1409"/>
      <c r="E110" s="1408">
        <f>IF('Abwasser-, Wasser-, Gasanlagen'!$T55="ja",'Abwasser-, Wasser-, Gasanlagen'!L78,0)</f>
        <v>0</v>
      </c>
      <c r="F110" s="1409"/>
      <c r="G110" s="681">
        <f t="shared" ref="G110:G122" si="5">C110*1.1+E110</f>
        <v>0</v>
      </c>
    </row>
    <row r="111" spans="1:13" x14ac:dyDescent="0.3">
      <c r="B111" s="682">
        <v>3</v>
      </c>
      <c r="C111" s="1408">
        <f>IF('Abwasser-, Wasser-, Gasanlagen'!$T82="ja",'Abwasser-, Wasser-, Gasanlagen'!J82,0)</f>
        <v>0</v>
      </c>
      <c r="D111" s="1409"/>
      <c r="E111" s="1408">
        <f>IF('Abwasser-, Wasser-, Gasanlagen'!$T82="ja",'Abwasser-, Wasser-, Gasanlagen'!L115,0)</f>
        <v>0</v>
      </c>
      <c r="F111" s="1409"/>
      <c r="G111" s="681">
        <f t="shared" si="5"/>
        <v>0</v>
      </c>
    </row>
    <row r="112" spans="1:13" x14ac:dyDescent="0.3">
      <c r="B112" s="682">
        <v>4</v>
      </c>
      <c r="C112" s="1408">
        <f>IF('Abwasser-, Wasser-, Gasanlagen'!$T119="ja",'Abwasser-, Wasser-, Gasanlagen'!J119,0)</f>
        <v>0</v>
      </c>
      <c r="D112" s="1409"/>
      <c r="E112" s="1408">
        <f>IF('Abwasser-, Wasser-, Gasanlagen'!$T119="ja",'Abwasser-, Wasser-, Gasanlagen'!L127,0)</f>
        <v>0</v>
      </c>
      <c r="F112" s="1409"/>
      <c r="G112" s="681">
        <f t="shared" si="5"/>
        <v>0</v>
      </c>
    </row>
    <row r="113" spans="2:8" x14ac:dyDescent="0.3">
      <c r="B113" s="682" t="s">
        <v>351</v>
      </c>
      <c r="C113" s="1408">
        <f>IF('Abwasser-, Wasser-, Gasanlagen'!$T128="ja",'Abwasser-, Wasser-, Gasanlagen'!J128,0)</f>
        <v>0</v>
      </c>
      <c r="D113" s="1409"/>
      <c r="E113" s="1408">
        <f>IF('Abwasser-, Wasser-, Gasanlagen'!$T128="ja",'Abwasser-, Wasser-, Gasanlagen'!R128,0)</f>
        <v>0</v>
      </c>
      <c r="F113" s="1409"/>
      <c r="G113" s="681">
        <f t="shared" si="5"/>
        <v>0</v>
      </c>
    </row>
    <row r="114" spans="2:8" x14ac:dyDescent="0.3">
      <c r="B114" s="682" t="s">
        <v>352</v>
      </c>
      <c r="C114" s="1408">
        <f>IF('Abwasser-, Wasser-, Gasanlagen'!$T133="ja",'Abwasser-, Wasser-, Gasanlagen'!J133,0)</f>
        <v>0</v>
      </c>
      <c r="D114" s="1409"/>
      <c r="E114" s="1408">
        <f>IF('Abwasser-, Wasser-, Gasanlagen'!$T133="ja",'Abwasser-, Wasser-, Gasanlagen'!R133+'Abwasser-, Wasser-, Gasanlagen'!R136+'Abwasser-, Wasser-, Gasanlagen'!R139+'Abwasser-, Wasser-, Gasanlagen'!R142,0)</f>
        <v>0</v>
      </c>
      <c r="F114" s="1409"/>
      <c r="G114" s="681">
        <f t="shared" si="5"/>
        <v>0</v>
      </c>
    </row>
    <row r="115" spans="2:8" x14ac:dyDescent="0.3">
      <c r="B115" s="682" t="s">
        <v>353</v>
      </c>
      <c r="C115" s="1408">
        <f>IF('Abwasser-, Wasser-, Gasanlagen'!$T143="Ja",'Abwasser-, Wasser-, Gasanlagen'!J143,0)</f>
        <v>0</v>
      </c>
      <c r="D115" s="1409"/>
      <c r="E115" s="1408">
        <f>IF('Abwasser-, Wasser-, Gasanlagen'!$T143="Ja",'Abwasser-, Wasser-, Gasanlagen'!R143,0)</f>
        <v>0</v>
      </c>
      <c r="F115" s="1409"/>
      <c r="G115" s="681">
        <f t="shared" si="5"/>
        <v>0</v>
      </c>
    </row>
    <row r="116" spans="2:8" x14ac:dyDescent="0.3">
      <c r="B116" s="682" t="s">
        <v>354</v>
      </c>
      <c r="C116" s="1408">
        <f>IF('Abwasser-, Wasser-, Gasanlagen'!$T144="ja",'Abwasser-, Wasser-, Gasanlagen'!J144,0)</f>
        <v>0</v>
      </c>
      <c r="D116" s="1409"/>
      <c r="E116" s="1408">
        <f>IF('Abwasser-, Wasser-, Gasanlagen'!$T144="ja",'Abwasser-, Wasser-, Gasanlagen'!R144,0)</f>
        <v>0</v>
      </c>
      <c r="F116" s="1409"/>
      <c r="G116" s="681">
        <f t="shared" si="5"/>
        <v>0</v>
      </c>
    </row>
    <row r="117" spans="2:8" x14ac:dyDescent="0.3">
      <c r="B117" s="682" t="s">
        <v>355</v>
      </c>
      <c r="C117" s="1408">
        <f>IF('Abwasser-, Wasser-, Gasanlagen'!$T145="ja",'Abwasser-, Wasser-, Gasanlagen'!J145,0)</f>
        <v>0</v>
      </c>
      <c r="D117" s="1409"/>
      <c r="E117" s="1408">
        <f>IF('Abwasser-, Wasser-, Gasanlagen'!$T145="ja",'Abwasser-, Wasser-, Gasanlagen'!R145+'Abwasser-, Wasser-, Gasanlagen'!R148,0)</f>
        <v>0</v>
      </c>
      <c r="F117" s="1409"/>
      <c r="G117" s="681">
        <f t="shared" si="5"/>
        <v>0</v>
      </c>
    </row>
    <row r="118" spans="2:8" x14ac:dyDescent="0.3">
      <c r="B118" s="682" t="s">
        <v>356</v>
      </c>
      <c r="C118" s="1408">
        <f>IF('Abwasser-, Wasser-, Gasanlagen'!$T150="ja",'Abwasser-, Wasser-, Gasanlagen'!J150,0)</f>
        <v>0</v>
      </c>
      <c r="D118" s="1409"/>
      <c r="E118" s="1408">
        <f>IF('Abwasser-, Wasser-, Gasanlagen'!$T150="ja",'Abwasser-, Wasser-, Gasanlagen'!R150,0)</f>
        <v>0</v>
      </c>
      <c r="F118" s="1409"/>
      <c r="G118" s="681">
        <f t="shared" si="5"/>
        <v>0</v>
      </c>
    </row>
    <row r="119" spans="2:8" x14ac:dyDescent="0.3">
      <c r="B119" s="683">
        <v>6</v>
      </c>
      <c r="C119" s="1408">
        <f>IF('Abwasser-, Wasser-, Gasanlagen'!$T154="ja",'Abwasser-, Wasser-, Gasanlagen'!J154,0)</f>
        <v>0</v>
      </c>
      <c r="D119" s="1409"/>
      <c r="E119" s="1408">
        <f>IF('Abwasser-, Wasser-, Gasanlagen'!$T154="ja",'Abwasser-, Wasser-, Gasanlagen'!L177,0)</f>
        <v>0</v>
      </c>
      <c r="F119" s="1409"/>
      <c r="G119" s="681">
        <f t="shared" si="5"/>
        <v>0</v>
      </c>
    </row>
    <row r="120" spans="2:8" x14ac:dyDescent="0.3">
      <c r="B120" s="683">
        <v>7</v>
      </c>
      <c r="C120" s="1408">
        <f>IF('Abwasser-, Wasser-, Gasanlagen'!$T178="ja",'Abwasser-, Wasser-, Gasanlagen'!J178,0)</f>
        <v>0</v>
      </c>
      <c r="D120" s="1409"/>
      <c r="E120" s="1408">
        <f>IF('Abwasser-, Wasser-, Gasanlagen'!$T178="ja",'Abwasser-, Wasser-, Gasanlagen'!L192,0)</f>
        <v>0</v>
      </c>
      <c r="F120" s="1409"/>
      <c r="G120" s="681">
        <f t="shared" si="5"/>
        <v>0</v>
      </c>
    </row>
    <row r="121" spans="2:8" x14ac:dyDescent="0.3">
      <c r="B121" s="683">
        <v>8</v>
      </c>
      <c r="C121" s="1408">
        <f>IF('Abwasser-, Wasser-, Gasanlagen'!$T193="ja",'Abwasser-, Wasser-, Gasanlagen'!J193,0)</f>
        <v>0</v>
      </c>
      <c r="D121" s="1409"/>
      <c r="E121" s="1408">
        <f>IF('Abwasser-, Wasser-, Gasanlagen'!$T193="ja",'Abwasser-, Wasser-, Gasanlagen'!L234,0)</f>
        <v>0</v>
      </c>
      <c r="F121" s="1409"/>
      <c r="G121" s="681">
        <f t="shared" si="5"/>
        <v>0</v>
      </c>
    </row>
    <row r="122" spans="2:8" ht="15.2" thickBot="1" x14ac:dyDescent="0.35">
      <c r="B122" s="684">
        <v>9</v>
      </c>
      <c r="C122" s="1408">
        <f>IF('Abwasser-, Wasser-, Gasanlagen'!$T235="ja",'Abwasser-, Wasser-, Gasanlagen'!J235,0)</f>
        <v>0</v>
      </c>
      <c r="D122" s="1409"/>
      <c r="E122" s="1408">
        <f>IF('Abwasser-, Wasser-, Gasanlagen'!$T235="ja",'Abwasser-, Wasser-, Gasanlagen'!L244,0)</f>
        <v>0</v>
      </c>
      <c r="F122" s="1409"/>
      <c r="G122" s="681">
        <f t="shared" si="5"/>
        <v>0</v>
      </c>
    </row>
    <row r="123" spans="2:8" ht="15.2" thickBot="1" x14ac:dyDescent="0.35">
      <c r="B123" s="685" t="s">
        <v>460</v>
      </c>
      <c r="C123" s="1640">
        <f>SUM(C109:D122)</f>
        <v>0</v>
      </c>
      <c r="D123" s="1640"/>
      <c r="E123" s="1640">
        <f>SUM(E109:F122)</f>
        <v>0</v>
      </c>
      <c r="F123" s="1640"/>
      <c r="G123" s="761">
        <f>SUM(G109:H122)</f>
        <v>0</v>
      </c>
      <c r="H123" s="762"/>
    </row>
    <row r="124" spans="2:8" ht="15.2" thickBot="1" x14ac:dyDescent="0.35"/>
    <row r="125" spans="2:8" ht="15.2" thickBot="1" x14ac:dyDescent="0.35">
      <c r="B125" s="686" t="s">
        <v>461</v>
      </c>
      <c r="C125" s="1657">
        <f>C123*'Abwasser-, Wasser-, Gasanlagen'!F23+C123</f>
        <v>0</v>
      </c>
      <c r="D125" s="1658"/>
    </row>
    <row r="126" spans="2:8" ht="15.2" thickBot="1" x14ac:dyDescent="0.35"/>
    <row r="127" spans="2:8" ht="15.2" thickBot="1" x14ac:dyDescent="0.35">
      <c r="B127" s="686" t="s">
        <v>360</v>
      </c>
      <c r="C127" s="1657">
        <f>'Abwasser-, Wasser-, Gasanlagen'!J244</f>
        <v>0</v>
      </c>
      <c r="D127" s="1658"/>
      <c r="E127" s="1657">
        <f>'Abwasser-, Wasser-, Gasanlagen'!Q244</f>
        <v>0</v>
      </c>
      <c r="F127" s="1658"/>
    </row>
    <row r="128" spans="2:8" ht="15.2" thickBot="1" x14ac:dyDescent="0.35"/>
    <row r="129" spans="2:17" ht="31.6" customHeight="1" thickBot="1" x14ac:dyDescent="0.35">
      <c r="B129" s="763" t="s">
        <v>462</v>
      </c>
      <c r="C129" s="1657">
        <f>C127*'Abwasser-, Wasser-, Gasanlagen'!F23+C127</f>
        <v>0</v>
      </c>
      <c r="D129" s="1658"/>
      <c r="E129" s="764"/>
      <c r="F129" s="705"/>
    </row>
    <row r="131" spans="2:17" x14ac:dyDescent="0.3">
      <c r="B131" s="594" t="s">
        <v>463</v>
      </c>
      <c r="D131" s="687">
        <f>Überblick!G98</f>
        <v>0.19</v>
      </c>
    </row>
    <row r="132" spans="2:17" ht="15.2" thickBot="1" x14ac:dyDescent="0.35"/>
    <row r="133" spans="2:17" ht="15.2" thickBot="1" x14ac:dyDescent="0.35">
      <c r="B133" s="686" t="s">
        <v>462</v>
      </c>
      <c r="C133" s="1657">
        <f>C129*D131+C129</f>
        <v>0</v>
      </c>
      <c r="D133" s="1658"/>
      <c r="E133" s="1657">
        <f>E127*D131+E127</f>
        <v>0</v>
      </c>
      <c r="F133" s="1658"/>
    </row>
    <row r="135" spans="2:17" x14ac:dyDescent="0.3">
      <c r="B135" s="594" t="s">
        <v>464</v>
      </c>
      <c r="E135" s="1655">
        <f>C133+E133</f>
        <v>0</v>
      </c>
      <c r="F135" s="1656"/>
    </row>
    <row r="136" spans="2:17" ht="15.2" thickBot="1" x14ac:dyDescent="0.35"/>
    <row r="137" spans="2:17" ht="15.2" thickBot="1" x14ac:dyDescent="0.35">
      <c r="B137" s="742" t="s">
        <v>105</v>
      </c>
      <c r="C137" s="765" t="s">
        <v>285</v>
      </c>
      <c r="D137" s="766" t="s">
        <v>286</v>
      </c>
      <c r="E137" s="766" t="s">
        <v>287</v>
      </c>
      <c r="F137" s="766" t="s">
        <v>288</v>
      </c>
      <c r="G137" s="766" t="s">
        <v>289</v>
      </c>
      <c r="H137" s="766" t="s">
        <v>290</v>
      </c>
      <c r="I137" s="766" t="s">
        <v>291</v>
      </c>
      <c r="J137" s="766" t="s">
        <v>292</v>
      </c>
      <c r="K137" s="766" t="s">
        <v>293</v>
      </c>
      <c r="L137" s="766" t="s">
        <v>294</v>
      </c>
      <c r="M137" s="766" t="s">
        <v>295</v>
      </c>
      <c r="N137" s="766" t="s">
        <v>296</v>
      </c>
      <c r="O137" s="766" t="s">
        <v>297</v>
      </c>
      <c r="P137" s="766" t="s">
        <v>359</v>
      </c>
      <c r="Q137" s="767" t="s">
        <v>360</v>
      </c>
    </row>
    <row r="138" spans="2:17" x14ac:dyDescent="0.3">
      <c r="B138" s="768">
        <f>IF(Überblick!$H$53&gt;=1,1,"")</f>
        <v>1</v>
      </c>
      <c r="C138" s="694">
        <f>IF($B138='Abwasser-, Wasser-, Gasanlagen'!$U$39,'Abwasser-, Wasser-, Gasanlagen'!$J$39*'Abwasser-, Wasser-, Gasanlagen'!$F$23+'Abwasser-, Wasser-, Gasanlagen'!$J$39+'Abwasser-, Wasser-, Gasanlagen'!$L$54,0)</f>
        <v>0</v>
      </c>
      <c r="D138" s="694">
        <f>IF($B138='Abwasser-, Wasser-, Gasanlagen'!$U$55,'Abwasser-, Wasser-, Gasanlagen'!$J$55*'Abwasser-, Wasser-, Gasanlagen'!$F$23+'Abwasser-, Wasser-, Gasanlagen'!$J$55+'Abwasser-, Wasser-, Gasanlagen'!$L$78,0)</f>
        <v>0</v>
      </c>
      <c r="E138" s="694">
        <f>IF($B138='Abwasser-, Wasser-, Gasanlagen'!$U$82,'Abwasser-, Wasser-, Gasanlagen'!$J$82*'Abwasser-, Wasser-, Gasanlagen'!$F$23+'Abwasser-, Wasser-, Gasanlagen'!$J$82+'Abwasser-, Wasser-, Gasanlagen'!$L$115,0)</f>
        <v>0</v>
      </c>
      <c r="F138" s="694">
        <f>IF($B138='Abwasser-, Wasser-, Gasanlagen'!$U$119,'Abwasser-, Wasser-, Gasanlagen'!$J$119*'Abwasser-, Wasser-, Gasanlagen'!$F$23+'Abwasser-, Wasser-, Gasanlagen'!$J$119+'Abwasser-, Wasser-, Gasanlagen'!$L$127,0)</f>
        <v>0</v>
      </c>
      <c r="G138" s="694">
        <f>IF($B138='Abwasser-, Wasser-, Gasanlagen'!$U$128,'Abwasser-, Wasser-, Gasanlagen'!$J$128*'Abwasser-, Wasser-, Gasanlagen'!$F$23+'Abwasser-, Wasser-, Gasanlagen'!$J$128+'Abwasser-, Wasser-, Gasanlagen'!$R$128+'Abwasser-, Wasser-, Gasanlagen'!$R$131,0)</f>
        <v>0</v>
      </c>
      <c r="H138" s="694">
        <f>IF($B138='Abwasser-, Wasser-, Gasanlagen'!$U$133,'Abwasser-, Wasser-, Gasanlagen'!$J$133*'Abwasser-, Wasser-, Gasanlagen'!$F$23+'Abwasser-, Wasser-, Gasanlagen'!$J$133+'Abwasser-, Wasser-, Gasanlagen'!$R$133+'Abwasser-, Wasser-, Gasanlagen'!$R$136+'Abwasser-, Wasser-, Gasanlagen'!$R$139+'Abwasser-, Wasser-, Gasanlagen'!$R$142,0)</f>
        <v>0</v>
      </c>
      <c r="I138" s="694">
        <f>IF($B138='Abwasser-, Wasser-, Gasanlagen'!$U$143,'Abwasser-, Wasser-, Gasanlagen'!$J$143*'Abwasser-, Wasser-, Gasanlagen'!$F$23+'Abwasser-, Wasser-, Gasanlagen'!$J$143+'Abwasser-, Wasser-, Gasanlagen'!$R$143,0)</f>
        <v>0</v>
      </c>
      <c r="J138" s="694">
        <f>IF($B138='Abwasser-, Wasser-, Gasanlagen'!$U$144,'Abwasser-, Wasser-, Gasanlagen'!$J$144*'Abwasser-, Wasser-, Gasanlagen'!$F$23+'Abwasser-, Wasser-, Gasanlagen'!$J$144+'Abwasser-, Wasser-, Gasanlagen'!$R$144,0)</f>
        <v>0</v>
      </c>
      <c r="K138" s="694">
        <f>IF($B138='Abwasser-, Wasser-, Gasanlagen'!$U$145,'Abwasser-, Wasser-, Gasanlagen'!$J$145*'Abwasser-, Wasser-, Gasanlagen'!$F$23+'Abwasser-, Wasser-, Gasanlagen'!$J$145+'Abwasser-, Wasser-, Gasanlagen'!$R$145+'Abwasser-, Wasser-, Gasanlagen'!$R$148,0)</f>
        <v>0</v>
      </c>
      <c r="L138" s="694">
        <f>IF($B138='Abwasser-, Wasser-, Gasanlagen'!$U$150,'Abwasser-, Wasser-, Gasanlagen'!$J$150*'Abwasser-, Wasser-, Gasanlagen'!$F$23+'Abwasser-, Wasser-, Gasanlagen'!$J$150+'Abwasser-, Wasser-, Gasanlagen'!$R$150,0)</f>
        <v>0</v>
      </c>
      <c r="M138" s="694">
        <f>IF($B138='Abwasser-, Wasser-, Gasanlagen'!$U$154,'Abwasser-, Wasser-, Gasanlagen'!$J$154*'Abwasser-, Wasser-, Gasanlagen'!$F$23+'Abwasser-, Wasser-, Gasanlagen'!$J$154+'Abwasser-, Wasser-, Gasanlagen'!$L$177,0)</f>
        <v>0</v>
      </c>
      <c r="N138" s="694">
        <f>IF($B138='Abwasser-, Wasser-, Gasanlagen'!$U$178,'Abwasser-, Wasser-, Gasanlagen'!$J$178*'Abwasser-, Wasser-, Gasanlagen'!$F$23+'Abwasser-, Wasser-, Gasanlagen'!$J$178+'Abwasser-, Wasser-, Gasanlagen'!$L$192,0)</f>
        <v>0</v>
      </c>
      <c r="O138" s="694">
        <f>IF($B138='Abwasser-, Wasser-, Gasanlagen'!$U$193,'Abwasser-, Wasser-, Gasanlagen'!$J$193*'Abwasser-, Wasser-, Gasanlagen'!$F$23+'Abwasser-, Wasser-, Gasanlagen'!$J$193+'Abwasser-, Wasser-, Gasanlagen'!$L$234,0)</f>
        <v>0</v>
      </c>
      <c r="P138" s="694">
        <f>IF($B138='Abwasser-, Wasser-, Gasanlagen'!$U$235,'Abwasser-, Wasser-, Gasanlagen'!$J$235*'Abwasser-, Wasser-, Gasanlagen'!$F$23+'Abwasser-, Wasser-, Gasanlagen'!$J$235+'Abwasser-, Wasser-, Gasanlagen'!$L$244,0)</f>
        <v>0</v>
      </c>
      <c r="Q138" s="695">
        <f>SUM(C138:P138)</f>
        <v>0</v>
      </c>
    </row>
    <row r="139" spans="2:17" x14ac:dyDescent="0.3">
      <c r="B139" s="769">
        <f>IF(Überblick!$H$53&gt;=2,2,"")</f>
        <v>2</v>
      </c>
      <c r="C139" s="698">
        <f>IF($B139='Abwasser-, Wasser-, Gasanlagen'!$U$39,'Abwasser-, Wasser-, Gasanlagen'!$J$39*'Abwasser-, Wasser-, Gasanlagen'!$F$23+'Abwasser-, Wasser-, Gasanlagen'!$J$39+'Abwasser-, Wasser-, Gasanlagen'!$L$54,0)</f>
        <v>0</v>
      </c>
      <c r="D139" s="698">
        <f>IF($B139='Abwasser-, Wasser-, Gasanlagen'!$U$55,'Abwasser-, Wasser-, Gasanlagen'!$J$55*'Abwasser-, Wasser-, Gasanlagen'!$F$23+'Abwasser-, Wasser-, Gasanlagen'!$J$55+'Abwasser-, Wasser-, Gasanlagen'!$L$78,0)</f>
        <v>0</v>
      </c>
      <c r="E139" s="698">
        <f>IF($B139='Abwasser-, Wasser-, Gasanlagen'!$U$82,'Abwasser-, Wasser-, Gasanlagen'!$J$82*'Abwasser-, Wasser-, Gasanlagen'!$F$23+'Abwasser-, Wasser-, Gasanlagen'!$J$82+'Abwasser-, Wasser-, Gasanlagen'!$L$115,0)</f>
        <v>0</v>
      </c>
      <c r="F139" s="698">
        <f>IF($B139='Abwasser-, Wasser-, Gasanlagen'!$U$119,'Abwasser-, Wasser-, Gasanlagen'!$J$119*'Abwasser-, Wasser-, Gasanlagen'!$F$23+'Abwasser-, Wasser-, Gasanlagen'!$J$119+'Abwasser-, Wasser-, Gasanlagen'!$L$127,0)</f>
        <v>0</v>
      </c>
      <c r="G139" s="698">
        <f>IF($B139='Abwasser-, Wasser-, Gasanlagen'!$U$128,'Abwasser-, Wasser-, Gasanlagen'!$J$128*'Abwasser-, Wasser-, Gasanlagen'!$F$23+'Abwasser-, Wasser-, Gasanlagen'!$J$128+'Abwasser-, Wasser-, Gasanlagen'!$R$128+'Abwasser-, Wasser-, Gasanlagen'!$R$131,0)</f>
        <v>0</v>
      </c>
      <c r="H139" s="698">
        <f>IF($B139='Abwasser-, Wasser-, Gasanlagen'!$U$133,'Abwasser-, Wasser-, Gasanlagen'!$J$133*'Abwasser-, Wasser-, Gasanlagen'!$F$23+'Abwasser-, Wasser-, Gasanlagen'!$J$133+'Abwasser-, Wasser-, Gasanlagen'!$R$133+'Abwasser-, Wasser-, Gasanlagen'!$R$136+'Abwasser-, Wasser-, Gasanlagen'!$R$139+'Abwasser-, Wasser-, Gasanlagen'!$R$142,0)</f>
        <v>0</v>
      </c>
      <c r="I139" s="698">
        <f>IF($B139='Abwasser-, Wasser-, Gasanlagen'!$U$143,'Abwasser-, Wasser-, Gasanlagen'!$J$143*'Abwasser-, Wasser-, Gasanlagen'!$F$23+'Abwasser-, Wasser-, Gasanlagen'!$J$143+'Abwasser-, Wasser-, Gasanlagen'!$R$143,0)</f>
        <v>0</v>
      </c>
      <c r="J139" s="698">
        <f>IF($B139='Abwasser-, Wasser-, Gasanlagen'!$U$144,'Abwasser-, Wasser-, Gasanlagen'!$J$144*'Abwasser-, Wasser-, Gasanlagen'!$F$23+'Abwasser-, Wasser-, Gasanlagen'!$J$144+'Abwasser-, Wasser-, Gasanlagen'!$R$144,0)</f>
        <v>0</v>
      </c>
      <c r="K139" s="698">
        <f>IF($B139='Abwasser-, Wasser-, Gasanlagen'!$U$145,'Abwasser-, Wasser-, Gasanlagen'!$J$145*'Abwasser-, Wasser-, Gasanlagen'!$F$23+'Abwasser-, Wasser-, Gasanlagen'!$J$145+'Abwasser-, Wasser-, Gasanlagen'!$R$145+'Abwasser-, Wasser-, Gasanlagen'!$R$148,0)</f>
        <v>0</v>
      </c>
      <c r="L139" s="698">
        <f>IF($B139='Abwasser-, Wasser-, Gasanlagen'!$U$150,'Abwasser-, Wasser-, Gasanlagen'!$J$150*'Abwasser-, Wasser-, Gasanlagen'!$F$23+'Abwasser-, Wasser-, Gasanlagen'!$J$150+'Abwasser-, Wasser-, Gasanlagen'!$R$150,0)</f>
        <v>0</v>
      </c>
      <c r="M139" s="698">
        <f>IF($B139='Abwasser-, Wasser-, Gasanlagen'!$U$154,'Abwasser-, Wasser-, Gasanlagen'!$J$154*'Abwasser-, Wasser-, Gasanlagen'!$F$23+'Abwasser-, Wasser-, Gasanlagen'!$J$154+'Abwasser-, Wasser-, Gasanlagen'!$L$177,0)</f>
        <v>0</v>
      </c>
      <c r="N139" s="698">
        <f>IF($B139='Abwasser-, Wasser-, Gasanlagen'!$U$178,'Abwasser-, Wasser-, Gasanlagen'!$J$178*'Abwasser-, Wasser-, Gasanlagen'!$F$23+'Abwasser-, Wasser-, Gasanlagen'!$J$178+'Abwasser-, Wasser-, Gasanlagen'!$L$192,0)</f>
        <v>0</v>
      </c>
      <c r="O139" s="698">
        <f>IF($B139='Abwasser-, Wasser-, Gasanlagen'!$U$193,'Abwasser-, Wasser-, Gasanlagen'!$J$193*'Abwasser-, Wasser-, Gasanlagen'!$F$23+'Abwasser-, Wasser-, Gasanlagen'!$J$193+'Abwasser-, Wasser-, Gasanlagen'!$L$234,0)</f>
        <v>0</v>
      </c>
      <c r="P139" s="698">
        <f>IF($B139='Abwasser-, Wasser-, Gasanlagen'!$U$235,'Abwasser-, Wasser-, Gasanlagen'!$J$235*'Abwasser-, Wasser-, Gasanlagen'!$F$23+'Abwasser-, Wasser-, Gasanlagen'!$J$235+'Abwasser-, Wasser-, Gasanlagen'!$L$244,0)</f>
        <v>0</v>
      </c>
      <c r="Q139" s="699">
        <f t="shared" ref="Q139:Q145" si="6">SUM(C139:P139)</f>
        <v>0</v>
      </c>
    </row>
    <row r="140" spans="2:17" x14ac:dyDescent="0.3">
      <c r="B140" s="769">
        <f>IF(Überblick!$H$53&gt;=3,3,"")</f>
        <v>3</v>
      </c>
      <c r="C140" s="698">
        <f>IF($B140='Abwasser-, Wasser-, Gasanlagen'!$U$39,'Abwasser-, Wasser-, Gasanlagen'!$J$39*'Abwasser-, Wasser-, Gasanlagen'!$F$23+'Abwasser-, Wasser-, Gasanlagen'!$J$39+'Abwasser-, Wasser-, Gasanlagen'!$L$54,0)</f>
        <v>0</v>
      </c>
      <c r="D140" s="698">
        <f>IF($B140='Abwasser-, Wasser-, Gasanlagen'!$U$55,'Abwasser-, Wasser-, Gasanlagen'!$J$55*'Abwasser-, Wasser-, Gasanlagen'!$F$23+'Abwasser-, Wasser-, Gasanlagen'!$J$55+'Abwasser-, Wasser-, Gasanlagen'!$L$78,0)</f>
        <v>0</v>
      </c>
      <c r="E140" s="698">
        <f>IF($B140='Abwasser-, Wasser-, Gasanlagen'!$U$82,'Abwasser-, Wasser-, Gasanlagen'!$J$82*'Abwasser-, Wasser-, Gasanlagen'!$F$23+'Abwasser-, Wasser-, Gasanlagen'!$J$82+'Abwasser-, Wasser-, Gasanlagen'!$L$115,0)</f>
        <v>0</v>
      </c>
      <c r="F140" s="698">
        <f>IF($B140='Abwasser-, Wasser-, Gasanlagen'!$U$119,'Abwasser-, Wasser-, Gasanlagen'!$J$119*'Abwasser-, Wasser-, Gasanlagen'!$F$23+'Abwasser-, Wasser-, Gasanlagen'!$J$119+'Abwasser-, Wasser-, Gasanlagen'!$L$127,0)</f>
        <v>0</v>
      </c>
      <c r="G140" s="698">
        <f>IF($B140='Abwasser-, Wasser-, Gasanlagen'!$U$128,'Abwasser-, Wasser-, Gasanlagen'!$J$128*'Abwasser-, Wasser-, Gasanlagen'!$F$23+'Abwasser-, Wasser-, Gasanlagen'!$J$128+'Abwasser-, Wasser-, Gasanlagen'!$R$128+'Abwasser-, Wasser-, Gasanlagen'!$R$131,0)</f>
        <v>0</v>
      </c>
      <c r="H140" s="698">
        <f>IF($B140='Abwasser-, Wasser-, Gasanlagen'!$U$133,'Abwasser-, Wasser-, Gasanlagen'!$J$133*'Abwasser-, Wasser-, Gasanlagen'!$F$23+'Abwasser-, Wasser-, Gasanlagen'!$J$133+'Abwasser-, Wasser-, Gasanlagen'!$R$133+'Abwasser-, Wasser-, Gasanlagen'!$R$136+'Abwasser-, Wasser-, Gasanlagen'!$R$139+'Abwasser-, Wasser-, Gasanlagen'!$R$142,0)</f>
        <v>0</v>
      </c>
      <c r="I140" s="698">
        <f>IF($B140='Abwasser-, Wasser-, Gasanlagen'!$U$143,'Abwasser-, Wasser-, Gasanlagen'!$J$143*'Abwasser-, Wasser-, Gasanlagen'!$F$23+'Abwasser-, Wasser-, Gasanlagen'!$J$143+'Abwasser-, Wasser-, Gasanlagen'!$R$143,0)</f>
        <v>0</v>
      </c>
      <c r="J140" s="698">
        <f>IF($B140='Abwasser-, Wasser-, Gasanlagen'!$U$144,'Abwasser-, Wasser-, Gasanlagen'!$J$144*'Abwasser-, Wasser-, Gasanlagen'!$F$23+'Abwasser-, Wasser-, Gasanlagen'!$J$144+'Abwasser-, Wasser-, Gasanlagen'!$R$144,0)</f>
        <v>0</v>
      </c>
      <c r="K140" s="698">
        <f>IF($B140='Abwasser-, Wasser-, Gasanlagen'!$U$145,'Abwasser-, Wasser-, Gasanlagen'!$J$145*'Abwasser-, Wasser-, Gasanlagen'!$F$23+'Abwasser-, Wasser-, Gasanlagen'!$J$145+'Abwasser-, Wasser-, Gasanlagen'!$R$145+'Abwasser-, Wasser-, Gasanlagen'!$R$148,0)</f>
        <v>0</v>
      </c>
      <c r="L140" s="698">
        <f>IF($B140='Abwasser-, Wasser-, Gasanlagen'!$U$150,'Abwasser-, Wasser-, Gasanlagen'!$J$150*'Abwasser-, Wasser-, Gasanlagen'!$F$23+'Abwasser-, Wasser-, Gasanlagen'!$J$150+'Abwasser-, Wasser-, Gasanlagen'!$R$150,0)</f>
        <v>0</v>
      </c>
      <c r="M140" s="698">
        <f>IF($B140='Abwasser-, Wasser-, Gasanlagen'!$U$154,'Abwasser-, Wasser-, Gasanlagen'!$J$154*'Abwasser-, Wasser-, Gasanlagen'!$F$23+'Abwasser-, Wasser-, Gasanlagen'!$J$154+'Abwasser-, Wasser-, Gasanlagen'!$L$177,0)</f>
        <v>0</v>
      </c>
      <c r="N140" s="698">
        <f>IF($B140='Abwasser-, Wasser-, Gasanlagen'!$U$178,'Abwasser-, Wasser-, Gasanlagen'!$J$178*'Abwasser-, Wasser-, Gasanlagen'!$F$23+'Abwasser-, Wasser-, Gasanlagen'!$J$178+'Abwasser-, Wasser-, Gasanlagen'!$L$192,0)</f>
        <v>0</v>
      </c>
      <c r="O140" s="698">
        <f>IF($B140='Abwasser-, Wasser-, Gasanlagen'!$U$193,'Abwasser-, Wasser-, Gasanlagen'!$J$193*'Abwasser-, Wasser-, Gasanlagen'!$F$23+'Abwasser-, Wasser-, Gasanlagen'!$J$193+'Abwasser-, Wasser-, Gasanlagen'!$L$234,0)</f>
        <v>0</v>
      </c>
      <c r="P140" s="698">
        <f>IF($B140='Abwasser-, Wasser-, Gasanlagen'!$U$235,'Abwasser-, Wasser-, Gasanlagen'!$J$235*'Abwasser-, Wasser-, Gasanlagen'!$F$23+'Abwasser-, Wasser-, Gasanlagen'!$J$235+'Abwasser-, Wasser-, Gasanlagen'!$L$244,0)</f>
        <v>0</v>
      </c>
      <c r="Q140" s="699">
        <f t="shared" si="6"/>
        <v>0</v>
      </c>
    </row>
    <row r="141" spans="2:17" x14ac:dyDescent="0.3">
      <c r="B141" s="769">
        <f>IF(Überblick!$H$53&gt;=4,4,"")</f>
        <v>4</v>
      </c>
      <c r="C141" s="698">
        <f>IF($B141='Abwasser-, Wasser-, Gasanlagen'!$U$39,'Abwasser-, Wasser-, Gasanlagen'!$J$39*'Abwasser-, Wasser-, Gasanlagen'!$F$23+'Abwasser-, Wasser-, Gasanlagen'!$J$39+'Abwasser-, Wasser-, Gasanlagen'!$L$54,0)</f>
        <v>0</v>
      </c>
      <c r="D141" s="698">
        <f>IF($B141='Abwasser-, Wasser-, Gasanlagen'!$U$55,'Abwasser-, Wasser-, Gasanlagen'!$J$55*'Abwasser-, Wasser-, Gasanlagen'!$F$23+'Abwasser-, Wasser-, Gasanlagen'!$J$55+'Abwasser-, Wasser-, Gasanlagen'!$L$78,0)</f>
        <v>0</v>
      </c>
      <c r="E141" s="698">
        <f>IF($B141='Abwasser-, Wasser-, Gasanlagen'!$U$82,'Abwasser-, Wasser-, Gasanlagen'!$J$82*'Abwasser-, Wasser-, Gasanlagen'!$F$23+'Abwasser-, Wasser-, Gasanlagen'!$J$82+'Abwasser-, Wasser-, Gasanlagen'!$L$115,0)</f>
        <v>0</v>
      </c>
      <c r="F141" s="698">
        <f>IF($B141='Abwasser-, Wasser-, Gasanlagen'!$U$119,'Abwasser-, Wasser-, Gasanlagen'!$J$119*'Abwasser-, Wasser-, Gasanlagen'!$F$23+'Abwasser-, Wasser-, Gasanlagen'!$J$119+'Abwasser-, Wasser-, Gasanlagen'!$L$127,0)</f>
        <v>0</v>
      </c>
      <c r="G141" s="698">
        <f>IF($B141='Abwasser-, Wasser-, Gasanlagen'!$U$128,'Abwasser-, Wasser-, Gasanlagen'!$J$128*'Abwasser-, Wasser-, Gasanlagen'!$F$23+'Abwasser-, Wasser-, Gasanlagen'!$J$128+'Abwasser-, Wasser-, Gasanlagen'!$R$128+'Abwasser-, Wasser-, Gasanlagen'!$R$131,0)</f>
        <v>0</v>
      </c>
      <c r="H141" s="698">
        <f>IF($B141='Abwasser-, Wasser-, Gasanlagen'!$U$133,'Abwasser-, Wasser-, Gasanlagen'!$J$133*'Abwasser-, Wasser-, Gasanlagen'!$F$23+'Abwasser-, Wasser-, Gasanlagen'!$J$133+'Abwasser-, Wasser-, Gasanlagen'!$R$133+'Abwasser-, Wasser-, Gasanlagen'!$R$136+'Abwasser-, Wasser-, Gasanlagen'!$R$139+'Abwasser-, Wasser-, Gasanlagen'!$R$142,0)</f>
        <v>0</v>
      </c>
      <c r="I141" s="698">
        <f>IF($B141='Abwasser-, Wasser-, Gasanlagen'!$U$143,'Abwasser-, Wasser-, Gasanlagen'!$J$143*'Abwasser-, Wasser-, Gasanlagen'!$F$23+'Abwasser-, Wasser-, Gasanlagen'!$J$143+'Abwasser-, Wasser-, Gasanlagen'!$R$143,0)</f>
        <v>0</v>
      </c>
      <c r="J141" s="698">
        <f>IF($B141='Abwasser-, Wasser-, Gasanlagen'!$U$144,'Abwasser-, Wasser-, Gasanlagen'!$J$144*'Abwasser-, Wasser-, Gasanlagen'!$F$23+'Abwasser-, Wasser-, Gasanlagen'!$J$144+'Abwasser-, Wasser-, Gasanlagen'!$R$144,0)</f>
        <v>0</v>
      </c>
      <c r="K141" s="698">
        <f>IF($B141='Abwasser-, Wasser-, Gasanlagen'!$U$145,'Abwasser-, Wasser-, Gasanlagen'!$J$145*'Abwasser-, Wasser-, Gasanlagen'!$F$23+'Abwasser-, Wasser-, Gasanlagen'!$J$145+'Abwasser-, Wasser-, Gasanlagen'!$R$145+'Abwasser-, Wasser-, Gasanlagen'!$R$148,0)</f>
        <v>0</v>
      </c>
      <c r="L141" s="698">
        <f>IF($B141='Abwasser-, Wasser-, Gasanlagen'!$U$150,'Abwasser-, Wasser-, Gasanlagen'!$J$150*'Abwasser-, Wasser-, Gasanlagen'!$F$23+'Abwasser-, Wasser-, Gasanlagen'!$J$150+'Abwasser-, Wasser-, Gasanlagen'!$R$150,0)</f>
        <v>0</v>
      </c>
      <c r="M141" s="698">
        <f>IF($B141='Abwasser-, Wasser-, Gasanlagen'!$U$154,'Abwasser-, Wasser-, Gasanlagen'!$J$154*'Abwasser-, Wasser-, Gasanlagen'!$F$23+'Abwasser-, Wasser-, Gasanlagen'!$J$154+'Abwasser-, Wasser-, Gasanlagen'!$L$177,0)</f>
        <v>0</v>
      </c>
      <c r="N141" s="698">
        <f>IF($B141='Abwasser-, Wasser-, Gasanlagen'!$U$178,'Abwasser-, Wasser-, Gasanlagen'!$J$178*'Abwasser-, Wasser-, Gasanlagen'!$F$23+'Abwasser-, Wasser-, Gasanlagen'!$J$178+'Abwasser-, Wasser-, Gasanlagen'!$L$192,0)</f>
        <v>0</v>
      </c>
      <c r="O141" s="698">
        <f>IF($B141='Abwasser-, Wasser-, Gasanlagen'!$U$193,'Abwasser-, Wasser-, Gasanlagen'!$J$193*'Abwasser-, Wasser-, Gasanlagen'!$F$23+'Abwasser-, Wasser-, Gasanlagen'!$J$193+'Abwasser-, Wasser-, Gasanlagen'!$L$234,0)</f>
        <v>0</v>
      </c>
      <c r="P141" s="698">
        <f>IF($B141='Abwasser-, Wasser-, Gasanlagen'!$U$235,'Abwasser-, Wasser-, Gasanlagen'!$J$235*'Abwasser-, Wasser-, Gasanlagen'!$F$23+'Abwasser-, Wasser-, Gasanlagen'!$J$235+'Abwasser-, Wasser-, Gasanlagen'!$L$244,0)</f>
        <v>0</v>
      </c>
      <c r="Q141" s="699">
        <f t="shared" si="6"/>
        <v>0</v>
      </c>
    </row>
    <row r="142" spans="2:17" x14ac:dyDescent="0.3">
      <c r="B142" s="769">
        <f>IF(Überblick!$H$53&gt;=5,5,"")</f>
        <v>5</v>
      </c>
      <c r="C142" s="698">
        <f>IF($B142='Abwasser-, Wasser-, Gasanlagen'!$U$39,'Abwasser-, Wasser-, Gasanlagen'!$J$39*'Abwasser-, Wasser-, Gasanlagen'!$F$23+'Abwasser-, Wasser-, Gasanlagen'!$J$39+'Abwasser-, Wasser-, Gasanlagen'!$L$54,0)</f>
        <v>0</v>
      </c>
      <c r="D142" s="698">
        <f>IF($B142='Abwasser-, Wasser-, Gasanlagen'!$U$55,'Abwasser-, Wasser-, Gasanlagen'!$J$55*'Abwasser-, Wasser-, Gasanlagen'!$F$23+'Abwasser-, Wasser-, Gasanlagen'!$J$55+'Abwasser-, Wasser-, Gasanlagen'!$L$78,0)</f>
        <v>0</v>
      </c>
      <c r="E142" s="698">
        <f>IF($B142='Abwasser-, Wasser-, Gasanlagen'!$U$82,'Abwasser-, Wasser-, Gasanlagen'!$J$82*'Abwasser-, Wasser-, Gasanlagen'!$F$23+'Abwasser-, Wasser-, Gasanlagen'!$J$82+'Abwasser-, Wasser-, Gasanlagen'!$L$115,0)</f>
        <v>0</v>
      </c>
      <c r="F142" s="698">
        <f>IF($B142='Abwasser-, Wasser-, Gasanlagen'!$U$119,'Abwasser-, Wasser-, Gasanlagen'!$J$119*'Abwasser-, Wasser-, Gasanlagen'!$F$23+'Abwasser-, Wasser-, Gasanlagen'!$J$119+'Abwasser-, Wasser-, Gasanlagen'!$L$127,0)</f>
        <v>0</v>
      </c>
      <c r="G142" s="698">
        <f>IF($B142='Abwasser-, Wasser-, Gasanlagen'!$U$128,'Abwasser-, Wasser-, Gasanlagen'!$J$128*'Abwasser-, Wasser-, Gasanlagen'!$F$23+'Abwasser-, Wasser-, Gasanlagen'!$J$128+'Abwasser-, Wasser-, Gasanlagen'!$R$128+'Abwasser-, Wasser-, Gasanlagen'!$R$131,0)</f>
        <v>0</v>
      </c>
      <c r="H142" s="698">
        <f>IF($B142='Abwasser-, Wasser-, Gasanlagen'!$U$133,'Abwasser-, Wasser-, Gasanlagen'!$J$133*'Abwasser-, Wasser-, Gasanlagen'!$F$23+'Abwasser-, Wasser-, Gasanlagen'!$J$133+'Abwasser-, Wasser-, Gasanlagen'!$R$133+'Abwasser-, Wasser-, Gasanlagen'!$R$136+'Abwasser-, Wasser-, Gasanlagen'!$R$139+'Abwasser-, Wasser-, Gasanlagen'!$R$142,0)</f>
        <v>0</v>
      </c>
      <c r="I142" s="698">
        <f>IF($B142='Abwasser-, Wasser-, Gasanlagen'!$U$143,'Abwasser-, Wasser-, Gasanlagen'!$J$143*'Abwasser-, Wasser-, Gasanlagen'!$F$23+'Abwasser-, Wasser-, Gasanlagen'!$J$143+'Abwasser-, Wasser-, Gasanlagen'!$R$143,0)</f>
        <v>0</v>
      </c>
      <c r="J142" s="698">
        <f>IF($B142='Abwasser-, Wasser-, Gasanlagen'!$U$144,'Abwasser-, Wasser-, Gasanlagen'!$J$144*'Abwasser-, Wasser-, Gasanlagen'!$F$23+'Abwasser-, Wasser-, Gasanlagen'!$J$144+'Abwasser-, Wasser-, Gasanlagen'!$R$144,0)</f>
        <v>0</v>
      </c>
      <c r="K142" s="698">
        <f>IF($B142='Abwasser-, Wasser-, Gasanlagen'!$U$145,'Abwasser-, Wasser-, Gasanlagen'!$J$145*'Abwasser-, Wasser-, Gasanlagen'!$F$23+'Abwasser-, Wasser-, Gasanlagen'!$J$145+'Abwasser-, Wasser-, Gasanlagen'!$R$145+'Abwasser-, Wasser-, Gasanlagen'!$R$148,0)</f>
        <v>0</v>
      </c>
      <c r="L142" s="698">
        <f>IF($B142='Abwasser-, Wasser-, Gasanlagen'!$U$150,'Abwasser-, Wasser-, Gasanlagen'!$J$150*'Abwasser-, Wasser-, Gasanlagen'!$F$23+'Abwasser-, Wasser-, Gasanlagen'!$J$150+'Abwasser-, Wasser-, Gasanlagen'!$R$150,0)</f>
        <v>0</v>
      </c>
      <c r="M142" s="698">
        <f>IF($B142='Abwasser-, Wasser-, Gasanlagen'!$U$154,'Abwasser-, Wasser-, Gasanlagen'!$J$154*'Abwasser-, Wasser-, Gasanlagen'!$F$23+'Abwasser-, Wasser-, Gasanlagen'!$J$154+'Abwasser-, Wasser-, Gasanlagen'!$L$177,0)</f>
        <v>0</v>
      </c>
      <c r="N142" s="698">
        <f>IF($B142='Abwasser-, Wasser-, Gasanlagen'!$U$178,'Abwasser-, Wasser-, Gasanlagen'!$J$178*'Abwasser-, Wasser-, Gasanlagen'!$F$23+'Abwasser-, Wasser-, Gasanlagen'!$J$178+'Abwasser-, Wasser-, Gasanlagen'!$L$192,0)</f>
        <v>0</v>
      </c>
      <c r="O142" s="698">
        <f>IF($B142='Abwasser-, Wasser-, Gasanlagen'!$U$193,'Abwasser-, Wasser-, Gasanlagen'!$J$193*'Abwasser-, Wasser-, Gasanlagen'!$F$23+'Abwasser-, Wasser-, Gasanlagen'!$J$193+'Abwasser-, Wasser-, Gasanlagen'!$L$234,0)</f>
        <v>0</v>
      </c>
      <c r="P142" s="698">
        <f>IF($B142='Abwasser-, Wasser-, Gasanlagen'!$U$235,'Abwasser-, Wasser-, Gasanlagen'!$J$235*'Abwasser-, Wasser-, Gasanlagen'!$F$23+'Abwasser-, Wasser-, Gasanlagen'!$J$235+'Abwasser-, Wasser-, Gasanlagen'!$L$244,0)</f>
        <v>0</v>
      </c>
      <c r="Q142" s="699">
        <f t="shared" si="6"/>
        <v>0</v>
      </c>
    </row>
    <row r="143" spans="2:17" x14ac:dyDescent="0.3">
      <c r="B143" s="769">
        <f>IF(Überblick!$H$53&gt;=6,6,"")</f>
        <v>6</v>
      </c>
      <c r="C143" s="698">
        <f>IF($B143='Abwasser-, Wasser-, Gasanlagen'!$U$39,'Abwasser-, Wasser-, Gasanlagen'!$J$39*'Abwasser-, Wasser-, Gasanlagen'!$F$23+'Abwasser-, Wasser-, Gasanlagen'!$J$39+'Abwasser-, Wasser-, Gasanlagen'!$L$54,0)</f>
        <v>0</v>
      </c>
      <c r="D143" s="698">
        <f>IF($B143='Abwasser-, Wasser-, Gasanlagen'!$U$55,'Abwasser-, Wasser-, Gasanlagen'!$J$55*'Abwasser-, Wasser-, Gasanlagen'!$F$23+'Abwasser-, Wasser-, Gasanlagen'!$J$55+'Abwasser-, Wasser-, Gasanlagen'!$L$78,0)</f>
        <v>0</v>
      </c>
      <c r="E143" s="698">
        <f>IF($B143='Abwasser-, Wasser-, Gasanlagen'!$U$82,'Abwasser-, Wasser-, Gasanlagen'!$J$82*'Abwasser-, Wasser-, Gasanlagen'!$F$23+'Abwasser-, Wasser-, Gasanlagen'!$J$82+'Abwasser-, Wasser-, Gasanlagen'!$L$115,0)</f>
        <v>0</v>
      </c>
      <c r="F143" s="698">
        <f>IF($B143='Abwasser-, Wasser-, Gasanlagen'!$U$119,'Abwasser-, Wasser-, Gasanlagen'!$J$119*'Abwasser-, Wasser-, Gasanlagen'!$F$23+'Abwasser-, Wasser-, Gasanlagen'!$J$119+'Abwasser-, Wasser-, Gasanlagen'!$L$127,0)</f>
        <v>0</v>
      </c>
      <c r="G143" s="698">
        <f>IF($B143='Abwasser-, Wasser-, Gasanlagen'!$U$128,'Abwasser-, Wasser-, Gasanlagen'!$J$128*'Abwasser-, Wasser-, Gasanlagen'!$F$23+'Abwasser-, Wasser-, Gasanlagen'!$J$128+'Abwasser-, Wasser-, Gasanlagen'!$R$128+'Abwasser-, Wasser-, Gasanlagen'!$R$131,0)</f>
        <v>0</v>
      </c>
      <c r="H143" s="698">
        <f>IF($B143='Abwasser-, Wasser-, Gasanlagen'!$U$133,'Abwasser-, Wasser-, Gasanlagen'!$J$133*'Abwasser-, Wasser-, Gasanlagen'!$F$23+'Abwasser-, Wasser-, Gasanlagen'!$J$133+'Abwasser-, Wasser-, Gasanlagen'!$R$133+'Abwasser-, Wasser-, Gasanlagen'!$R$136+'Abwasser-, Wasser-, Gasanlagen'!$R$139+'Abwasser-, Wasser-, Gasanlagen'!$R$142,0)</f>
        <v>0</v>
      </c>
      <c r="I143" s="698">
        <f>IF($B143='Abwasser-, Wasser-, Gasanlagen'!$U$143,'Abwasser-, Wasser-, Gasanlagen'!$J$143*'Abwasser-, Wasser-, Gasanlagen'!$F$23+'Abwasser-, Wasser-, Gasanlagen'!$J$143+'Abwasser-, Wasser-, Gasanlagen'!$R$143,0)</f>
        <v>0</v>
      </c>
      <c r="J143" s="698">
        <f>IF($B143='Abwasser-, Wasser-, Gasanlagen'!$U$144,'Abwasser-, Wasser-, Gasanlagen'!$J$144*'Abwasser-, Wasser-, Gasanlagen'!$F$23+'Abwasser-, Wasser-, Gasanlagen'!$J$144+'Abwasser-, Wasser-, Gasanlagen'!$R$144,0)</f>
        <v>0</v>
      </c>
      <c r="K143" s="698">
        <f>IF($B143='Abwasser-, Wasser-, Gasanlagen'!$U$145,'Abwasser-, Wasser-, Gasanlagen'!$J$145*'Abwasser-, Wasser-, Gasanlagen'!$F$23+'Abwasser-, Wasser-, Gasanlagen'!$J$145+'Abwasser-, Wasser-, Gasanlagen'!$R$145+'Abwasser-, Wasser-, Gasanlagen'!$R$148,0)</f>
        <v>0</v>
      </c>
      <c r="L143" s="698">
        <f>IF($B143='Abwasser-, Wasser-, Gasanlagen'!$U$150,'Abwasser-, Wasser-, Gasanlagen'!$J$150*'Abwasser-, Wasser-, Gasanlagen'!$F$23+'Abwasser-, Wasser-, Gasanlagen'!$J$150+'Abwasser-, Wasser-, Gasanlagen'!$R$150,0)</f>
        <v>0</v>
      </c>
      <c r="M143" s="698">
        <f>IF($B143='Abwasser-, Wasser-, Gasanlagen'!$U$154,'Abwasser-, Wasser-, Gasanlagen'!$J$154*'Abwasser-, Wasser-, Gasanlagen'!$F$23+'Abwasser-, Wasser-, Gasanlagen'!$J$154+'Abwasser-, Wasser-, Gasanlagen'!$L$177,0)</f>
        <v>0</v>
      </c>
      <c r="N143" s="698">
        <f>IF($B143='Abwasser-, Wasser-, Gasanlagen'!$U$178,'Abwasser-, Wasser-, Gasanlagen'!$J$178*'Abwasser-, Wasser-, Gasanlagen'!$F$23+'Abwasser-, Wasser-, Gasanlagen'!$J$178+'Abwasser-, Wasser-, Gasanlagen'!$L$192,0)</f>
        <v>0</v>
      </c>
      <c r="O143" s="698">
        <f>IF($B143='Abwasser-, Wasser-, Gasanlagen'!$U$193,'Abwasser-, Wasser-, Gasanlagen'!$J$193*'Abwasser-, Wasser-, Gasanlagen'!$F$23+'Abwasser-, Wasser-, Gasanlagen'!$J$193+'Abwasser-, Wasser-, Gasanlagen'!$L$234,0)</f>
        <v>0</v>
      </c>
      <c r="P143" s="698">
        <f>IF($B143='Abwasser-, Wasser-, Gasanlagen'!$U$235,'Abwasser-, Wasser-, Gasanlagen'!$J$235*'Abwasser-, Wasser-, Gasanlagen'!$F$23+'Abwasser-, Wasser-, Gasanlagen'!$J$235+'Abwasser-, Wasser-, Gasanlagen'!$L$244,0)</f>
        <v>0</v>
      </c>
      <c r="Q143" s="699">
        <f t="shared" si="6"/>
        <v>0</v>
      </c>
    </row>
    <row r="144" spans="2:17" x14ac:dyDescent="0.3">
      <c r="B144" s="769" t="str">
        <f>IF(Überblick!$H$53&gt;=7,7,"")</f>
        <v/>
      </c>
      <c r="C144" s="698">
        <f>IF($B144='Abwasser-, Wasser-, Gasanlagen'!$U$39,'Abwasser-, Wasser-, Gasanlagen'!$J$39*'Abwasser-, Wasser-, Gasanlagen'!$F$23+'Abwasser-, Wasser-, Gasanlagen'!$J$39+'Abwasser-, Wasser-, Gasanlagen'!$L$54,0)</f>
        <v>0</v>
      </c>
      <c r="D144" s="698">
        <f>IF($B144='Abwasser-, Wasser-, Gasanlagen'!$U$55,'Abwasser-, Wasser-, Gasanlagen'!$J$55*'Abwasser-, Wasser-, Gasanlagen'!$F$23+'Abwasser-, Wasser-, Gasanlagen'!$J$55+'Abwasser-, Wasser-, Gasanlagen'!$L$78,0)</f>
        <v>0</v>
      </c>
      <c r="E144" s="698">
        <f>IF($B144='Abwasser-, Wasser-, Gasanlagen'!$U$82,'Abwasser-, Wasser-, Gasanlagen'!$J$82*'Abwasser-, Wasser-, Gasanlagen'!$F$23+'Abwasser-, Wasser-, Gasanlagen'!$J$82+'Abwasser-, Wasser-, Gasanlagen'!$L$115,0)</f>
        <v>0</v>
      </c>
      <c r="F144" s="698">
        <f>IF($B144='Abwasser-, Wasser-, Gasanlagen'!$U$119,'Abwasser-, Wasser-, Gasanlagen'!$J$119*'Abwasser-, Wasser-, Gasanlagen'!$F$23+'Abwasser-, Wasser-, Gasanlagen'!$J$119+'Abwasser-, Wasser-, Gasanlagen'!$L$127,0)</f>
        <v>0</v>
      </c>
      <c r="G144" s="698">
        <f>IF($B144='Abwasser-, Wasser-, Gasanlagen'!$U$128,'Abwasser-, Wasser-, Gasanlagen'!$J$128*'Abwasser-, Wasser-, Gasanlagen'!$F$23+'Abwasser-, Wasser-, Gasanlagen'!$J$128+'Abwasser-, Wasser-, Gasanlagen'!$R$128+'Abwasser-, Wasser-, Gasanlagen'!$R$131,0)</f>
        <v>0</v>
      </c>
      <c r="H144" s="698">
        <f>IF($B144='Abwasser-, Wasser-, Gasanlagen'!$U$133,'Abwasser-, Wasser-, Gasanlagen'!$J$133*'Abwasser-, Wasser-, Gasanlagen'!$F$23+'Abwasser-, Wasser-, Gasanlagen'!$J$133+'Abwasser-, Wasser-, Gasanlagen'!$R$133+'Abwasser-, Wasser-, Gasanlagen'!$R$136+'Abwasser-, Wasser-, Gasanlagen'!$R$139+'Abwasser-, Wasser-, Gasanlagen'!$R$142,0)</f>
        <v>0</v>
      </c>
      <c r="I144" s="698">
        <f>IF($B144='Abwasser-, Wasser-, Gasanlagen'!$U$143,'Abwasser-, Wasser-, Gasanlagen'!$J$143*'Abwasser-, Wasser-, Gasanlagen'!$F$23+'Abwasser-, Wasser-, Gasanlagen'!$J$143+'Abwasser-, Wasser-, Gasanlagen'!$R$143,0)</f>
        <v>0</v>
      </c>
      <c r="J144" s="698">
        <f>IF($B144='Abwasser-, Wasser-, Gasanlagen'!$U$144,'Abwasser-, Wasser-, Gasanlagen'!$J$144*'Abwasser-, Wasser-, Gasanlagen'!$F$23+'Abwasser-, Wasser-, Gasanlagen'!$J$144+'Abwasser-, Wasser-, Gasanlagen'!$R$144,0)</f>
        <v>0</v>
      </c>
      <c r="K144" s="698">
        <f>IF($B144='Abwasser-, Wasser-, Gasanlagen'!$U$145,'Abwasser-, Wasser-, Gasanlagen'!$J$145*'Abwasser-, Wasser-, Gasanlagen'!$F$23+'Abwasser-, Wasser-, Gasanlagen'!$J$145+'Abwasser-, Wasser-, Gasanlagen'!$R$145+'Abwasser-, Wasser-, Gasanlagen'!$R$148,0)</f>
        <v>0</v>
      </c>
      <c r="L144" s="698">
        <f>IF($B144='Abwasser-, Wasser-, Gasanlagen'!$U$150,'Abwasser-, Wasser-, Gasanlagen'!$J$150*'Abwasser-, Wasser-, Gasanlagen'!$F$23+'Abwasser-, Wasser-, Gasanlagen'!$J$150+'Abwasser-, Wasser-, Gasanlagen'!$R$150,0)</f>
        <v>0</v>
      </c>
      <c r="M144" s="698">
        <f>IF($B144='Abwasser-, Wasser-, Gasanlagen'!$U$154,'Abwasser-, Wasser-, Gasanlagen'!$J$154*'Abwasser-, Wasser-, Gasanlagen'!$F$23+'Abwasser-, Wasser-, Gasanlagen'!$J$154+'Abwasser-, Wasser-, Gasanlagen'!$L$177,0)</f>
        <v>0</v>
      </c>
      <c r="N144" s="698">
        <f>IF($B144='Abwasser-, Wasser-, Gasanlagen'!$U$178,'Abwasser-, Wasser-, Gasanlagen'!$J$178*'Abwasser-, Wasser-, Gasanlagen'!$F$23+'Abwasser-, Wasser-, Gasanlagen'!$J$178+'Abwasser-, Wasser-, Gasanlagen'!$L$192,0)</f>
        <v>0</v>
      </c>
      <c r="O144" s="698">
        <f>IF($B144='Abwasser-, Wasser-, Gasanlagen'!$U$193,'Abwasser-, Wasser-, Gasanlagen'!$J$193*'Abwasser-, Wasser-, Gasanlagen'!$F$23+'Abwasser-, Wasser-, Gasanlagen'!$J$193+'Abwasser-, Wasser-, Gasanlagen'!$L$234,0)</f>
        <v>0</v>
      </c>
      <c r="P144" s="698">
        <f>IF($B144='Abwasser-, Wasser-, Gasanlagen'!$U$235,'Abwasser-, Wasser-, Gasanlagen'!$J$235*'Abwasser-, Wasser-, Gasanlagen'!$F$23+'Abwasser-, Wasser-, Gasanlagen'!$J$235+'Abwasser-, Wasser-, Gasanlagen'!$L$244,0)</f>
        <v>0</v>
      </c>
      <c r="Q144" s="699">
        <f t="shared" si="6"/>
        <v>0</v>
      </c>
    </row>
    <row r="145" spans="2:18" x14ac:dyDescent="0.3">
      <c r="B145" s="770" t="str">
        <f>IF(Überblick!$H$53&gt;=8,8,"")</f>
        <v/>
      </c>
      <c r="C145" s="698">
        <f>IF($B145='Abwasser-, Wasser-, Gasanlagen'!$U$39,'Abwasser-, Wasser-, Gasanlagen'!$J$39*'Abwasser-, Wasser-, Gasanlagen'!$F$23+'Abwasser-, Wasser-, Gasanlagen'!$J$39+'Abwasser-, Wasser-, Gasanlagen'!$L$54,0)</f>
        <v>0</v>
      </c>
      <c r="D145" s="698">
        <f>IF($B145='Abwasser-, Wasser-, Gasanlagen'!$U$55,'Abwasser-, Wasser-, Gasanlagen'!$J$55*'Abwasser-, Wasser-, Gasanlagen'!$F$23+'Abwasser-, Wasser-, Gasanlagen'!$J$55+'Abwasser-, Wasser-, Gasanlagen'!$L$78,0)</f>
        <v>0</v>
      </c>
      <c r="E145" s="698">
        <f>IF($B145='Abwasser-, Wasser-, Gasanlagen'!$U$82,'Abwasser-, Wasser-, Gasanlagen'!$J$82*'Abwasser-, Wasser-, Gasanlagen'!$F$23+'Abwasser-, Wasser-, Gasanlagen'!$J$82+'Abwasser-, Wasser-, Gasanlagen'!$L$115,0)</f>
        <v>0</v>
      </c>
      <c r="F145" s="698">
        <f>IF($B145='Abwasser-, Wasser-, Gasanlagen'!$U$119,'Abwasser-, Wasser-, Gasanlagen'!$J$119*'Abwasser-, Wasser-, Gasanlagen'!$F$23+'Abwasser-, Wasser-, Gasanlagen'!$J$119+'Abwasser-, Wasser-, Gasanlagen'!$L$127,0)</f>
        <v>0</v>
      </c>
      <c r="G145" s="698">
        <f>IF($B145='Abwasser-, Wasser-, Gasanlagen'!$U$128,'Abwasser-, Wasser-, Gasanlagen'!$J$128*'Abwasser-, Wasser-, Gasanlagen'!$F$23+'Abwasser-, Wasser-, Gasanlagen'!$J$128+'Abwasser-, Wasser-, Gasanlagen'!$R$128+'Abwasser-, Wasser-, Gasanlagen'!$R$131,0)</f>
        <v>0</v>
      </c>
      <c r="H145" s="698">
        <f>IF($B145='Abwasser-, Wasser-, Gasanlagen'!$U$133,'Abwasser-, Wasser-, Gasanlagen'!$J$133*'Abwasser-, Wasser-, Gasanlagen'!$F$23+'Abwasser-, Wasser-, Gasanlagen'!$J$133+'Abwasser-, Wasser-, Gasanlagen'!$R$133+'Abwasser-, Wasser-, Gasanlagen'!$R$136+'Abwasser-, Wasser-, Gasanlagen'!$R$139+'Abwasser-, Wasser-, Gasanlagen'!$R$142,0)</f>
        <v>0</v>
      </c>
      <c r="I145" s="698">
        <f>IF($B145='Abwasser-, Wasser-, Gasanlagen'!$U$143,'Abwasser-, Wasser-, Gasanlagen'!$J$143*'Abwasser-, Wasser-, Gasanlagen'!$F$23+'Abwasser-, Wasser-, Gasanlagen'!$J$143+'Abwasser-, Wasser-, Gasanlagen'!$R$143,0)</f>
        <v>0</v>
      </c>
      <c r="J145" s="698">
        <f>IF($B145='Abwasser-, Wasser-, Gasanlagen'!$U$144,'Abwasser-, Wasser-, Gasanlagen'!$J$144*'Abwasser-, Wasser-, Gasanlagen'!$F$23+'Abwasser-, Wasser-, Gasanlagen'!$J$144+'Abwasser-, Wasser-, Gasanlagen'!$R$144,0)</f>
        <v>0</v>
      </c>
      <c r="K145" s="698">
        <f>IF($B145='Abwasser-, Wasser-, Gasanlagen'!$U$145,'Abwasser-, Wasser-, Gasanlagen'!$J$145*'Abwasser-, Wasser-, Gasanlagen'!$F$23+'Abwasser-, Wasser-, Gasanlagen'!$J$145+'Abwasser-, Wasser-, Gasanlagen'!$R$145+'Abwasser-, Wasser-, Gasanlagen'!$R$148,0)</f>
        <v>0</v>
      </c>
      <c r="L145" s="698">
        <f>IF($B145='Abwasser-, Wasser-, Gasanlagen'!$U$150,'Abwasser-, Wasser-, Gasanlagen'!$J$150*'Abwasser-, Wasser-, Gasanlagen'!$F$23+'Abwasser-, Wasser-, Gasanlagen'!$J$150+'Abwasser-, Wasser-, Gasanlagen'!$R$150,0)</f>
        <v>0</v>
      </c>
      <c r="M145" s="698">
        <f>IF($B145='Abwasser-, Wasser-, Gasanlagen'!$U$154,'Abwasser-, Wasser-, Gasanlagen'!$J$154*'Abwasser-, Wasser-, Gasanlagen'!$F$23+'Abwasser-, Wasser-, Gasanlagen'!$J$154+'Abwasser-, Wasser-, Gasanlagen'!$L$177,0)</f>
        <v>0</v>
      </c>
      <c r="N145" s="698">
        <f>IF($B145='Abwasser-, Wasser-, Gasanlagen'!$U$178,'Abwasser-, Wasser-, Gasanlagen'!$J$178*'Abwasser-, Wasser-, Gasanlagen'!$F$23+'Abwasser-, Wasser-, Gasanlagen'!$J$178+'Abwasser-, Wasser-, Gasanlagen'!$L$192,0)</f>
        <v>0</v>
      </c>
      <c r="O145" s="698">
        <f>IF($B145='Abwasser-, Wasser-, Gasanlagen'!$U$193,'Abwasser-, Wasser-, Gasanlagen'!$J$193*'Abwasser-, Wasser-, Gasanlagen'!$F$23+'Abwasser-, Wasser-, Gasanlagen'!$J$193+'Abwasser-, Wasser-, Gasanlagen'!$L$234,0)</f>
        <v>0</v>
      </c>
      <c r="P145" s="698">
        <f>IF($B145='Abwasser-, Wasser-, Gasanlagen'!$U$235,'Abwasser-, Wasser-, Gasanlagen'!$J$235*'Abwasser-, Wasser-, Gasanlagen'!$F$23+'Abwasser-, Wasser-, Gasanlagen'!$J$235+'Abwasser-, Wasser-, Gasanlagen'!$L$244,0)</f>
        <v>0</v>
      </c>
      <c r="Q145" s="699">
        <f t="shared" si="6"/>
        <v>0</v>
      </c>
    </row>
    <row r="146" spans="2:18" ht="15.2" thickBot="1" x14ac:dyDescent="0.35">
      <c r="B146" s="771" t="str">
        <f>IF(Überblick!$H$53&gt;=9,9,"")</f>
        <v/>
      </c>
      <c r="C146" s="702">
        <f>IF($B146='Abwasser-, Wasser-, Gasanlagen'!$U$39,'Abwasser-, Wasser-, Gasanlagen'!$J$39*'Abwasser-, Wasser-, Gasanlagen'!$F$23+'Abwasser-, Wasser-, Gasanlagen'!$J$39+'Abwasser-, Wasser-, Gasanlagen'!$L$54,0)</f>
        <v>0</v>
      </c>
      <c r="D146" s="702">
        <f>IF($B146='Abwasser-, Wasser-, Gasanlagen'!$U$55,'Abwasser-, Wasser-, Gasanlagen'!$J$55*'Abwasser-, Wasser-, Gasanlagen'!$F$23+'Abwasser-, Wasser-, Gasanlagen'!$J$55+'Abwasser-, Wasser-, Gasanlagen'!$L$78,0)</f>
        <v>0</v>
      </c>
      <c r="E146" s="702">
        <f>IF($B146='Abwasser-, Wasser-, Gasanlagen'!$U$82,'Abwasser-, Wasser-, Gasanlagen'!$J$82*'Abwasser-, Wasser-, Gasanlagen'!$F$23+'Abwasser-, Wasser-, Gasanlagen'!$J$82+'Abwasser-, Wasser-, Gasanlagen'!$L$115,0)</f>
        <v>0</v>
      </c>
      <c r="F146" s="702">
        <f>IF($B146='Abwasser-, Wasser-, Gasanlagen'!$U$119,'Abwasser-, Wasser-, Gasanlagen'!$J$119*'Abwasser-, Wasser-, Gasanlagen'!$F$23+'Abwasser-, Wasser-, Gasanlagen'!$J$119+'Abwasser-, Wasser-, Gasanlagen'!$L$127,0)</f>
        <v>0</v>
      </c>
      <c r="G146" s="702">
        <f>IF($B146='Abwasser-, Wasser-, Gasanlagen'!$U$128,'Abwasser-, Wasser-, Gasanlagen'!$J$128*'Abwasser-, Wasser-, Gasanlagen'!$F$23+'Abwasser-, Wasser-, Gasanlagen'!$J$128+'Abwasser-, Wasser-, Gasanlagen'!$R$128+'Abwasser-, Wasser-, Gasanlagen'!$R$131,0)</f>
        <v>0</v>
      </c>
      <c r="H146" s="702">
        <f>IF($B146='Abwasser-, Wasser-, Gasanlagen'!$U$133,'Abwasser-, Wasser-, Gasanlagen'!$J$133*'Abwasser-, Wasser-, Gasanlagen'!$F$23+'Abwasser-, Wasser-, Gasanlagen'!$J$133+'Abwasser-, Wasser-, Gasanlagen'!$R$133+'Abwasser-, Wasser-, Gasanlagen'!$R$136+'Abwasser-, Wasser-, Gasanlagen'!$R$139+'Abwasser-, Wasser-, Gasanlagen'!$R$142,0)</f>
        <v>0</v>
      </c>
      <c r="I146" s="702">
        <f>IF($B146='Abwasser-, Wasser-, Gasanlagen'!$U$143,'Abwasser-, Wasser-, Gasanlagen'!$J$143*'Abwasser-, Wasser-, Gasanlagen'!$F$23+'Abwasser-, Wasser-, Gasanlagen'!$J$143+'Abwasser-, Wasser-, Gasanlagen'!$R$143,0)</f>
        <v>0</v>
      </c>
      <c r="J146" s="702">
        <f>IF($B146='Abwasser-, Wasser-, Gasanlagen'!$U$144,'Abwasser-, Wasser-, Gasanlagen'!$J$144*'Abwasser-, Wasser-, Gasanlagen'!$F$23+'Abwasser-, Wasser-, Gasanlagen'!$J$144+'Abwasser-, Wasser-, Gasanlagen'!$R$144,0)</f>
        <v>0</v>
      </c>
      <c r="K146" s="702">
        <f>IF($B146='Abwasser-, Wasser-, Gasanlagen'!$U$145,'Abwasser-, Wasser-, Gasanlagen'!$J$145*'Abwasser-, Wasser-, Gasanlagen'!$F$23+'Abwasser-, Wasser-, Gasanlagen'!$J$145+'Abwasser-, Wasser-, Gasanlagen'!$R$145+'Abwasser-, Wasser-, Gasanlagen'!$R$148,0)</f>
        <v>0</v>
      </c>
      <c r="L146" s="702">
        <f>IF($B146='Abwasser-, Wasser-, Gasanlagen'!$U$150,'Abwasser-, Wasser-, Gasanlagen'!$J$150*'Abwasser-, Wasser-, Gasanlagen'!$F$23+'Abwasser-, Wasser-, Gasanlagen'!$J$150+'Abwasser-, Wasser-, Gasanlagen'!$R$150,0)</f>
        <v>0</v>
      </c>
      <c r="M146" s="702">
        <f>IF($B146='Abwasser-, Wasser-, Gasanlagen'!$U$154,'Abwasser-, Wasser-, Gasanlagen'!$J$154*'Abwasser-, Wasser-, Gasanlagen'!$F$23+'Abwasser-, Wasser-, Gasanlagen'!$J$154+'Abwasser-, Wasser-, Gasanlagen'!$L$177,0)</f>
        <v>0</v>
      </c>
      <c r="N146" s="702">
        <f>IF($B146='Abwasser-, Wasser-, Gasanlagen'!$U$178,'Abwasser-, Wasser-, Gasanlagen'!$J$178*'Abwasser-, Wasser-, Gasanlagen'!$F$23+'Abwasser-, Wasser-, Gasanlagen'!$J$178+'Abwasser-, Wasser-, Gasanlagen'!$L$192,0)</f>
        <v>0</v>
      </c>
      <c r="O146" s="702">
        <f>IF($B146='Abwasser-, Wasser-, Gasanlagen'!$U$193,'Abwasser-, Wasser-, Gasanlagen'!$J$193*'Abwasser-, Wasser-, Gasanlagen'!$F$23+'Abwasser-, Wasser-, Gasanlagen'!$J$193+'Abwasser-, Wasser-, Gasanlagen'!$L$234,0)</f>
        <v>0</v>
      </c>
      <c r="P146" s="702">
        <f>IF($B146='Abwasser-, Wasser-, Gasanlagen'!$U$235,'Abwasser-, Wasser-, Gasanlagen'!$J$235*'Abwasser-, Wasser-, Gasanlagen'!$F$23+'Abwasser-, Wasser-, Gasanlagen'!$J$235+'Abwasser-, Wasser-, Gasanlagen'!$L$244,0)</f>
        <v>0</v>
      </c>
      <c r="Q146" s="703">
        <f t="shared" ref="Q146" si="7">SUM(C146:P146)</f>
        <v>0</v>
      </c>
    </row>
    <row r="147" spans="2:18" x14ac:dyDescent="0.3">
      <c r="Q147" s="772">
        <f>SUM(Q138:Q146)</f>
        <v>0</v>
      </c>
      <c r="R147" s="681"/>
    </row>
    <row r="159" spans="2:18" x14ac:dyDescent="0.3">
      <c r="B159" s="705"/>
      <c r="C159" s="706"/>
      <c r="D159" s="707"/>
    </row>
  </sheetData>
  <mergeCells count="86">
    <mergeCell ref="G50:H50"/>
    <mergeCell ref="E76:E77"/>
    <mergeCell ref="C113:D113"/>
    <mergeCell ref="B86:E86"/>
    <mergeCell ref="B87:E87"/>
    <mergeCell ref="E70:E71"/>
    <mergeCell ref="B85:E85"/>
    <mergeCell ref="C110:D110"/>
    <mergeCell ref="E110:F110"/>
    <mergeCell ref="C111:D111"/>
    <mergeCell ref="E111:F111"/>
    <mergeCell ref="B105:E105"/>
    <mergeCell ref="B88:E88"/>
    <mergeCell ref="B93:E93"/>
    <mergeCell ref="D76:D80"/>
    <mergeCell ref="D70:D74"/>
    <mergeCell ref="E135:F135"/>
    <mergeCell ref="C125:D125"/>
    <mergeCell ref="C127:D127"/>
    <mergeCell ref="E127:F127"/>
    <mergeCell ref="C129:D129"/>
    <mergeCell ref="C133:D133"/>
    <mergeCell ref="E133:F133"/>
    <mergeCell ref="J50:K50"/>
    <mergeCell ref="G52:G54"/>
    <mergeCell ref="G56:G60"/>
    <mergeCell ref="A2:A5"/>
    <mergeCell ref="C2:D2"/>
    <mergeCell ref="F2:G2"/>
    <mergeCell ref="I2:J2"/>
    <mergeCell ref="C3:D3"/>
    <mergeCell ref="F3:G3"/>
    <mergeCell ref="I3:J3"/>
    <mergeCell ref="C5:D5"/>
    <mergeCell ref="F5:G5"/>
    <mergeCell ref="I5:J5"/>
    <mergeCell ref="B26:B44"/>
    <mergeCell ref="E26:E44"/>
    <mergeCell ref="H26:H44"/>
    <mergeCell ref="J65:K65"/>
    <mergeCell ref="B62:E62"/>
    <mergeCell ref="G62:H62"/>
    <mergeCell ref="B64:E64"/>
    <mergeCell ref="G64:H64"/>
    <mergeCell ref="J64:K64"/>
    <mergeCell ref="I62:J62"/>
    <mergeCell ref="K62:L62"/>
    <mergeCell ref="B65:E65"/>
    <mergeCell ref="G65:H65"/>
    <mergeCell ref="I104:J104"/>
    <mergeCell ref="K104:L104"/>
    <mergeCell ref="G69:H69"/>
    <mergeCell ref="I69:J69"/>
    <mergeCell ref="K69:L69"/>
    <mergeCell ref="G104:H104"/>
    <mergeCell ref="C115:D115"/>
    <mergeCell ref="E115:F115"/>
    <mergeCell ref="C116:D116"/>
    <mergeCell ref="E116:F116"/>
    <mergeCell ref="E122:F122"/>
    <mergeCell ref="C117:D117"/>
    <mergeCell ref="E117:F117"/>
    <mergeCell ref="C118:D118"/>
    <mergeCell ref="E118:F118"/>
    <mergeCell ref="C122:D122"/>
    <mergeCell ref="C123:D123"/>
    <mergeCell ref="E123:F123"/>
    <mergeCell ref="C119:D119"/>
    <mergeCell ref="E119:F119"/>
    <mergeCell ref="C120:D120"/>
    <mergeCell ref="E120:F120"/>
    <mergeCell ref="C121:D121"/>
    <mergeCell ref="E121:F121"/>
    <mergeCell ref="E113:F113"/>
    <mergeCell ref="C114:D114"/>
    <mergeCell ref="E114:F114"/>
    <mergeCell ref="B94:E94"/>
    <mergeCell ref="B95:E95"/>
    <mergeCell ref="B96:E96"/>
    <mergeCell ref="C112:D112"/>
    <mergeCell ref="E112:F112"/>
    <mergeCell ref="C107:F107"/>
    <mergeCell ref="C108:D108"/>
    <mergeCell ref="E108:F108"/>
    <mergeCell ref="C109:D109"/>
    <mergeCell ref="E109:F109"/>
  </mergeCells>
  <conditionalFormatting sqref="C138:P146">
    <cfRule type="cellIs" dxfId="1347" priority="5" operator="greaterThan">
      <formula>0</formula>
    </cfRule>
  </conditionalFormatting>
  <conditionalFormatting sqref="A6:A44">
    <cfRule type="colorScale" priority="4">
      <colorScale>
        <cfvo type="min"/>
        <cfvo type="percentile" val="50"/>
        <cfvo type="max"/>
        <color rgb="FF63BE7B"/>
        <color rgb="FFFFEB84"/>
        <color rgb="FFF8696B"/>
      </colorScale>
    </cfRule>
  </conditionalFormatting>
  <conditionalFormatting sqref="C6:D44">
    <cfRule type="colorScale" priority="3">
      <colorScale>
        <cfvo type="min"/>
        <cfvo type="percentile" val="50"/>
        <cfvo type="max"/>
        <color rgb="FF63BE7B"/>
        <color rgb="FFFFEB84"/>
        <color rgb="FFF8696B"/>
      </colorScale>
    </cfRule>
  </conditionalFormatting>
  <conditionalFormatting sqref="F6:G44">
    <cfRule type="colorScale" priority="2">
      <colorScale>
        <cfvo type="min"/>
        <cfvo type="percentile" val="50"/>
        <cfvo type="max"/>
        <color rgb="FF63BE7B"/>
        <color rgb="FFFFEB84"/>
        <color rgb="FFF8696B"/>
      </colorScale>
    </cfRule>
  </conditionalFormatting>
  <conditionalFormatting sqref="I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A45C9-1418-4951-BDA4-304190539DB1}">
  <sheetPr codeName="Tabelle16">
    <tabColor rgb="FFFFC000"/>
  </sheetPr>
  <dimension ref="A1:AK293"/>
  <sheetViews>
    <sheetView zoomScale="115" zoomScaleNormal="115" workbookViewId="0">
      <selection activeCell="F3" sqref="F3:J3"/>
    </sheetView>
  </sheetViews>
  <sheetFormatPr baseColWidth="10" defaultColWidth="11.44140625" defaultRowHeight="13.9" x14ac:dyDescent="0.25"/>
  <cols>
    <col min="1" max="1" width="9.21875" style="41" customWidth="1"/>
    <col min="2" max="21" width="9.21875" style="39" customWidth="1"/>
    <col min="22" max="22" width="9.21875" style="72" customWidth="1"/>
    <col min="23" max="27" width="11.44140625" style="72"/>
    <col min="28" max="28" width="11.44140625" style="550"/>
    <col min="29" max="16384" width="11.44140625" style="39"/>
  </cols>
  <sheetData>
    <row r="1" spans="1:34" x14ac:dyDescent="0.25">
      <c r="A1" s="493" t="str">
        <f>Überblick!X102</f>
        <v>B.</v>
      </c>
      <c r="B1" s="188" t="str">
        <f>IF(Überblick!B2=Überblick!L4,Wärmeversorgung!V1,Wärmeversorgung!V2)</f>
        <v>Honorarangebot - Wärmeversorgung</v>
      </c>
      <c r="G1" s="72" t="s">
        <v>465</v>
      </c>
      <c r="T1" s="963" t="str">
        <f>'Hochbauplanung '!T1</f>
        <v>Version: 27.06.2023</v>
      </c>
      <c r="U1" s="963"/>
      <c r="V1" s="185" t="s">
        <v>466</v>
      </c>
    </row>
    <row r="2" spans="1:34" x14ac:dyDescent="0.25">
      <c r="A2" s="491"/>
      <c r="R2" s="535" t="s">
        <v>110</v>
      </c>
      <c r="S2" s="1389" t="str">
        <f>IF(Überblick!Q2=0,"",Überblick!Q2)</f>
        <v/>
      </c>
      <c r="T2" s="1389"/>
      <c r="U2" s="1389"/>
      <c r="V2" s="185" t="s">
        <v>467</v>
      </c>
    </row>
    <row r="3" spans="1:34" x14ac:dyDescent="0.25">
      <c r="A3" s="491" t="s">
        <v>112</v>
      </c>
      <c r="B3" s="40" t="s">
        <v>365</v>
      </c>
      <c r="F3" s="883" t="s">
        <v>998</v>
      </c>
      <c r="G3" s="878"/>
      <c r="H3" s="878"/>
      <c r="I3" s="878"/>
      <c r="J3" s="878"/>
      <c r="R3" s="535" t="s">
        <v>24</v>
      </c>
      <c r="S3" s="1389" t="str">
        <f>IF(Überblick!G29=0,"",Überblick!G29)</f>
        <v>Breite Strasse, 10178 Berlin-Mitte, zw. Neumannsgasse und Scharrenstrasse</v>
      </c>
      <c r="T3" s="1389"/>
      <c r="U3" s="1389"/>
    </row>
    <row r="4" spans="1:34" x14ac:dyDescent="0.25">
      <c r="A4" s="491"/>
      <c r="R4" s="535" t="s">
        <v>17</v>
      </c>
      <c r="S4" s="1389" t="str">
        <f>IF(Überblick!D19=0,"",Überblick!D19)</f>
        <v/>
      </c>
      <c r="T4" s="1389"/>
      <c r="U4" s="1389"/>
    </row>
    <row r="5" spans="1:34" ht="33.950000000000003" customHeight="1" x14ac:dyDescent="0.25">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34" x14ac:dyDescent="0.25">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34" x14ac:dyDescent="0.25">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34" x14ac:dyDescent="0.25">
      <c r="A8" s="491"/>
      <c r="B8" s="1599" t="s">
        <v>366</v>
      </c>
      <c r="C8" s="1600"/>
      <c r="D8" s="1600"/>
      <c r="E8" s="1601"/>
      <c r="F8" s="1602">
        <f>H8*1.19</f>
        <v>0</v>
      </c>
      <c r="G8" s="1603"/>
      <c r="H8" s="1219"/>
      <c r="I8" s="1220"/>
      <c r="J8" s="1602">
        <f>L8*1.19</f>
        <v>0</v>
      </c>
      <c r="K8" s="1604"/>
      <c r="L8" s="1207"/>
      <c r="M8" s="1208"/>
      <c r="N8" s="1602">
        <f>P8*1.19</f>
        <v>0</v>
      </c>
      <c r="O8" s="1604"/>
      <c r="P8" s="1207"/>
      <c r="Q8" s="1208"/>
      <c r="R8" s="96">
        <f>+H8+L8+P8</f>
        <v>0</v>
      </c>
      <c r="S8" s="72">
        <f>IF((R8+AB245)&gt;0,1,0)</f>
        <v>1</v>
      </c>
      <c r="T8" s="96"/>
      <c r="U8" s="96"/>
      <c r="V8" s="96"/>
      <c r="W8" s="96"/>
      <c r="X8" s="96"/>
    </row>
    <row r="9" spans="1:34" x14ac:dyDescent="0.25">
      <c r="A9" s="491"/>
      <c r="B9" s="49"/>
      <c r="C9" s="49"/>
      <c r="D9" s="49"/>
      <c r="E9" s="49"/>
      <c r="F9" s="1138" t="str">
        <f>IF(H8&gt;'Berechnung - Wärme'!$A$25,$R$9,"")</f>
        <v/>
      </c>
      <c r="G9" s="1138"/>
      <c r="H9" s="1138"/>
      <c r="I9" s="1138"/>
      <c r="J9" s="1138" t="str">
        <f>IF(L8&gt;'Berechnung - Wärme'!$A$25,$R$9,"")</f>
        <v/>
      </c>
      <c r="K9" s="1138"/>
      <c r="L9" s="1138"/>
      <c r="M9" s="1138"/>
      <c r="N9" s="1138" t="str">
        <f>IF(P8&gt;'Berechnung - Wärme'!$A$25,$R$9,"")</f>
        <v/>
      </c>
      <c r="O9" s="1138"/>
      <c r="P9" s="1138"/>
      <c r="Q9" s="1138"/>
      <c r="R9" s="96" t="s">
        <v>124</v>
      </c>
      <c r="S9" s="96"/>
      <c r="T9" s="96"/>
      <c r="U9" s="96"/>
      <c r="V9" s="96"/>
      <c r="W9" s="96"/>
      <c r="X9" s="96"/>
      <c r="AC9" s="68"/>
      <c r="AD9" s="68"/>
      <c r="AE9" s="68"/>
      <c r="AF9" s="68"/>
      <c r="AG9" s="68"/>
      <c r="AH9" s="68"/>
    </row>
    <row r="10" spans="1:3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c r="AC10" s="68"/>
      <c r="AD10" s="68"/>
      <c r="AE10" s="68"/>
      <c r="AF10" s="68"/>
      <c r="AG10" s="68"/>
      <c r="AH10" s="68"/>
    </row>
    <row r="11" spans="1:3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c r="AC11" s="68"/>
      <c r="AD11" s="68"/>
      <c r="AE11" s="68"/>
      <c r="AF11" s="68"/>
      <c r="AG11" s="68"/>
      <c r="AH11" s="68"/>
    </row>
    <row r="12" spans="1:34" x14ac:dyDescent="0.25">
      <c r="A12" s="491"/>
      <c r="B12" s="39" t="s">
        <v>130</v>
      </c>
      <c r="R12" s="72"/>
      <c r="S12" s="72"/>
      <c r="T12" s="72"/>
      <c r="U12" s="72"/>
    </row>
    <row r="13" spans="1:34" x14ac:dyDescent="0.25">
      <c r="A13" s="491"/>
      <c r="B13" s="39" t="s">
        <v>131</v>
      </c>
      <c r="R13" s="72"/>
      <c r="S13" s="72"/>
      <c r="T13" s="72"/>
      <c r="U13" s="72"/>
    </row>
    <row r="14" spans="1:34" x14ac:dyDescent="0.25">
      <c r="A14" s="491"/>
      <c r="B14" s="40"/>
      <c r="G14" s="54"/>
      <c r="H14" s="41"/>
      <c r="I14" s="57"/>
      <c r="J14" s="54"/>
      <c r="K14" s="54"/>
      <c r="L14" s="57"/>
      <c r="M14" s="58"/>
      <c r="N14" s="58"/>
      <c r="O14" s="59"/>
      <c r="R14" s="72"/>
      <c r="S14" s="351"/>
      <c r="T14" s="96"/>
      <c r="U14" s="72"/>
    </row>
    <row r="15" spans="1:3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34" x14ac:dyDescent="0.25">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x14ac:dyDescent="0.25">
      <c r="A18" s="491"/>
      <c r="B18" s="60"/>
      <c r="C18" s="60"/>
      <c r="D18" s="60"/>
      <c r="E18" s="60"/>
      <c r="F18" s="1242"/>
      <c r="G18" s="1242"/>
      <c r="H18" s="1242"/>
      <c r="I18" s="1242"/>
      <c r="J18" s="1242"/>
      <c r="K18" s="1242"/>
      <c r="L18" s="1242"/>
      <c r="M18" s="1242"/>
      <c r="N18" s="1242"/>
      <c r="O18" s="1242"/>
      <c r="P18" s="1242"/>
      <c r="Q18" s="1242"/>
      <c r="R18" s="72"/>
      <c r="S18" s="351"/>
      <c r="T18" s="96"/>
      <c r="U18" s="72"/>
    </row>
    <row r="19" spans="1:24" x14ac:dyDescent="0.25">
      <c r="A19" s="491"/>
      <c r="B19" s="40"/>
      <c r="C19" s="40"/>
      <c r="D19" s="40"/>
      <c r="E19" s="69"/>
      <c r="F19" s="1596">
        <f>'Berechnung - Wärme'!H105</f>
        <v>0</v>
      </c>
      <c r="G19" s="1597"/>
      <c r="H19" s="1597"/>
      <c r="I19" s="1598"/>
      <c r="J19" s="1596" t="str">
        <f>IF('Berechnung - Wärme'!J105=0,"Kostenschätzung liegt noch nicht vor",'Berechnung - Wärme'!J105)</f>
        <v>Kostenschätzung liegt noch nicht vor</v>
      </c>
      <c r="K19" s="1597"/>
      <c r="L19" s="1597"/>
      <c r="M19" s="1598"/>
      <c r="N19" s="1596" t="str">
        <f>IF('Berechnung - Wärme'!L105=0,"Kostenberechnung liegt noch nicht vor",'Berechnung - Wärme'!L105)</f>
        <v>Kostenberechnung liegt noch nicht vor</v>
      </c>
      <c r="O19" s="1597"/>
      <c r="P19" s="1597"/>
      <c r="Q19" s="1598"/>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x14ac:dyDescent="0.25">
      <c r="A22" s="492"/>
      <c r="B22" s="43"/>
      <c r="C22" s="43"/>
      <c r="D22" s="43"/>
      <c r="E22" s="61"/>
      <c r="F22" s="43"/>
      <c r="G22" s="43"/>
      <c r="H22" s="62"/>
      <c r="I22" s="62"/>
      <c r="R22" s="72"/>
      <c r="S22" s="178"/>
      <c r="T22" s="178"/>
      <c r="U22" s="178"/>
    </row>
    <row r="23" spans="1:24" ht="45.35" customHeight="1" x14ac:dyDescent="0.25">
      <c r="A23" s="492"/>
      <c r="B23" s="1586" t="s">
        <v>142</v>
      </c>
      <c r="C23" s="1587"/>
      <c r="D23" s="1587"/>
      <c r="E23" s="1588"/>
      <c r="F23" s="1589"/>
      <c r="G23" s="1590"/>
      <c r="H23" s="1590"/>
      <c r="I23" s="1590"/>
      <c r="J23" s="1590"/>
      <c r="K23" s="1590"/>
      <c r="L23" s="1590"/>
      <c r="M23" s="1590"/>
      <c r="N23" s="1590"/>
      <c r="O23" s="1590"/>
      <c r="P23" s="1590"/>
      <c r="Q23" s="1591"/>
      <c r="R23" s="189">
        <f>IF(AND(R8&gt;0,F23=""),1,0)</f>
        <v>0</v>
      </c>
      <c r="S23" s="352"/>
      <c r="T23" s="352"/>
      <c r="U23" s="352"/>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352"/>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352"/>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x14ac:dyDescent="0.25">
      <c r="A31" s="491"/>
      <c r="B31" s="40"/>
      <c r="R31" s="72"/>
      <c r="S31" s="72"/>
      <c r="T31" s="72"/>
      <c r="U31" s="72"/>
    </row>
    <row r="32" spans="1:24" ht="15.95" customHeight="1" x14ac:dyDescent="0.25">
      <c r="A32" s="1516" t="s">
        <v>468</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37" x14ac:dyDescent="0.25">
      <c r="A34" s="1516"/>
      <c r="B34" s="1129"/>
      <c r="C34" s="1130"/>
      <c r="D34" s="1130"/>
      <c r="E34" s="1130"/>
      <c r="F34" s="1130"/>
      <c r="G34" s="1130"/>
      <c r="H34" s="1133"/>
      <c r="I34" s="1136"/>
      <c r="J34" s="1521"/>
      <c r="K34" s="1522"/>
      <c r="L34" s="176"/>
      <c r="M34" s="115"/>
      <c r="N34" s="115"/>
      <c r="O34" s="115"/>
      <c r="P34" s="116"/>
      <c r="Q34" s="116"/>
      <c r="R34" s="116"/>
      <c r="S34" s="117"/>
      <c r="T34" s="117"/>
      <c r="U34" s="81"/>
      <c r="V34" s="81"/>
      <c r="W34" s="81"/>
    </row>
    <row r="35" spans="1:37" ht="15" customHeight="1" x14ac:dyDescent="0.25">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IF(B1=V2,"Honorar für die Besonderen Leistungen","Honorarangebot für die Besonderen Leistungen")</f>
        <v>Honorarangebot für die Besonderen Leistungen</v>
      </c>
      <c r="S35" s="1608"/>
      <c r="T35" s="1605" t="s">
        <v>156</v>
      </c>
      <c r="U35" s="1371" t="s">
        <v>157</v>
      </c>
      <c r="Y35" s="73" t="s">
        <v>5</v>
      </c>
      <c r="Z35" s="72" t="s">
        <v>374</v>
      </c>
      <c r="AA35" s="81"/>
      <c r="AB35" s="590"/>
      <c r="AC35" s="118"/>
      <c r="AD35" s="68"/>
      <c r="AE35" s="68"/>
      <c r="AF35" s="68"/>
      <c r="AG35" s="68"/>
      <c r="AH35" s="68"/>
      <c r="AI35" s="68"/>
      <c r="AJ35" s="68"/>
      <c r="AK35" s="68"/>
    </row>
    <row r="36" spans="1:37" ht="15" customHeight="1" x14ac:dyDescent="0.25">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c r="AC36" s="68"/>
      <c r="AD36" s="68"/>
      <c r="AE36" s="68"/>
      <c r="AF36" s="68"/>
      <c r="AG36" s="68"/>
      <c r="AH36" s="68"/>
      <c r="AI36" s="68"/>
      <c r="AJ36" s="68"/>
      <c r="AK36" s="68"/>
    </row>
    <row r="37" spans="1:37" ht="15.95" customHeight="1" x14ac:dyDescent="0.25">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c r="AC37" s="68"/>
      <c r="AD37" s="68"/>
      <c r="AE37" s="68"/>
      <c r="AF37" s="68"/>
      <c r="AG37" s="68"/>
      <c r="AH37" s="68"/>
      <c r="AI37" s="68"/>
      <c r="AJ37" s="68"/>
      <c r="AK37" s="68"/>
    </row>
    <row r="38" spans="1:37" x14ac:dyDescent="0.25">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591"/>
      <c r="AC38" s="119"/>
      <c r="AD38" s="68"/>
      <c r="AE38" s="68"/>
      <c r="AF38" s="68"/>
      <c r="AG38" s="68"/>
      <c r="AH38" s="68"/>
      <c r="AI38" s="68"/>
      <c r="AJ38" s="68"/>
      <c r="AK38" s="68"/>
    </row>
    <row r="39" spans="1:37" ht="15.95" customHeight="1" x14ac:dyDescent="0.25">
      <c r="A39" s="1516"/>
      <c r="B39" s="1497" t="s">
        <v>375</v>
      </c>
      <c r="C39" s="1498"/>
      <c r="D39" s="1498"/>
      <c r="E39" s="1498"/>
      <c r="F39" s="1498"/>
      <c r="G39" s="1499"/>
      <c r="H39" s="1194" t="s">
        <v>99</v>
      </c>
      <c r="I39" s="1016">
        <f>Z54</f>
        <v>1.9999999999999997E-2</v>
      </c>
      <c r="J39" s="1027">
        <f>I35*I39</f>
        <v>0</v>
      </c>
      <c r="K39" s="1028"/>
      <c r="L39" s="1570" t="s">
        <v>376</v>
      </c>
      <c r="M39" s="1571"/>
      <c r="N39" s="1571"/>
      <c r="O39" s="1571"/>
      <c r="P39" s="1571"/>
      <c r="Q39" s="1366" t="s">
        <v>99</v>
      </c>
      <c r="R39" s="1025"/>
      <c r="S39" s="1026"/>
      <c r="T39" s="1543" t="str">
        <f>IFERROR(IF((VLOOKUP(U39,Überblick!$M$125:$N$133,2))="ja","ja","nein"),"")</f>
        <v>ja</v>
      </c>
      <c r="U39" s="1337">
        <v>1</v>
      </c>
      <c r="V39" s="72">
        <f>IF(AND(Q39="ja",R39=""),1,0)</f>
        <v>1</v>
      </c>
      <c r="Y39" s="74">
        <v>1.4999999999999999E-2</v>
      </c>
      <c r="Z39" s="77">
        <f>IF(H39="ja",Y39,0)</f>
        <v>1.4999999999999999E-2</v>
      </c>
      <c r="AA39" s="78"/>
      <c r="AB39" s="592">
        <f>IF(Q39="ja",1,0)</f>
        <v>1</v>
      </c>
      <c r="AC39" s="68"/>
      <c r="AD39" s="68"/>
      <c r="AE39" s="68"/>
      <c r="AF39" s="68"/>
      <c r="AG39" s="68"/>
      <c r="AH39" s="68"/>
      <c r="AI39" s="68"/>
      <c r="AJ39" s="68"/>
      <c r="AK39" s="68"/>
    </row>
    <row r="40" spans="1:37" ht="15" customHeight="1" x14ac:dyDescent="0.25">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592">
        <f t="shared" ref="AB40:AB103" si="0">IF(Q40="ja",1,0)</f>
        <v>0</v>
      </c>
      <c r="AC40" s="68"/>
      <c r="AD40" s="68"/>
      <c r="AE40" s="68"/>
      <c r="AF40" s="68"/>
      <c r="AG40" s="68"/>
      <c r="AH40" s="68"/>
      <c r="AI40" s="68"/>
      <c r="AJ40" s="68"/>
      <c r="AK40" s="68"/>
    </row>
    <row r="41" spans="1:37" ht="15" customHeight="1" x14ac:dyDescent="0.25">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592">
        <f t="shared" si="0"/>
        <v>0</v>
      </c>
      <c r="AC41" s="68"/>
      <c r="AD41" s="68"/>
      <c r="AE41" s="68"/>
      <c r="AF41" s="68"/>
      <c r="AG41" s="68"/>
      <c r="AH41" s="68"/>
      <c r="AI41" s="68"/>
      <c r="AJ41" s="68"/>
      <c r="AK41" s="68"/>
    </row>
    <row r="42" spans="1:37" ht="15" customHeight="1" x14ac:dyDescent="0.25">
      <c r="A42" s="1516"/>
      <c r="B42" s="1493" t="s">
        <v>377</v>
      </c>
      <c r="C42" s="1317"/>
      <c r="D42" s="1317"/>
      <c r="E42" s="1317"/>
      <c r="F42" s="1317"/>
      <c r="G42" s="1494"/>
      <c r="H42" s="982" t="s">
        <v>99</v>
      </c>
      <c r="I42" s="1017"/>
      <c r="J42" s="1029"/>
      <c r="K42" s="1030"/>
      <c r="L42" s="1544"/>
      <c r="M42" s="1545"/>
      <c r="N42" s="1545"/>
      <c r="O42" s="1545"/>
      <c r="P42" s="1545"/>
      <c r="Q42" s="978"/>
      <c r="R42" s="972"/>
      <c r="S42" s="973"/>
      <c r="T42" s="1543"/>
      <c r="U42" s="1337"/>
      <c r="Y42" s="74">
        <v>3.0000000000000001E-3</v>
      </c>
      <c r="Z42" s="77">
        <f>IF(H42="ja",Y42,0)</f>
        <v>3.0000000000000001E-3</v>
      </c>
      <c r="AA42" s="78"/>
      <c r="AB42" s="592">
        <f t="shared" si="0"/>
        <v>0</v>
      </c>
      <c r="AC42" s="68"/>
      <c r="AD42" s="68"/>
      <c r="AE42" s="68"/>
      <c r="AF42" s="68"/>
      <c r="AG42" s="68"/>
      <c r="AH42" s="68"/>
      <c r="AI42" s="68"/>
      <c r="AJ42" s="68"/>
      <c r="AK42" s="68"/>
    </row>
    <row r="43" spans="1:37" ht="15" customHeight="1" x14ac:dyDescent="0.25">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592">
        <f t="shared" si="0"/>
        <v>0</v>
      </c>
      <c r="AC43" s="68"/>
      <c r="AD43" s="68"/>
      <c r="AE43" s="68"/>
      <c r="AF43" s="68"/>
      <c r="AG43" s="68"/>
      <c r="AH43" s="68"/>
      <c r="AI43" s="68"/>
      <c r="AJ43" s="68"/>
      <c r="AK43" s="68"/>
    </row>
    <row r="44" spans="1:37" ht="15.95" customHeight="1" x14ac:dyDescent="0.25">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592">
        <f t="shared" si="0"/>
        <v>0</v>
      </c>
      <c r="AC44" s="68"/>
      <c r="AD44" s="68"/>
      <c r="AE44" s="68"/>
      <c r="AF44" s="68"/>
      <c r="AG44" s="68"/>
      <c r="AH44" s="68"/>
      <c r="AI44" s="68"/>
      <c r="AJ44" s="68"/>
      <c r="AK44" s="68"/>
    </row>
    <row r="45" spans="1:37" ht="15" customHeight="1" x14ac:dyDescent="0.25">
      <c r="A45" s="1516"/>
      <c r="B45" s="1493" t="s">
        <v>171</v>
      </c>
      <c r="C45" s="1317"/>
      <c r="D45" s="1317"/>
      <c r="E45" s="1317"/>
      <c r="F45" s="1317"/>
      <c r="G45" s="1494"/>
      <c r="H45" s="1191" t="s">
        <v>99</v>
      </c>
      <c r="I45" s="1017"/>
      <c r="J45" s="1029"/>
      <c r="K45" s="1030"/>
      <c r="L45" s="1544"/>
      <c r="M45" s="1545"/>
      <c r="N45" s="1545"/>
      <c r="O45" s="1545"/>
      <c r="P45" s="1545"/>
      <c r="Q45" s="978"/>
      <c r="R45" s="972"/>
      <c r="S45" s="973"/>
      <c r="T45" s="1543"/>
      <c r="U45" s="1337"/>
      <c r="Y45" s="74">
        <v>2E-3</v>
      </c>
      <c r="Z45" s="77">
        <f>IF(H45="ja",Y45,0)</f>
        <v>2E-3</v>
      </c>
      <c r="AA45" s="78"/>
      <c r="AB45" s="592">
        <f t="shared" si="0"/>
        <v>0</v>
      </c>
      <c r="AC45" s="68"/>
      <c r="AD45" s="68"/>
      <c r="AE45" s="68"/>
      <c r="AF45" s="68"/>
      <c r="AG45" s="68"/>
      <c r="AH45" s="68"/>
      <c r="AI45" s="68"/>
      <c r="AJ45" s="68"/>
      <c r="AK45" s="68"/>
    </row>
    <row r="46" spans="1:37" ht="15" customHeight="1" x14ac:dyDescent="0.25">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592">
        <f t="shared" si="0"/>
        <v>0</v>
      </c>
      <c r="AC46" s="68"/>
      <c r="AD46" s="68"/>
      <c r="AE46" s="68"/>
      <c r="AF46" s="68"/>
      <c r="AG46" s="68"/>
      <c r="AH46" s="68"/>
      <c r="AI46" s="68"/>
      <c r="AJ46" s="68"/>
      <c r="AK46" s="68"/>
    </row>
    <row r="47" spans="1:37" ht="15.95" customHeight="1" x14ac:dyDescent="0.25">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592">
        <f t="shared" si="0"/>
        <v>0</v>
      </c>
      <c r="AC47" s="68"/>
      <c r="AD47" s="68"/>
      <c r="AE47" s="68"/>
      <c r="AF47" s="68"/>
      <c r="AG47" s="68"/>
      <c r="AH47" s="68"/>
      <c r="AI47" s="68"/>
      <c r="AJ47" s="68"/>
      <c r="AK47" s="68"/>
    </row>
    <row r="48" spans="1:37" ht="15" customHeight="1" x14ac:dyDescent="0.25">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592">
        <f t="shared" si="0"/>
        <v>0</v>
      </c>
      <c r="AC48" s="68"/>
      <c r="AD48" s="68"/>
      <c r="AE48" s="68"/>
      <c r="AF48" s="68"/>
      <c r="AG48" s="68"/>
      <c r="AH48" s="68"/>
      <c r="AI48" s="68"/>
      <c r="AJ48" s="68"/>
      <c r="AK48" s="68"/>
    </row>
    <row r="49" spans="1:37" ht="15" customHeight="1" x14ac:dyDescent="0.25">
      <c r="A49" s="1516"/>
      <c r="B49" s="1493"/>
      <c r="C49" s="1317"/>
      <c r="D49" s="1317"/>
      <c r="E49" s="1317"/>
      <c r="F49" s="1317"/>
      <c r="G49" s="1494"/>
      <c r="H49" s="1191"/>
      <c r="I49" s="1017"/>
      <c r="J49" s="1029"/>
      <c r="K49" s="1030"/>
      <c r="L49" s="1532" t="s">
        <v>380</v>
      </c>
      <c r="M49" s="1533"/>
      <c r="N49" s="1533"/>
      <c r="O49" s="1533"/>
      <c r="P49" s="1533"/>
      <c r="Q49" s="329" t="s">
        <v>100</v>
      </c>
      <c r="R49" s="972"/>
      <c r="S49" s="973"/>
      <c r="T49" s="1543"/>
      <c r="U49" s="1337"/>
      <c r="V49" s="72">
        <f>IF(AND(Q49="ja",R49=""),1,0)</f>
        <v>0</v>
      </c>
      <c r="Y49" s="74"/>
      <c r="Z49" s="77"/>
      <c r="AA49" s="78"/>
      <c r="AB49" s="592">
        <f t="shared" si="0"/>
        <v>0</v>
      </c>
      <c r="AC49" s="68"/>
      <c r="AD49" s="68"/>
      <c r="AE49" s="68"/>
      <c r="AF49" s="68"/>
      <c r="AG49" s="68"/>
      <c r="AH49" s="68"/>
      <c r="AI49" s="68"/>
      <c r="AJ49" s="68"/>
      <c r="AK49" s="68"/>
    </row>
    <row r="50" spans="1:37" ht="15" customHeight="1" x14ac:dyDescent="0.25">
      <c r="A50" s="1516"/>
      <c r="B50" s="1493"/>
      <c r="C50" s="1317"/>
      <c r="D50" s="1317"/>
      <c r="E50" s="1317"/>
      <c r="F50" s="1317"/>
      <c r="G50" s="1494"/>
      <c r="H50" s="1191"/>
      <c r="I50" s="1017"/>
      <c r="J50" s="1029"/>
      <c r="K50" s="1030"/>
      <c r="L50" s="1532" t="s">
        <v>381</v>
      </c>
      <c r="M50" s="1533"/>
      <c r="N50" s="1533"/>
      <c r="O50" s="1533"/>
      <c r="P50" s="1533"/>
      <c r="Q50" s="329" t="s">
        <v>100</v>
      </c>
      <c r="R50" s="972"/>
      <c r="S50" s="973"/>
      <c r="T50" s="1543"/>
      <c r="U50" s="1337"/>
      <c r="V50" s="72">
        <f>IF(AND(Q50="ja",R50=""),1,0)</f>
        <v>0</v>
      </c>
      <c r="Y50" s="74"/>
      <c r="Z50" s="77"/>
      <c r="AA50" s="78"/>
      <c r="AB50" s="592">
        <f t="shared" si="0"/>
        <v>0</v>
      </c>
      <c r="AC50" s="68"/>
      <c r="AD50" s="68"/>
      <c r="AE50" s="68"/>
      <c r="AF50" s="68"/>
      <c r="AG50" s="68"/>
      <c r="AH50" s="68"/>
      <c r="AI50" s="68"/>
      <c r="AJ50" s="68"/>
      <c r="AK50" s="68"/>
    </row>
    <row r="51" spans="1:37" ht="15.95" customHeight="1" x14ac:dyDescent="0.25">
      <c r="A51" s="1516"/>
      <c r="B51" s="1493"/>
      <c r="C51" s="1317"/>
      <c r="D51" s="1317"/>
      <c r="E51" s="1317"/>
      <c r="F51" s="1317"/>
      <c r="G51" s="1494"/>
      <c r="H51" s="1191"/>
      <c r="I51" s="1017"/>
      <c r="J51" s="1029"/>
      <c r="K51" s="1030"/>
      <c r="L51" s="1544" t="s">
        <v>382</v>
      </c>
      <c r="M51" s="1545"/>
      <c r="N51" s="1545"/>
      <c r="O51" s="1545"/>
      <c r="P51" s="1545"/>
      <c r="Q51" s="978" t="s">
        <v>99</v>
      </c>
      <c r="R51" s="972"/>
      <c r="S51" s="973"/>
      <c r="T51" s="1543"/>
      <c r="U51" s="1337"/>
      <c r="V51" s="72">
        <f>IF(AND(Q51="ja",R51=""),1,0)</f>
        <v>1</v>
      </c>
      <c r="Y51" s="74"/>
      <c r="Z51" s="77"/>
      <c r="AA51" s="78"/>
      <c r="AB51" s="592">
        <f t="shared" si="0"/>
        <v>1</v>
      </c>
      <c r="AC51" s="68"/>
      <c r="AD51" s="68"/>
      <c r="AE51" s="68"/>
      <c r="AF51" s="68"/>
      <c r="AG51" s="68"/>
      <c r="AH51" s="68"/>
      <c r="AI51" s="68"/>
      <c r="AJ51" s="68"/>
      <c r="AK51" s="68"/>
    </row>
    <row r="52" spans="1:37" ht="15" customHeight="1" x14ac:dyDescent="0.25">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592">
        <f t="shared" si="0"/>
        <v>0</v>
      </c>
      <c r="AC52" s="68"/>
      <c r="AD52" s="68"/>
      <c r="AE52" s="68"/>
      <c r="AF52" s="68"/>
      <c r="AG52" s="68"/>
      <c r="AH52" s="68"/>
      <c r="AI52" s="68"/>
      <c r="AJ52" s="68"/>
      <c r="AK52" s="68"/>
    </row>
    <row r="53" spans="1:37" ht="15.95" customHeight="1" x14ac:dyDescent="0.25">
      <c r="A53" s="1516"/>
      <c r="B53" s="1592"/>
      <c r="C53" s="1593"/>
      <c r="D53" s="1593"/>
      <c r="E53" s="1593"/>
      <c r="F53" s="1593"/>
      <c r="G53" s="1594"/>
      <c r="H53" s="1192"/>
      <c r="I53" s="1018"/>
      <c r="J53" s="1031"/>
      <c r="K53" s="1032"/>
      <c r="L53" s="1546" t="s">
        <v>383</v>
      </c>
      <c r="M53" s="1547"/>
      <c r="N53" s="1547"/>
      <c r="O53" s="1547"/>
      <c r="P53" s="1547"/>
      <c r="Q53" s="330" t="s">
        <v>100</v>
      </c>
      <c r="R53" s="976"/>
      <c r="S53" s="977"/>
      <c r="T53" s="1543"/>
      <c r="U53" s="1337"/>
      <c r="V53" s="72">
        <f>IF(AND(Q53="ja",R53=""),1,0)</f>
        <v>0</v>
      </c>
      <c r="Y53" s="74"/>
      <c r="Z53" s="77"/>
      <c r="AA53" s="78"/>
      <c r="AB53" s="592">
        <f t="shared" si="0"/>
        <v>0</v>
      </c>
      <c r="AC53" s="68"/>
      <c r="AD53" s="68"/>
      <c r="AE53" s="68"/>
      <c r="AF53" s="68"/>
      <c r="AG53" s="68"/>
      <c r="AH53" s="68"/>
      <c r="AI53" s="68"/>
      <c r="AJ53" s="68"/>
      <c r="AK53" s="68"/>
    </row>
    <row r="54" spans="1:37" x14ac:dyDescent="0.25">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1.9999999999999997E-2</v>
      </c>
      <c r="AA54" s="77"/>
      <c r="AB54" s="592">
        <f t="shared" si="0"/>
        <v>0</v>
      </c>
      <c r="AC54" s="68"/>
      <c r="AD54" s="68"/>
      <c r="AE54" s="68"/>
      <c r="AF54" s="68"/>
      <c r="AG54" s="68"/>
      <c r="AH54" s="68"/>
      <c r="AI54" s="68"/>
      <c r="AJ54" s="68"/>
      <c r="AK54" s="68"/>
    </row>
    <row r="55" spans="1:37" ht="15.95" customHeight="1" x14ac:dyDescent="0.25">
      <c r="A55" s="1516"/>
      <c r="B55" s="1497" t="s">
        <v>384</v>
      </c>
      <c r="C55" s="1498"/>
      <c r="D55" s="1498"/>
      <c r="E55" s="1498"/>
      <c r="F55" s="1498"/>
      <c r="G55" s="1498"/>
      <c r="H55" s="1194" t="s">
        <v>99</v>
      </c>
      <c r="I55" s="1016">
        <f>Z78</f>
        <v>0.09</v>
      </c>
      <c r="J55" s="1027">
        <f>I35*I55</f>
        <v>0</v>
      </c>
      <c r="K55" s="1028"/>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8.0000000000000002E-3</v>
      </c>
      <c r="AA55" s="78"/>
      <c r="AB55" s="592">
        <f t="shared" si="0"/>
        <v>0</v>
      </c>
      <c r="AC55" s="68"/>
      <c r="AD55" s="68"/>
      <c r="AE55" s="68"/>
      <c r="AF55" s="68"/>
      <c r="AG55" s="68"/>
      <c r="AH55" s="68"/>
      <c r="AI55" s="68"/>
      <c r="AJ55" s="68"/>
      <c r="AK55" s="68"/>
    </row>
    <row r="56" spans="1:37" ht="15" customHeight="1" x14ac:dyDescent="0.25">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592">
        <f t="shared" si="0"/>
        <v>0</v>
      </c>
      <c r="AC56" s="68"/>
      <c r="AD56" s="68"/>
      <c r="AE56" s="68"/>
      <c r="AF56" s="68"/>
      <c r="AG56" s="68"/>
      <c r="AH56" s="68"/>
      <c r="AI56" s="68"/>
      <c r="AJ56" s="68"/>
      <c r="AK56" s="68"/>
    </row>
    <row r="57" spans="1:37" s="70" customFormat="1" ht="20.25" customHeight="1" x14ac:dyDescent="0.25">
      <c r="A57" s="1516"/>
      <c r="B57" s="1487" t="s">
        <v>385</v>
      </c>
      <c r="C57" s="1488"/>
      <c r="D57" s="1488"/>
      <c r="E57" s="1488"/>
      <c r="F57" s="1488"/>
      <c r="G57" s="1489"/>
      <c r="H57" s="1583" t="s">
        <v>99</v>
      </c>
      <c r="I57" s="1017"/>
      <c r="J57" s="1029"/>
      <c r="K57" s="1030"/>
      <c r="L57" s="984"/>
      <c r="M57" s="985"/>
      <c r="N57" s="985"/>
      <c r="O57" s="985"/>
      <c r="P57" s="985"/>
      <c r="Q57" s="1548"/>
      <c r="R57" s="972"/>
      <c r="S57" s="973"/>
      <c r="T57" s="1543"/>
      <c r="U57" s="1337"/>
      <c r="V57" s="339"/>
      <c r="W57" s="339"/>
      <c r="X57" s="339"/>
      <c r="Y57" s="340">
        <v>5.2499999999999998E-2</v>
      </c>
      <c r="Z57" s="77">
        <f>IF(H57="ja",Y57,0)</f>
        <v>5.2499999999999998E-2</v>
      </c>
      <c r="AA57" s="78"/>
      <c r="AB57" s="592">
        <f t="shared" si="0"/>
        <v>0</v>
      </c>
      <c r="AC57" s="341"/>
      <c r="AD57" s="341"/>
      <c r="AE57" s="341"/>
      <c r="AF57" s="341"/>
      <c r="AG57" s="341"/>
      <c r="AH57" s="341"/>
      <c r="AI57" s="341"/>
      <c r="AJ57" s="341"/>
      <c r="AK57" s="341"/>
    </row>
    <row r="58" spans="1:37" s="70" customFormat="1" ht="15" customHeight="1" x14ac:dyDescent="0.25">
      <c r="A58" s="1516"/>
      <c r="B58" s="1493"/>
      <c r="C58" s="1317"/>
      <c r="D58" s="1317"/>
      <c r="E58" s="1317"/>
      <c r="F58" s="1317"/>
      <c r="G58" s="1494"/>
      <c r="H58" s="1584"/>
      <c r="I58" s="1017"/>
      <c r="J58" s="1029"/>
      <c r="K58" s="1030"/>
      <c r="L58" s="984"/>
      <c r="M58" s="985"/>
      <c r="N58" s="985"/>
      <c r="O58" s="985"/>
      <c r="P58" s="985"/>
      <c r="Q58" s="1548" t="s">
        <v>100</v>
      </c>
      <c r="R58" s="972"/>
      <c r="S58" s="973"/>
      <c r="T58" s="1543"/>
      <c r="U58" s="1337"/>
      <c r="V58" s="72">
        <f>IF(AND(Q58="ja",R58=""),1,0)</f>
        <v>0</v>
      </c>
      <c r="W58" s="339"/>
      <c r="X58" s="339"/>
      <c r="Y58" s="340"/>
      <c r="Z58" s="207"/>
      <c r="AA58" s="78"/>
      <c r="AB58" s="592">
        <f t="shared" si="0"/>
        <v>0</v>
      </c>
      <c r="AC58" s="341"/>
      <c r="AD58" s="341"/>
      <c r="AE58" s="341"/>
      <c r="AF58" s="341"/>
      <c r="AG58" s="341"/>
      <c r="AH58" s="341"/>
      <c r="AI58" s="341"/>
      <c r="AJ58" s="341"/>
      <c r="AK58" s="341"/>
    </row>
    <row r="59" spans="1:37" s="70" customFormat="1" ht="15" customHeight="1" x14ac:dyDescent="0.25">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592">
        <f t="shared" si="0"/>
        <v>0</v>
      </c>
      <c r="AC59" s="341"/>
      <c r="AD59" s="341"/>
      <c r="AE59" s="341"/>
      <c r="AF59" s="341"/>
      <c r="AG59" s="341"/>
      <c r="AH59" s="341"/>
      <c r="AI59" s="341"/>
      <c r="AJ59" s="341"/>
      <c r="AK59" s="341"/>
    </row>
    <row r="60" spans="1:37" s="70" customFormat="1" ht="15" customHeight="1" x14ac:dyDescent="0.25">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592">
        <f t="shared" si="0"/>
        <v>0</v>
      </c>
      <c r="AC60" s="341"/>
      <c r="AD60" s="341"/>
      <c r="AE60" s="341"/>
      <c r="AF60" s="341"/>
      <c r="AG60" s="341"/>
      <c r="AH60" s="341"/>
      <c r="AI60" s="341"/>
      <c r="AJ60" s="341"/>
      <c r="AK60" s="341"/>
    </row>
    <row r="61" spans="1:37" ht="15" customHeight="1" x14ac:dyDescent="0.25">
      <c r="A61" s="1516"/>
      <c r="B61" s="1493"/>
      <c r="C61" s="1317"/>
      <c r="D61" s="1317"/>
      <c r="E61" s="1317"/>
      <c r="F61" s="1317"/>
      <c r="G61" s="1494"/>
      <c r="H61" s="1584"/>
      <c r="I61" s="1017"/>
      <c r="J61" s="1029"/>
      <c r="K61" s="1030"/>
      <c r="L61" s="984"/>
      <c r="M61" s="985"/>
      <c r="N61" s="985"/>
      <c r="O61" s="985"/>
      <c r="P61" s="985"/>
      <c r="Q61" s="1548" t="s">
        <v>100</v>
      </c>
      <c r="R61" s="972"/>
      <c r="S61" s="973"/>
      <c r="T61" s="1543"/>
      <c r="U61" s="1337"/>
      <c r="V61" s="72">
        <f>IF(AND(Q61="ja",R61=""),1,0)</f>
        <v>0</v>
      </c>
      <c r="Y61" s="340"/>
      <c r="Z61" s="77"/>
      <c r="AA61" s="78"/>
      <c r="AB61" s="592">
        <f t="shared" si="0"/>
        <v>0</v>
      </c>
      <c r="AC61" s="68"/>
      <c r="AD61" s="68"/>
      <c r="AE61" s="68"/>
      <c r="AF61" s="68"/>
      <c r="AG61" s="68"/>
      <c r="AH61" s="68"/>
      <c r="AI61" s="68"/>
      <c r="AJ61" s="68"/>
      <c r="AK61" s="68"/>
    </row>
    <row r="62" spans="1:37" ht="15" customHeight="1" x14ac:dyDescent="0.25">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592">
        <f t="shared" si="0"/>
        <v>0</v>
      </c>
      <c r="AC62" s="68"/>
      <c r="AD62" s="68"/>
      <c r="AE62" s="68"/>
      <c r="AF62" s="68"/>
      <c r="AG62" s="68"/>
      <c r="AH62" s="68"/>
      <c r="AI62" s="68"/>
      <c r="AJ62" s="68"/>
      <c r="AK62" s="68"/>
    </row>
    <row r="63" spans="1:37" ht="15" customHeight="1" x14ac:dyDescent="0.25">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592">
        <f t="shared" si="0"/>
        <v>0</v>
      </c>
      <c r="AC63" s="68"/>
      <c r="AD63" s="68"/>
      <c r="AE63" s="68"/>
      <c r="AF63" s="68"/>
      <c r="AG63" s="68"/>
      <c r="AH63" s="68"/>
      <c r="AI63" s="68"/>
      <c r="AJ63" s="68"/>
      <c r="AK63" s="68"/>
    </row>
    <row r="64" spans="1:37" ht="19.600000000000001" customHeight="1" x14ac:dyDescent="0.25">
      <c r="A64" s="1516"/>
      <c r="B64" s="1490"/>
      <c r="C64" s="1491"/>
      <c r="D64" s="1491"/>
      <c r="E64" s="1491"/>
      <c r="F64" s="1491"/>
      <c r="G64" s="1492"/>
      <c r="H64" s="1585"/>
      <c r="I64" s="1017"/>
      <c r="J64" s="1029"/>
      <c r="K64" s="1030"/>
      <c r="L64" s="984"/>
      <c r="M64" s="985"/>
      <c r="N64" s="985"/>
      <c r="O64" s="985"/>
      <c r="P64" s="985"/>
      <c r="Q64" s="1548" t="s">
        <v>100</v>
      </c>
      <c r="R64" s="972"/>
      <c r="S64" s="973"/>
      <c r="T64" s="1543"/>
      <c r="U64" s="1337"/>
      <c r="V64" s="72">
        <f>IF(AND(Q64="ja",R64=""),1,0)</f>
        <v>0</v>
      </c>
      <c r="Y64" s="340"/>
      <c r="Z64" s="77"/>
      <c r="AA64" s="78"/>
      <c r="AB64" s="592">
        <f t="shared" si="0"/>
        <v>0</v>
      </c>
      <c r="AC64" s="68"/>
      <c r="AD64" s="68"/>
      <c r="AE64" s="68"/>
      <c r="AF64" s="68"/>
      <c r="AG64" s="68"/>
      <c r="AH64" s="68"/>
      <c r="AI64" s="68"/>
      <c r="AJ64" s="68"/>
      <c r="AK64" s="68"/>
    </row>
    <row r="65" spans="1:37" ht="15" customHeight="1" x14ac:dyDescent="0.25">
      <c r="A65" s="1516"/>
      <c r="B65" s="1487" t="s">
        <v>386</v>
      </c>
      <c r="C65" s="1488"/>
      <c r="D65" s="1488"/>
      <c r="E65" s="1488"/>
      <c r="F65" s="1488"/>
      <c r="G65" s="1489"/>
      <c r="H65" s="981" t="s">
        <v>99</v>
      </c>
      <c r="I65" s="1017"/>
      <c r="J65" s="1029"/>
      <c r="K65" s="1030"/>
      <c r="L65" s="984"/>
      <c r="M65" s="985"/>
      <c r="N65" s="985"/>
      <c r="O65" s="985"/>
      <c r="P65" s="985"/>
      <c r="Q65" s="1548"/>
      <c r="R65" s="972"/>
      <c r="S65" s="973"/>
      <c r="T65" s="1543"/>
      <c r="U65" s="1337"/>
      <c r="V65" s="339"/>
      <c r="Y65" s="74">
        <v>0.01</v>
      </c>
      <c r="Z65" s="77">
        <f>IF(H65="ja",Y65,0)</f>
        <v>0.01</v>
      </c>
      <c r="AA65" s="78"/>
      <c r="AB65" s="592">
        <f t="shared" si="0"/>
        <v>0</v>
      </c>
      <c r="AC65" s="68"/>
      <c r="AD65" s="68"/>
      <c r="AE65" s="68"/>
      <c r="AF65" s="68"/>
      <c r="AG65" s="68"/>
      <c r="AH65" s="68"/>
      <c r="AI65" s="68"/>
      <c r="AJ65" s="68"/>
      <c r="AK65" s="68"/>
    </row>
    <row r="66" spans="1:37" ht="15" customHeight="1" x14ac:dyDescent="0.25">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592">
        <f t="shared" si="0"/>
        <v>0</v>
      </c>
      <c r="AC66" s="68"/>
      <c r="AD66" s="68"/>
      <c r="AE66" s="68"/>
      <c r="AF66" s="68"/>
      <c r="AG66" s="68"/>
      <c r="AH66" s="68"/>
      <c r="AI66" s="68"/>
      <c r="AJ66" s="68"/>
      <c r="AK66" s="68"/>
    </row>
    <row r="67" spans="1:37" ht="15" customHeight="1" x14ac:dyDescent="0.25">
      <c r="A67" s="1516"/>
      <c r="B67" s="1487" t="s">
        <v>387</v>
      </c>
      <c r="C67" s="1488"/>
      <c r="D67" s="1488"/>
      <c r="E67" s="1488"/>
      <c r="F67" s="1488"/>
      <c r="G67" s="1489"/>
      <c r="H67" s="981" t="s">
        <v>99</v>
      </c>
      <c r="I67" s="1017"/>
      <c r="J67" s="1029"/>
      <c r="K67" s="1030"/>
      <c r="L67" s="984"/>
      <c r="M67" s="985"/>
      <c r="N67" s="985"/>
      <c r="O67" s="985"/>
      <c r="P67" s="985"/>
      <c r="Q67" s="1548" t="s">
        <v>100</v>
      </c>
      <c r="R67" s="972"/>
      <c r="S67" s="973"/>
      <c r="T67" s="1543"/>
      <c r="U67" s="1337"/>
      <c r="V67" s="72">
        <f>IF(AND(Q67="ja",R67=""),1,0)</f>
        <v>0</v>
      </c>
      <c r="Y67" s="74">
        <v>8.0000000000000002E-3</v>
      </c>
      <c r="Z67" s="77">
        <f>IF(H67="ja",Y67,0)</f>
        <v>8.0000000000000002E-3</v>
      </c>
      <c r="AA67" s="78"/>
      <c r="AB67" s="592">
        <f t="shared" si="0"/>
        <v>0</v>
      </c>
      <c r="AC67" s="68"/>
      <c r="AD67" s="68"/>
      <c r="AE67" s="68"/>
      <c r="AF67" s="68"/>
      <c r="AG67" s="68"/>
      <c r="AH67" s="68"/>
      <c r="AI67" s="68"/>
      <c r="AJ67" s="68"/>
      <c r="AK67" s="68"/>
    </row>
    <row r="68" spans="1:37" ht="15" customHeight="1" x14ac:dyDescent="0.25">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592">
        <f t="shared" si="0"/>
        <v>0</v>
      </c>
      <c r="AC68" s="68"/>
      <c r="AD68" s="68"/>
      <c r="AE68" s="68"/>
      <c r="AF68" s="68"/>
      <c r="AG68" s="68"/>
      <c r="AH68" s="68"/>
      <c r="AI68" s="68"/>
      <c r="AJ68" s="68"/>
      <c r="AK68" s="68"/>
    </row>
    <row r="69" spans="1:37" ht="15" customHeight="1" x14ac:dyDescent="0.25">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592">
        <f t="shared" si="0"/>
        <v>0</v>
      </c>
      <c r="AC69" s="68"/>
      <c r="AD69" s="68"/>
      <c r="AE69" s="68"/>
      <c r="AF69" s="68"/>
      <c r="AG69" s="68"/>
      <c r="AH69" s="68"/>
      <c r="AI69" s="68"/>
      <c r="AJ69" s="68"/>
      <c r="AK69" s="68"/>
    </row>
    <row r="70" spans="1:37" ht="15" customHeight="1" x14ac:dyDescent="0.25">
      <c r="A70" s="1516"/>
      <c r="B70" s="1490"/>
      <c r="C70" s="1491"/>
      <c r="D70" s="1491"/>
      <c r="E70" s="1491"/>
      <c r="F70" s="1491"/>
      <c r="G70" s="1492"/>
      <c r="H70" s="983"/>
      <c r="I70" s="1017"/>
      <c r="J70" s="1029"/>
      <c r="K70" s="1030"/>
      <c r="L70" s="984"/>
      <c r="M70" s="985"/>
      <c r="N70" s="985"/>
      <c r="O70" s="985"/>
      <c r="P70" s="985"/>
      <c r="Q70" s="1548" t="s">
        <v>100</v>
      </c>
      <c r="R70" s="972"/>
      <c r="S70" s="973"/>
      <c r="T70" s="1543"/>
      <c r="U70" s="1337"/>
      <c r="V70" s="72">
        <f>IF(AND(Q70="ja",R70=""),1,0)</f>
        <v>0</v>
      </c>
      <c r="Y70" s="74"/>
      <c r="Z70" s="77"/>
      <c r="AA70" s="78"/>
      <c r="AB70" s="592">
        <f t="shared" si="0"/>
        <v>0</v>
      </c>
      <c r="AC70" s="68"/>
      <c r="AD70" s="68"/>
      <c r="AE70" s="68"/>
      <c r="AF70" s="68"/>
      <c r="AG70" s="68"/>
      <c r="AH70" s="68"/>
      <c r="AI70" s="68"/>
      <c r="AJ70" s="68"/>
      <c r="AK70" s="68"/>
    </row>
    <row r="71" spans="1:37" ht="15" customHeight="1" x14ac:dyDescent="0.25">
      <c r="A71" s="1516"/>
      <c r="B71" s="1487" t="s">
        <v>388</v>
      </c>
      <c r="C71" s="1488"/>
      <c r="D71" s="1488"/>
      <c r="E71" s="1488"/>
      <c r="F71" s="1488"/>
      <c r="G71" s="1489"/>
      <c r="H71" s="981" t="s">
        <v>99</v>
      </c>
      <c r="I71" s="1017"/>
      <c r="J71" s="1029"/>
      <c r="K71" s="1030"/>
      <c r="L71" s="984"/>
      <c r="M71" s="985"/>
      <c r="N71" s="985"/>
      <c r="O71" s="985"/>
      <c r="P71" s="985"/>
      <c r="Q71" s="1548"/>
      <c r="R71" s="972"/>
      <c r="S71" s="973"/>
      <c r="T71" s="1543"/>
      <c r="U71" s="1337"/>
      <c r="V71" s="339"/>
      <c r="Y71" s="74">
        <v>2E-3</v>
      </c>
      <c r="Z71" s="77">
        <f>IF(H71="ja",Y71,0)</f>
        <v>2E-3</v>
      </c>
      <c r="AA71" s="78"/>
      <c r="AB71" s="592">
        <f t="shared" si="0"/>
        <v>0</v>
      </c>
      <c r="AC71" s="68"/>
      <c r="AD71" s="68"/>
      <c r="AE71" s="68"/>
      <c r="AF71" s="68"/>
      <c r="AG71" s="68"/>
      <c r="AH71" s="68"/>
      <c r="AI71" s="68"/>
      <c r="AJ71" s="68"/>
      <c r="AK71" s="68"/>
    </row>
    <row r="72" spans="1:37" ht="15" customHeight="1" x14ac:dyDescent="0.25">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592">
        <f t="shared" si="0"/>
        <v>0</v>
      </c>
      <c r="AC72" s="68"/>
      <c r="AD72" s="68"/>
      <c r="AE72" s="68"/>
      <c r="AF72" s="68"/>
      <c r="AG72" s="68"/>
      <c r="AH72" s="68"/>
      <c r="AI72" s="68"/>
      <c r="AJ72" s="68"/>
      <c r="AK72" s="68"/>
    </row>
    <row r="73" spans="1:37" ht="15" customHeight="1" x14ac:dyDescent="0.25">
      <c r="A73" s="1516"/>
      <c r="B73" s="1490"/>
      <c r="C73" s="1491"/>
      <c r="D73" s="1491"/>
      <c r="E73" s="1491"/>
      <c r="F73" s="1491"/>
      <c r="G73" s="1492"/>
      <c r="H73" s="983"/>
      <c r="I73" s="1017"/>
      <c r="J73" s="1029"/>
      <c r="K73" s="1030"/>
      <c r="L73" s="984"/>
      <c r="M73" s="985"/>
      <c r="N73" s="985"/>
      <c r="O73" s="985"/>
      <c r="P73" s="985"/>
      <c r="Q73" s="1548" t="s">
        <v>100</v>
      </c>
      <c r="R73" s="972"/>
      <c r="S73" s="973"/>
      <c r="T73" s="1543"/>
      <c r="U73" s="1337"/>
      <c r="V73" s="72">
        <f>IF(AND(Q73="ja",R73=""),1,0)</f>
        <v>0</v>
      </c>
      <c r="Y73" s="74"/>
      <c r="Z73" s="77"/>
      <c r="AA73" s="78"/>
      <c r="AB73" s="592">
        <f t="shared" si="0"/>
        <v>0</v>
      </c>
      <c r="AC73" s="68"/>
      <c r="AD73" s="68"/>
      <c r="AE73" s="68"/>
      <c r="AF73" s="68"/>
      <c r="AG73" s="68"/>
      <c r="AH73" s="68"/>
      <c r="AI73" s="68"/>
      <c r="AJ73" s="68"/>
      <c r="AK73" s="68"/>
    </row>
    <row r="74" spans="1:37" ht="15" customHeight="1" x14ac:dyDescent="0.25">
      <c r="A74" s="1516"/>
      <c r="B74" s="1487" t="s">
        <v>389</v>
      </c>
      <c r="C74" s="1488"/>
      <c r="D74" s="1488"/>
      <c r="E74" s="1488"/>
      <c r="F74" s="1488"/>
      <c r="G74" s="1489"/>
      <c r="H74" s="981" t="s">
        <v>99</v>
      </c>
      <c r="I74" s="1017"/>
      <c r="J74" s="1029"/>
      <c r="K74" s="1030"/>
      <c r="L74" s="984"/>
      <c r="M74" s="985"/>
      <c r="N74" s="985"/>
      <c r="O74" s="985"/>
      <c r="P74" s="985"/>
      <c r="Q74" s="1548"/>
      <c r="R74" s="972"/>
      <c r="S74" s="973"/>
      <c r="T74" s="1543"/>
      <c r="U74" s="1337"/>
      <c r="Y74" s="74">
        <v>7.0000000000000001E-3</v>
      </c>
      <c r="Z74" s="77">
        <f>IF(H74="ja",Y74,0)</f>
        <v>7.0000000000000001E-3</v>
      </c>
      <c r="AA74" s="78"/>
      <c r="AB74" s="592">
        <f t="shared" si="0"/>
        <v>0</v>
      </c>
      <c r="AC74" s="68"/>
      <c r="AD74" s="68"/>
      <c r="AE74" s="68"/>
      <c r="AF74" s="68"/>
      <c r="AG74" s="68"/>
      <c r="AH74" s="68"/>
      <c r="AI74" s="68"/>
      <c r="AJ74" s="68"/>
      <c r="AK74" s="68"/>
    </row>
    <row r="75" spans="1:37" ht="15" customHeight="1" x14ac:dyDescent="0.25">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592">
        <f t="shared" si="0"/>
        <v>0</v>
      </c>
      <c r="AC75" s="68"/>
      <c r="AD75" s="68"/>
      <c r="AE75" s="68"/>
      <c r="AF75" s="68"/>
      <c r="AG75" s="68"/>
      <c r="AH75" s="68"/>
      <c r="AI75" s="68"/>
      <c r="AJ75" s="68"/>
      <c r="AK75" s="68"/>
    </row>
    <row r="76" spans="1:37" ht="15" customHeight="1" x14ac:dyDescent="0.25">
      <c r="A76" s="1516"/>
      <c r="B76" s="1487" t="s">
        <v>171</v>
      </c>
      <c r="C76" s="1488"/>
      <c r="D76" s="1488"/>
      <c r="E76" s="1488"/>
      <c r="F76" s="1488"/>
      <c r="G76" s="1489"/>
      <c r="H76" s="981" t="s">
        <v>99</v>
      </c>
      <c r="I76" s="1017"/>
      <c r="J76" s="1029"/>
      <c r="K76" s="1030"/>
      <c r="L76" s="1539"/>
      <c r="M76" s="1540"/>
      <c r="N76" s="1540"/>
      <c r="O76" s="1540"/>
      <c r="P76" s="1540"/>
      <c r="Q76" s="1548" t="s">
        <v>100</v>
      </c>
      <c r="R76" s="972"/>
      <c r="S76" s="973"/>
      <c r="T76" s="1543"/>
      <c r="U76" s="1337"/>
      <c r="V76" s="72">
        <f>IF(AND(Q76="ja",R76=""),1,0)</f>
        <v>0</v>
      </c>
      <c r="Y76" s="74">
        <v>2.5000000000000001E-3</v>
      </c>
      <c r="Z76" s="77">
        <f>IF(H76="ja",Y76,0)</f>
        <v>2.5000000000000001E-3</v>
      </c>
      <c r="AA76" s="78"/>
      <c r="AB76" s="592">
        <f t="shared" si="0"/>
        <v>0</v>
      </c>
      <c r="AC76" s="68"/>
      <c r="AD76" s="68"/>
      <c r="AE76" s="68"/>
      <c r="AF76" s="68"/>
      <c r="AG76" s="68"/>
      <c r="AH76" s="68"/>
      <c r="AI76" s="68"/>
      <c r="AJ76" s="68"/>
      <c r="AK76" s="68"/>
    </row>
    <row r="77" spans="1:37" ht="15" customHeight="1" x14ac:dyDescent="0.25">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592">
        <f t="shared" si="0"/>
        <v>0</v>
      </c>
      <c r="AC77" s="68"/>
      <c r="AD77" s="68"/>
      <c r="AE77" s="68"/>
      <c r="AF77" s="68"/>
      <c r="AG77" s="68"/>
      <c r="AH77" s="68"/>
      <c r="AI77" s="68"/>
      <c r="AJ77" s="68"/>
      <c r="AK77" s="68"/>
    </row>
    <row r="78" spans="1:37" ht="15.95" customHeight="1" x14ac:dyDescent="0.25">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552"/>
      <c r="S78" s="1553"/>
      <c r="T78" s="1567"/>
      <c r="U78" s="1610"/>
      <c r="Y78" s="74"/>
      <c r="Z78" s="152">
        <f>SUM(Z55:Z76)</f>
        <v>0.09</v>
      </c>
      <c r="AA78" s="77"/>
      <c r="AB78" s="592">
        <f t="shared" si="0"/>
        <v>0</v>
      </c>
      <c r="AC78" s="68"/>
      <c r="AD78" s="68"/>
      <c r="AE78" s="68"/>
      <c r="AF78" s="68"/>
      <c r="AG78" s="68"/>
      <c r="AH78" s="68"/>
      <c r="AI78" s="68"/>
      <c r="AJ78" s="68"/>
      <c r="AK78" s="68"/>
    </row>
    <row r="79" spans="1:37" x14ac:dyDescent="0.25">
      <c r="A79" s="1516"/>
      <c r="B79" s="1038"/>
      <c r="C79" s="1039"/>
      <c r="D79" s="1039"/>
      <c r="E79" s="1039"/>
      <c r="F79" s="1039"/>
      <c r="G79" s="1039"/>
      <c r="H79" s="1162"/>
      <c r="I79" s="1038"/>
      <c r="J79" s="1039"/>
      <c r="K79" s="1040"/>
      <c r="L79" s="1563"/>
      <c r="M79" s="1564"/>
      <c r="N79" s="1564"/>
      <c r="O79" s="1564"/>
      <c r="P79" s="1564"/>
      <c r="Q79" s="1550"/>
      <c r="R79" s="1554"/>
      <c r="S79" s="1555"/>
      <c r="T79" s="1568"/>
      <c r="U79" s="1610"/>
      <c r="AA79" s="78"/>
      <c r="AB79" s="592">
        <f t="shared" si="0"/>
        <v>0</v>
      </c>
      <c r="AC79" s="68"/>
      <c r="AD79" s="68"/>
      <c r="AE79" s="68"/>
      <c r="AF79" s="68"/>
      <c r="AG79" s="68"/>
      <c r="AH79" s="68"/>
      <c r="AI79" s="68"/>
      <c r="AJ79" s="68"/>
      <c r="AK79" s="68"/>
    </row>
    <row r="80" spans="1:37" x14ac:dyDescent="0.25">
      <c r="A80" s="1516"/>
      <c r="B80" s="1041"/>
      <c r="C80" s="1042"/>
      <c r="D80" s="1042"/>
      <c r="E80" s="1042"/>
      <c r="F80" s="1042"/>
      <c r="G80" s="1042"/>
      <c r="H80" s="1163"/>
      <c r="I80" s="1041"/>
      <c r="J80" s="1042"/>
      <c r="K80" s="1043"/>
      <c r="L80" s="1565"/>
      <c r="M80" s="1566"/>
      <c r="N80" s="1566"/>
      <c r="O80" s="1566"/>
      <c r="P80" s="1566"/>
      <c r="Q80" s="1551"/>
      <c r="R80" s="1556"/>
      <c r="S80" s="1557"/>
      <c r="T80" s="1569"/>
      <c r="U80" s="1610"/>
      <c r="AA80" s="78"/>
      <c r="AB80" s="592">
        <f t="shared" si="0"/>
        <v>0</v>
      </c>
      <c r="AC80" s="68"/>
      <c r="AD80" s="68"/>
      <c r="AE80" s="68"/>
      <c r="AF80" s="68"/>
      <c r="AG80" s="68"/>
      <c r="AH80" s="68"/>
      <c r="AI80" s="68"/>
      <c r="AJ80" s="68"/>
      <c r="AK80" s="68"/>
    </row>
    <row r="81" spans="1:37" x14ac:dyDescent="0.25">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592">
        <f t="shared" si="0"/>
        <v>0</v>
      </c>
      <c r="AC81" s="68"/>
      <c r="AD81" s="68"/>
      <c r="AE81" s="68"/>
      <c r="AF81" s="68"/>
      <c r="AG81" s="68"/>
      <c r="AH81" s="68"/>
      <c r="AI81" s="68"/>
      <c r="AJ81" s="68"/>
      <c r="AK81" s="68"/>
    </row>
    <row r="82" spans="1:37" ht="15" customHeight="1" x14ac:dyDescent="0.25">
      <c r="A82" s="1516"/>
      <c r="B82" s="1497" t="s">
        <v>391</v>
      </c>
      <c r="C82" s="1498"/>
      <c r="D82" s="1498"/>
      <c r="E82" s="1498"/>
      <c r="F82" s="1498"/>
      <c r="G82" s="1499"/>
      <c r="H82" s="1194" t="s">
        <v>99</v>
      </c>
      <c r="I82" s="1016">
        <f>Z115</f>
        <v>0.17</v>
      </c>
      <c r="J82" s="1027">
        <f>I78*I82</f>
        <v>0</v>
      </c>
      <c r="K82" s="1028"/>
      <c r="L82" s="987" t="s">
        <v>392</v>
      </c>
      <c r="M82" s="988"/>
      <c r="N82" s="988"/>
      <c r="O82" s="988"/>
      <c r="P82" s="988"/>
      <c r="Q82" s="1548" t="s">
        <v>99</v>
      </c>
      <c r="R82" s="972"/>
      <c r="S82" s="973"/>
      <c r="T82" s="1257" t="str">
        <f>IFERROR(IF((VLOOKUP(U82,Überblick!$M$125:$N$133,2))="ja","ja","nein"),"")</f>
        <v/>
      </c>
      <c r="U82" s="1337"/>
      <c r="V82" s="72">
        <f>IF(AND(Q82="ja",R82=""),1,0)</f>
        <v>1</v>
      </c>
      <c r="Y82" s="74">
        <v>5.5E-2</v>
      </c>
      <c r="Z82" s="77">
        <f>IF(H82="ja",Y82,0)</f>
        <v>5.5E-2</v>
      </c>
      <c r="AA82" s="78"/>
      <c r="AB82" s="592">
        <f t="shared" si="0"/>
        <v>1</v>
      </c>
      <c r="AC82" s="68"/>
      <c r="AD82" s="68"/>
      <c r="AE82" s="68"/>
      <c r="AF82" s="68"/>
      <c r="AG82" s="68"/>
      <c r="AH82" s="68"/>
      <c r="AI82" s="68"/>
      <c r="AJ82" s="68"/>
      <c r="AK82" s="68"/>
    </row>
    <row r="83" spans="1:37" ht="15" customHeight="1" x14ac:dyDescent="0.25">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592">
        <f t="shared" si="0"/>
        <v>0</v>
      </c>
      <c r="AC83" s="68"/>
      <c r="AD83" s="68"/>
      <c r="AE83" s="68"/>
      <c r="AF83" s="68"/>
      <c r="AG83" s="68"/>
      <c r="AH83" s="68"/>
      <c r="AI83" s="68"/>
      <c r="AJ83" s="68"/>
      <c r="AK83" s="68"/>
    </row>
    <row r="84" spans="1:37" ht="15" customHeight="1" x14ac:dyDescent="0.25">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592">
        <f t="shared" si="0"/>
        <v>0</v>
      </c>
      <c r="AC84" s="68"/>
      <c r="AD84" s="68"/>
      <c r="AE84" s="68"/>
      <c r="AF84" s="68"/>
      <c r="AG84" s="68"/>
      <c r="AH84" s="68"/>
      <c r="AI84" s="68"/>
      <c r="AJ84" s="68"/>
      <c r="AK84" s="68"/>
    </row>
    <row r="85" spans="1:37" ht="15" customHeight="1" x14ac:dyDescent="0.25">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592">
        <f t="shared" si="0"/>
        <v>0</v>
      </c>
      <c r="AC85" s="68"/>
      <c r="AD85" s="68"/>
      <c r="AE85" s="68"/>
      <c r="AF85" s="68"/>
      <c r="AG85" s="68"/>
      <c r="AH85" s="68"/>
      <c r="AI85" s="68"/>
      <c r="AJ85" s="68"/>
      <c r="AK85" s="68"/>
    </row>
    <row r="86" spans="1:37" ht="15" customHeight="1" x14ac:dyDescent="0.25">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592">
        <f t="shared" si="0"/>
        <v>0</v>
      </c>
      <c r="AC86" s="68"/>
      <c r="AD86" s="68"/>
      <c r="AE86" s="68"/>
      <c r="AF86" s="68"/>
      <c r="AG86" s="68"/>
      <c r="AH86" s="68"/>
      <c r="AI86" s="68"/>
      <c r="AJ86" s="68"/>
      <c r="AK86" s="68"/>
    </row>
    <row r="87" spans="1:37" ht="15" customHeight="1" x14ac:dyDescent="0.25">
      <c r="A87" s="1516"/>
      <c r="B87" s="1103" t="s">
        <v>394</v>
      </c>
      <c r="C87" s="1104"/>
      <c r="D87" s="1104"/>
      <c r="E87" s="1104"/>
      <c r="F87" s="1104"/>
      <c r="G87" s="1105"/>
      <c r="H87" s="314" t="s">
        <v>99</v>
      </c>
      <c r="I87" s="1017"/>
      <c r="J87" s="1029"/>
      <c r="K87" s="1030"/>
      <c r="L87" s="984"/>
      <c r="M87" s="985"/>
      <c r="N87" s="985"/>
      <c r="O87" s="985"/>
      <c r="P87" s="985"/>
      <c r="Q87" s="1548"/>
      <c r="R87" s="972"/>
      <c r="S87" s="973"/>
      <c r="T87" s="1258"/>
      <c r="U87" s="1337"/>
      <c r="Y87" s="74">
        <v>2.5000000000000001E-3</v>
      </c>
      <c r="Z87" s="77">
        <f>IF(H87="ja",Y87,0)</f>
        <v>2.5000000000000001E-3</v>
      </c>
      <c r="AA87" s="78"/>
      <c r="AB87" s="592">
        <f t="shared" si="0"/>
        <v>0</v>
      </c>
      <c r="AC87" s="68"/>
      <c r="AD87" s="68"/>
      <c r="AE87" s="68"/>
      <c r="AF87" s="68"/>
      <c r="AG87" s="68"/>
      <c r="AH87" s="68"/>
      <c r="AI87" s="68"/>
      <c r="AJ87" s="68"/>
      <c r="AK87" s="68"/>
    </row>
    <row r="88" spans="1:37" ht="15" customHeight="1" x14ac:dyDescent="0.25">
      <c r="A88" s="1516"/>
      <c r="B88" s="1487" t="s">
        <v>395</v>
      </c>
      <c r="C88" s="1488"/>
      <c r="D88" s="1488"/>
      <c r="E88" s="1488"/>
      <c r="F88" s="1488"/>
      <c r="G88" s="1489"/>
      <c r="H88" s="981" t="s">
        <v>99</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9.9500000000000005E-2</v>
      </c>
      <c r="AA88" s="78"/>
      <c r="AB88" s="592">
        <f t="shared" si="0"/>
        <v>0</v>
      </c>
      <c r="AC88" s="68"/>
      <c r="AD88" s="68"/>
      <c r="AE88" s="68"/>
      <c r="AF88" s="68"/>
      <c r="AG88" s="68"/>
      <c r="AH88" s="68"/>
      <c r="AI88" s="68"/>
      <c r="AJ88" s="68"/>
      <c r="AK88" s="68"/>
    </row>
    <row r="89" spans="1:37" ht="15" customHeight="1" x14ac:dyDescent="0.25">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592">
        <f t="shared" si="0"/>
        <v>0</v>
      </c>
      <c r="AC89" s="68"/>
      <c r="AD89" s="68"/>
      <c r="AE89" s="68"/>
      <c r="AF89" s="68"/>
      <c r="AG89" s="68"/>
      <c r="AH89" s="68"/>
      <c r="AI89" s="68"/>
      <c r="AJ89" s="68"/>
      <c r="AK89" s="68"/>
    </row>
    <row r="90" spans="1:37" ht="15" customHeight="1" x14ac:dyDescent="0.25">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592">
        <f t="shared" si="0"/>
        <v>0</v>
      </c>
      <c r="AC90" s="68"/>
      <c r="AD90" s="68"/>
      <c r="AE90" s="68"/>
      <c r="AF90" s="68"/>
      <c r="AG90" s="68"/>
      <c r="AH90" s="68"/>
      <c r="AI90" s="68"/>
      <c r="AJ90" s="68"/>
      <c r="AK90" s="68"/>
    </row>
    <row r="91" spans="1:37" ht="15" customHeight="1" x14ac:dyDescent="0.25">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592">
        <f t="shared" si="0"/>
        <v>0</v>
      </c>
      <c r="AC91" s="68"/>
      <c r="AD91" s="68"/>
      <c r="AE91" s="68"/>
      <c r="AF91" s="68"/>
      <c r="AG91" s="68"/>
      <c r="AH91" s="68"/>
      <c r="AI91" s="68"/>
      <c r="AJ91" s="68"/>
      <c r="AK91" s="68"/>
    </row>
    <row r="92" spans="1:37" ht="15" customHeight="1" x14ac:dyDescent="0.25">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592">
        <f t="shared" si="0"/>
        <v>0</v>
      </c>
      <c r="AC92" s="68"/>
      <c r="AD92" s="68"/>
      <c r="AE92" s="68"/>
      <c r="AF92" s="68"/>
      <c r="AG92" s="68"/>
      <c r="AH92" s="68"/>
      <c r="AI92" s="68"/>
      <c r="AJ92" s="68"/>
      <c r="AK92" s="68"/>
    </row>
    <row r="93" spans="1:37" ht="15" customHeight="1" x14ac:dyDescent="0.25">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592">
        <f t="shared" si="0"/>
        <v>0</v>
      </c>
      <c r="AC93" s="68"/>
      <c r="AD93" s="68"/>
      <c r="AE93" s="68"/>
      <c r="AF93" s="68"/>
      <c r="AG93" s="68"/>
      <c r="AH93" s="68"/>
      <c r="AI93" s="68"/>
      <c r="AJ93" s="68"/>
      <c r="AK93" s="68"/>
    </row>
    <row r="94" spans="1:37" ht="15" customHeight="1" x14ac:dyDescent="0.25">
      <c r="A94" s="1516"/>
      <c r="B94" s="1493"/>
      <c r="C94" s="1317"/>
      <c r="D94" s="1317"/>
      <c r="E94" s="1317"/>
      <c r="F94" s="1317"/>
      <c r="G94" s="1494"/>
      <c r="H94" s="982"/>
      <c r="I94" s="1017"/>
      <c r="J94" s="1029"/>
      <c r="K94" s="1030"/>
      <c r="L94" s="984" t="s">
        <v>192</v>
      </c>
      <c r="M94" s="985"/>
      <c r="N94" s="985"/>
      <c r="O94" s="985"/>
      <c r="P94" s="985"/>
      <c r="Q94" s="1548" t="s">
        <v>100</v>
      </c>
      <c r="R94" s="972"/>
      <c r="S94" s="973"/>
      <c r="T94" s="1258"/>
      <c r="U94" s="1337"/>
      <c r="V94" s="72">
        <f>IF(AND(Q94="ja",R94=""),1,0)</f>
        <v>0</v>
      </c>
      <c r="Y94" s="74"/>
      <c r="Z94" s="77"/>
      <c r="AA94" s="78"/>
      <c r="AB94" s="592">
        <f t="shared" si="0"/>
        <v>0</v>
      </c>
      <c r="AC94" s="68"/>
      <c r="AD94" s="68"/>
      <c r="AE94" s="68"/>
      <c r="AF94" s="68"/>
      <c r="AG94" s="68"/>
      <c r="AH94" s="68"/>
      <c r="AI94" s="68"/>
      <c r="AJ94" s="68"/>
      <c r="AK94" s="68"/>
    </row>
    <row r="95" spans="1:37" ht="15" customHeight="1" x14ac:dyDescent="0.25">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592">
        <f t="shared" si="0"/>
        <v>0</v>
      </c>
      <c r="AC95" s="68"/>
      <c r="AD95" s="68"/>
      <c r="AE95" s="68"/>
      <c r="AF95" s="68"/>
      <c r="AG95" s="68"/>
      <c r="AH95" s="68"/>
      <c r="AI95" s="68"/>
      <c r="AJ95" s="68"/>
      <c r="AK95" s="68"/>
    </row>
    <row r="96" spans="1:37" ht="15" customHeight="1" x14ac:dyDescent="0.25">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592">
        <f t="shared" si="0"/>
        <v>0</v>
      </c>
      <c r="AC96" s="68"/>
      <c r="AD96" s="68"/>
      <c r="AE96" s="68"/>
      <c r="AF96" s="68"/>
      <c r="AG96" s="68"/>
      <c r="AH96" s="68"/>
      <c r="AI96" s="68"/>
      <c r="AJ96" s="68"/>
      <c r="AK96" s="68"/>
    </row>
    <row r="97" spans="1:37" ht="15" customHeight="1" x14ac:dyDescent="0.25">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592">
        <f t="shared" si="0"/>
        <v>0</v>
      </c>
      <c r="AC97" s="68"/>
      <c r="AD97" s="68"/>
      <c r="AE97" s="68"/>
      <c r="AF97" s="68"/>
      <c r="AG97" s="68"/>
      <c r="AH97" s="68"/>
      <c r="AI97" s="68"/>
      <c r="AJ97" s="68"/>
      <c r="AK97" s="68"/>
    </row>
    <row r="98" spans="1:37" ht="15" customHeight="1" x14ac:dyDescent="0.25">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592">
        <f t="shared" si="0"/>
        <v>0</v>
      </c>
      <c r="AC98" s="68"/>
      <c r="AD98" s="68"/>
      <c r="AE98" s="68"/>
      <c r="AF98" s="68"/>
      <c r="AG98" s="68"/>
      <c r="AH98" s="68"/>
      <c r="AI98" s="68"/>
      <c r="AJ98" s="68"/>
      <c r="AK98" s="68"/>
    </row>
    <row r="99" spans="1:37" ht="15" customHeight="1" x14ac:dyDescent="0.25">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592">
        <f t="shared" si="0"/>
        <v>0</v>
      </c>
      <c r="AC99" s="68"/>
      <c r="AD99" s="68"/>
      <c r="AE99" s="68"/>
      <c r="AF99" s="68"/>
      <c r="AG99" s="68"/>
      <c r="AH99" s="68"/>
      <c r="AI99" s="68"/>
      <c r="AJ99" s="68"/>
      <c r="AK99" s="68"/>
    </row>
    <row r="100" spans="1:37" ht="15" customHeight="1" x14ac:dyDescent="0.25">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592">
        <f t="shared" si="0"/>
        <v>0</v>
      </c>
      <c r="AC100" s="68"/>
      <c r="AD100" s="68"/>
      <c r="AE100" s="68"/>
      <c r="AF100" s="68"/>
      <c r="AG100" s="68"/>
      <c r="AH100" s="68"/>
      <c r="AI100" s="68"/>
      <c r="AJ100" s="68"/>
      <c r="AK100" s="68"/>
    </row>
    <row r="101" spans="1:37" ht="15" customHeight="1" x14ac:dyDescent="0.25">
      <c r="A101" s="1516"/>
      <c r="B101" s="1487" t="s">
        <v>398</v>
      </c>
      <c r="C101" s="1488"/>
      <c r="D101" s="1488"/>
      <c r="E101" s="1488"/>
      <c r="F101" s="1488"/>
      <c r="G101" s="1489"/>
      <c r="H101" s="981" t="s">
        <v>99</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2.5000000000000001E-3</v>
      </c>
      <c r="AA101" s="78"/>
      <c r="AB101" s="592">
        <f t="shared" si="0"/>
        <v>0</v>
      </c>
      <c r="AC101" s="68"/>
      <c r="AD101" s="68"/>
      <c r="AE101" s="68"/>
      <c r="AF101" s="68"/>
      <c r="AG101" s="68"/>
      <c r="AH101" s="68"/>
      <c r="AI101" s="68"/>
      <c r="AJ101" s="68"/>
      <c r="AK101" s="68"/>
    </row>
    <row r="102" spans="1:37" ht="15" customHeight="1" x14ac:dyDescent="0.25">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592">
        <f t="shared" si="0"/>
        <v>0</v>
      </c>
      <c r="AC102" s="68"/>
      <c r="AD102" s="68"/>
      <c r="AE102" s="68"/>
      <c r="AF102" s="68"/>
      <c r="AG102" s="68"/>
      <c r="AH102" s="68"/>
      <c r="AI102" s="68"/>
      <c r="AJ102" s="68"/>
      <c r="AK102" s="68"/>
    </row>
    <row r="103" spans="1:37" ht="15" customHeight="1" x14ac:dyDescent="0.25">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592">
        <f t="shared" si="0"/>
        <v>0</v>
      </c>
      <c r="AC103" s="68"/>
      <c r="AD103" s="68"/>
      <c r="AE103" s="68"/>
      <c r="AF103" s="68"/>
      <c r="AG103" s="68"/>
      <c r="AH103" s="68"/>
      <c r="AI103" s="68"/>
      <c r="AJ103" s="68"/>
      <c r="AK103" s="68"/>
    </row>
    <row r="104" spans="1:37" ht="15" customHeight="1" x14ac:dyDescent="0.25">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592">
        <f t="shared" ref="AB104:AB167" si="1">IF(Q104="ja",1,0)</f>
        <v>0</v>
      </c>
      <c r="AC104" s="68"/>
      <c r="AD104" s="68"/>
      <c r="AE104" s="68"/>
      <c r="AF104" s="68"/>
      <c r="AG104" s="68"/>
      <c r="AH104" s="68"/>
      <c r="AI104" s="68"/>
      <c r="AJ104" s="68"/>
      <c r="AK104" s="68"/>
    </row>
    <row r="105" spans="1:37" ht="15" customHeight="1" x14ac:dyDescent="0.25">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592">
        <f t="shared" si="1"/>
        <v>0</v>
      </c>
      <c r="AC105" s="68"/>
      <c r="AD105" s="68"/>
      <c r="AE105" s="68"/>
      <c r="AF105" s="68"/>
      <c r="AG105" s="68"/>
      <c r="AH105" s="68"/>
      <c r="AI105" s="68"/>
      <c r="AJ105" s="68"/>
      <c r="AK105" s="68"/>
    </row>
    <row r="106" spans="1:37" ht="15" customHeight="1" x14ac:dyDescent="0.25">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592">
        <f t="shared" si="1"/>
        <v>0</v>
      </c>
      <c r="AC106" s="68"/>
      <c r="AD106" s="68"/>
      <c r="AE106" s="68"/>
      <c r="AF106" s="68"/>
      <c r="AG106" s="68"/>
      <c r="AH106" s="68"/>
      <c r="AI106" s="68"/>
      <c r="AJ106" s="68"/>
      <c r="AK106" s="68"/>
    </row>
    <row r="107" spans="1:37" ht="15" customHeight="1" x14ac:dyDescent="0.25">
      <c r="A107" s="1516"/>
      <c r="B107" s="1487" t="s">
        <v>399</v>
      </c>
      <c r="C107" s="1488"/>
      <c r="D107" s="1488"/>
      <c r="E107" s="1488"/>
      <c r="F107" s="1488"/>
      <c r="G107" s="1489"/>
      <c r="H107" s="981" t="s">
        <v>99</v>
      </c>
      <c r="I107" s="1017"/>
      <c r="J107" s="1029"/>
      <c r="K107" s="1030"/>
      <c r="L107" s="984"/>
      <c r="M107" s="985"/>
      <c r="N107" s="985"/>
      <c r="O107" s="985"/>
      <c r="P107" s="985"/>
      <c r="Q107" s="1548" t="s">
        <v>100</v>
      </c>
      <c r="R107" s="972"/>
      <c r="S107" s="973"/>
      <c r="T107" s="1258"/>
      <c r="U107" s="1337"/>
      <c r="V107" s="72">
        <f>IF(AND(Q107="ja",R107=""),1,0)</f>
        <v>0</v>
      </c>
      <c r="Y107" s="74">
        <v>1.5E-3</v>
      </c>
      <c r="Z107" s="77">
        <f>IF(H107="ja",Y107,0)</f>
        <v>1.5E-3</v>
      </c>
      <c r="AA107" s="78"/>
      <c r="AB107" s="592">
        <f t="shared" si="1"/>
        <v>0</v>
      </c>
      <c r="AC107" s="68"/>
      <c r="AD107" s="68"/>
      <c r="AE107" s="68"/>
      <c r="AF107" s="68"/>
      <c r="AG107" s="68"/>
      <c r="AH107" s="68"/>
      <c r="AI107" s="68"/>
      <c r="AJ107" s="68"/>
      <c r="AK107" s="68"/>
    </row>
    <row r="108" spans="1:37" ht="15" customHeight="1" x14ac:dyDescent="0.25">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592">
        <f t="shared" si="1"/>
        <v>0</v>
      </c>
      <c r="AC108" s="68"/>
      <c r="AD108" s="68"/>
      <c r="AE108" s="68"/>
      <c r="AF108" s="68"/>
      <c r="AG108" s="68"/>
      <c r="AH108" s="68"/>
      <c r="AI108" s="68"/>
      <c r="AJ108" s="68"/>
      <c r="AK108" s="68"/>
    </row>
    <row r="109" spans="1:37" ht="15" customHeight="1" x14ac:dyDescent="0.25">
      <c r="A109" s="1516"/>
      <c r="B109" s="1487" t="s">
        <v>400</v>
      </c>
      <c r="C109" s="1488"/>
      <c r="D109" s="1488"/>
      <c r="E109" s="1488"/>
      <c r="F109" s="1488"/>
      <c r="G109" s="1489"/>
      <c r="H109" s="981" t="s">
        <v>99</v>
      </c>
      <c r="I109" s="1017"/>
      <c r="J109" s="1029"/>
      <c r="K109" s="1030"/>
      <c r="L109" s="984"/>
      <c r="M109" s="985"/>
      <c r="N109" s="985"/>
      <c r="O109" s="985"/>
      <c r="P109" s="985"/>
      <c r="Q109" s="1548"/>
      <c r="R109" s="972"/>
      <c r="S109" s="973"/>
      <c r="T109" s="1258"/>
      <c r="U109" s="1337"/>
      <c r="V109" s="339"/>
      <c r="Y109" s="74">
        <v>6.4999999999999997E-3</v>
      </c>
      <c r="Z109" s="77">
        <f>IF(H109="ja",Y109,0)</f>
        <v>6.4999999999999997E-3</v>
      </c>
      <c r="AA109" s="78"/>
      <c r="AB109" s="592">
        <f t="shared" si="1"/>
        <v>0</v>
      </c>
      <c r="AC109" s="68"/>
      <c r="AD109" s="68"/>
      <c r="AE109" s="68"/>
      <c r="AF109" s="68"/>
      <c r="AG109" s="68"/>
      <c r="AH109" s="68"/>
      <c r="AI109" s="68"/>
      <c r="AJ109" s="68"/>
      <c r="AK109" s="68"/>
    </row>
    <row r="110" spans="1:37" ht="15" customHeight="1" x14ac:dyDescent="0.25">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592">
        <f t="shared" si="1"/>
        <v>0</v>
      </c>
      <c r="AC110" s="68"/>
      <c r="AD110" s="68"/>
      <c r="AE110" s="68"/>
      <c r="AF110" s="68"/>
      <c r="AG110" s="68"/>
      <c r="AH110" s="68"/>
      <c r="AI110" s="68"/>
      <c r="AJ110" s="68"/>
      <c r="AK110" s="68"/>
    </row>
    <row r="111" spans="1:37" ht="15" customHeight="1" x14ac:dyDescent="0.25">
      <c r="A111" s="1516"/>
      <c r="B111" s="1487" t="s">
        <v>401</v>
      </c>
      <c r="C111" s="1488"/>
      <c r="D111" s="1488"/>
      <c r="E111" s="1488"/>
      <c r="F111" s="1488"/>
      <c r="G111" s="1489"/>
      <c r="H111" s="981" t="s">
        <v>99</v>
      </c>
      <c r="I111" s="1017"/>
      <c r="J111" s="1029"/>
      <c r="K111" s="1030"/>
      <c r="L111" s="984"/>
      <c r="M111" s="985"/>
      <c r="N111" s="985"/>
      <c r="O111" s="985"/>
      <c r="P111" s="985"/>
      <c r="Q111" s="1548"/>
      <c r="R111" s="972"/>
      <c r="S111" s="973"/>
      <c r="T111" s="1258"/>
      <c r="U111" s="1337"/>
      <c r="Y111" s="74">
        <v>1E-3</v>
      </c>
      <c r="Z111" s="77">
        <f>IF(H111="ja",Y111,0)</f>
        <v>1E-3</v>
      </c>
      <c r="AA111" s="78"/>
      <c r="AB111" s="592">
        <f t="shared" si="1"/>
        <v>0</v>
      </c>
      <c r="AC111" s="68"/>
      <c r="AD111" s="68"/>
      <c r="AE111" s="68"/>
      <c r="AF111" s="68"/>
      <c r="AG111" s="68"/>
      <c r="AH111" s="68"/>
      <c r="AI111" s="68"/>
      <c r="AJ111" s="68"/>
      <c r="AK111" s="68"/>
    </row>
    <row r="112" spans="1:37" ht="15" customHeight="1" x14ac:dyDescent="0.25">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592">
        <f t="shared" si="1"/>
        <v>0</v>
      </c>
      <c r="AC112" s="68"/>
      <c r="AD112" s="68"/>
      <c r="AE112" s="68"/>
      <c r="AF112" s="68"/>
      <c r="AG112" s="68"/>
      <c r="AH112" s="68"/>
      <c r="AI112" s="68"/>
      <c r="AJ112" s="68"/>
      <c r="AK112" s="68"/>
    </row>
    <row r="113" spans="1:37" ht="15" customHeight="1" x14ac:dyDescent="0.25">
      <c r="A113" s="1516"/>
      <c r="B113" s="1487" t="s">
        <v>171</v>
      </c>
      <c r="C113" s="1488"/>
      <c r="D113" s="1488"/>
      <c r="E113" s="1488"/>
      <c r="F113" s="1488"/>
      <c r="G113" s="1489"/>
      <c r="H113" s="981" t="s">
        <v>99</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1.5E-3</v>
      </c>
      <c r="AA113" s="78"/>
      <c r="AB113" s="592">
        <f t="shared" si="1"/>
        <v>0</v>
      </c>
      <c r="AC113" s="68"/>
      <c r="AD113" s="68"/>
      <c r="AE113" s="68"/>
      <c r="AF113" s="68"/>
      <c r="AG113" s="68"/>
      <c r="AH113" s="68"/>
      <c r="AI113" s="68"/>
      <c r="AJ113" s="68"/>
      <c r="AK113" s="68"/>
    </row>
    <row r="114" spans="1:37" ht="15" customHeight="1" x14ac:dyDescent="0.25">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592">
        <f t="shared" si="1"/>
        <v>0</v>
      </c>
      <c r="AC114" s="68"/>
      <c r="AD114" s="68"/>
      <c r="AE114" s="68"/>
      <c r="AF114" s="68"/>
      <c r="AG114" s="68"/>
      <c r="AH114" s="68"/>
      <c r="AI114" s="68"/>
      <c r="AJ114" s="68"/>
      <c r="AK114" s="68"/>
    </row>
    <row r="115" spans="1:37"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552"/>
      <c r="S115" s="1553"/>
      <c r="T115" s="1567"/>
      <c r="U115" s="1567"/>
      <c r="Y115" s="74"/>
      <c r="Z115" s="152">
        <f>SUM(Z82:Z113)</f>
        <v>0.17</v>
      </c>
      <c r="AA115" s="78"/>
      <c r="AB115" s="592">
        <f t="shared" si="1"/>
        <v>0</v>
      </c>
      <c r="AC115" s="68"/>
      <c r="AD115" s="68"/>
      <c r="AE115" s="68"/>
      <c r="AF115" s="68"/>
      <c r="AG115" s="68"/>
      <c r="AH115" s="68"/>
      <c r="AI115" s="68"/>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550"/>
      <c r="R116" s="1554"/>
      <c r="S116" s="1555"/>
      <c r="T116" s="1568"/>
      <c r="U116" s="1568"/>
      <c r="AA116" s="78"/>
      <c r="AB116" s="592">
        <f t="shared" si="1"/>
        <v>0</v>
      </c>
      <c r="AC116" s="68"/>
      <c r="AD116" s="68"/>
      <c r="AE116" s="68"/>
      <c r="AF116" s="68"/>
      <c r="AG116" s="68"/>
      <c r="AH116" s="68"/>
      <c r="AI116" s="68"/>
      <c r="AJ116" s="68"/>
      <c r="AK116" s="68"/>
    </row>
    <row r="117" spans="1:37" x14ac:dyDescent="0.25">
      <c r="A117" s="1516"/>
      <c r="B117" s="1041"/>
      <c r="C117" s="1042"/>
      <c r="D117" s="1042"/>
      <c r="E117" s="1042"/>
      <c r="F117" s="1042"/>
      <c r="G117" s="1042"/>
      <c r="H117" s="1163"/>
      <c r="I117" s="1041"/>
      <c r="J117" s="1042"/>
      <c r="K117" s="1043"/>
      <c r="L117" s="1565"/>
      <c r="M117" s="1566"/>
      <c r="N117" s="1566"/>
      <c r="O117" s="1566"/>
      <c r="P117" s="1582"/>
      <c r="Q117" s="1551"/>
      <c r="R117" s="1556"/>
      <c r="S117" s="1557"/>
      <c r="T117" s="1568"/>
      <c r="U117" s="1569"/>
      <c r="AA117" s="78"/>
      <c r="AB117" s="592">
        <f t="shared" si="1"/>
        <v>0</v>
      </c>
      <c r="AC117" s="68"/>
      <c r="AD117" s="68"/>
      <c r="AE117" s="68"/>
      <c r="AF117" s="68"/>
      <c r="AG117" s="68"/>
      <c r="AH117" s="68"/>
      <c r="AI117" s="68"/>
      <c r="AJ117" s="68"/>
      <c r="AK117" s="68"/>
    </row>
    <row r="118" spans="1:37" x14ac:dyDescent="0.25">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592">
        <f t="shared" si="1"/>
        <v>0</v>
      </c>
      <c r="AC118" s="68"/>
      <c r="AD118" s="68"/>
      <c r="AE118" s="68"/>
      <c r="AF118" s="68"/>
      <c r="AG118" s="68"/>
      <c r="AH118" s="68"/>
      <c r="AI118" s="68"/>
      <c r="AJ118" s="68"/>
      <c r="AK118" s="68"/>
    </row>
    <row r="119" spans="1:37" ht="15" customHeight="1" x14ac:dyDescent="0.25">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592">
        <f t="shared" si="1"/>
        <v>0</v>
      </c>
      <c r="AC119" s="68"/>
      <c r="AD119" s="68"/>
      <c r="AE119" s="68"/>
      <c r="AF119" s="68"/>
      <c r="AG119" s="68"/>
      <c r="AH119" s="68"/>
      <c r="AI119" s="68"/>
      <c r="AJ119" s="68"/>
      <c r="AK119" s="68"/>
    </row>
    <row r="120" spans="1:37" ht="15" customHeight="1" x14ac:dyDescent="0.25">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592">
        <f t="shared" si="1"/>
        <v>0</v>
      </c>
      <c r="AC120" s="68"/>
      <c r="AD120" s="68"/>
      <c r="AE120" s="68"/>
      <c r="AF120" s="68"/>
      <c r="AG120" s="68"/>
      <c r="AH120" s="68"/>
      <c r="AI120" s="68"/>
      <c r="AJ120" s="68"/>
      <c r="AK120" s="68"/>
    </row>
    <row r="121" spans="1:37" ht="15" customHeight="1" x14ac:dyDescent="0.25">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592">
        <f t="shared" si="1"/>
        <v>0</v>
      </c>
      <c r="AC121" s="68"/>
      <c r="AD121" s="68"/>
      <c r="AE121" s="68"/>
      <c r="AF121" s="68"/>
      <c r="AG121" s="68"/>
      <c r="AH121" s="68"/>
      <c r="AI121" s="68"/>
      <c r="AJ121" s="68"/>
      <c r="AK121" s="68"/>
    </row>
    <row r="122" spans="1:37" ht="15" customHeight="1" x14ac:dyDescent="0.25">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592">
        <f t="shared" si="1"/>
        <v>0</v>
      </c>
      <c r="AC122" s="68"/>
      <c r="AD122" s="68"/>
      <c r="AE122" s="68"/>
      <c r="AF122" s="68"/>
      <c r="AG122" s="68"/>
      <c r="AH122" s="68"/>
      <c r="AI122" s="68"/>
      <c r="AJ122" s="68"/>
      <c r="AK122" s="68"/>
    </row>
    <row r="123" spans="1:37" ht="15" customHeight="1" x14ac:dyDescent="0.25">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592">
        <f t="shared" si="1"/>
        <v>0</v>
      </c>
      <c r="AC123" s="68"/>
      <c r="AD123" s="68"/>
      <c r="AE123" s="68"/>
      <c r="AF123" s="68"/>
      <c r="AG123" s="68"/>
      <c r="AH123" s="68"/>
      <c r="AI123" s="68"/>
      <c r="AJ123" s="68"/>
      <c r="AK123" s="68"/>
    </row>
    <row r="124" spans="1:37" ht="15" customHeight="1" x14ac:dyDescent="0.25">
      <c r="A124" s="1516"/>
      <c r="B124" s="1487" t="s">
        <v>403</v>
      </c>
      <c r="C124" s="1488"/>
      <c r="D124" s="1488"/>
      <c r="E124" s="1488"/>
      <c r="F124" s="1488"/>
      <c r="G124" s="1489"/>
      <c r="H124" s="981" t="s">
        <v>100</v>
      </c>
      <c r="I124" s="1017"/>
      <c r="J124" s="1029"/>
      <c r="K124" s="1030"/>
      <c r="L124" s="984"/>
      <c r="M124" s="985"/>
      <c r="N124" s="985"/>
      <c r="O124" s="985"/>
      <c r="P124" s="985"/>
      <c r="Q124" s="1548"/>
      <c r="R124" s="972"/>
      <c r="S124" s="973"/>
      <c r="T124" s="1258"/>
      <c r="U124" s="1337"/>
      <c r="Y124" s="74">
        <v>2.5000000000000001E-3</v>
      </c>
      <c r="Z124" s="77">
        <f>IF(H124="ja",Y124,0)</f>
        <v>0</v>
      </c>
      <c r="AA124" s="77"/>
      <c r="AB124" s="592">
        <f t="shared" si="1"/>
        <v>0</v>
      </c>
      <c r="AC124" s="68"/>
      <c r="AD124" s="68"/>
      <c r="AE124" s="68"/>
      <c r="AF124" s="68"/>
      <c r="AG124" s="68"/>
      <c r="AH124" s="68"/>
      <c r="AI124" s="68"/>
      <c r="AJ124" s="68"/>
      <c r="AK124" s="68"/>
    </row>
    <row r="125" spans="1:37" ht="15" customHeight="1" x14ac:dyDescent="0.25">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592">
        <f t="shared" si="1"/>
        <v>0</v>
      </c>
      <c r="AC125" s="68"/>
      <c r="AD125" s="68"/>
      <c r="AE125" s="68"/>
      <c r="AF125" s="68"/>
      <c r="AG125" s="68"/>
      <c r="AH125" s="68"/>
      <c r="AI125" s="68"/>
      <c r="AJ125" s="68"/>
      <c r="AK125" s="68"/>
    </row>
    <row r="126" spans="1:37" ht="15" customHeight="1" x14ac:dyDescent="0.25">
      <c r="A126" s="1516"/>
      <c r="B126" s="1490"/>
      <c r="C126" s="1491"/>
      <c r="D126" s="1491"/>
      <c r="E126" s="1491"/>
      <c r="F126" s="1491"/>
      <c r="G126" s="1492"/>
      <c r="H126" s="983"/>
      <c r="I126" s="1018"/>
      <c r="J126" s="1031"/>
      <c r="K126" s="1032"/>
      <c r="L126" s="1559"/>
      <c r="M126" s="1560"/>
      <c r="N126" s="1560"/>
      <c r="O126" s="1560"/>
      <c r="P126" s="1560"/>
      <c r="Q126" s="1548"/>
      <c r="R126" s="972"/>
      <c r="S126" s="973"/>
      <c r="T126" s="1259"/>
      <c r="U126" s="1337"/>
      <c r="V126" s="339"/>
      <c r="Y126" s="74"/>
      <c r="Z126" s="77"/>
      <c r="AA126" s="78"/>
      <c r="AB126" s="592">
        <f t="shared" si="1"/>
        <v>0</v>
      </c>
      <c r="AC126" s="68"/>
      <c r="AD126" s="68"/>
      <c r="AE126" s="68"/>
      <c r="AF126" s="68"/>
      <c r="AG126" s="68"/>
      <c r="AH126" s="68"/>
      <c r="AI126" s="68"/>
      <c r="AJ126" s="68"/>
      <c r="AK126" s="68"/>
    </row>
    <row r="127" spans="1:37" x14ac:dyDescent="0.25">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592">
        <f t="shared" si="1"/>
        <v>0</v>
      </c>
      <c r="AC127" s="68"/>
      <c r="AD127" s="68"/>
      <c r="AE127" s="68"/>
      <c r="AF127" s="68"/>
      <c r="AG127" s="68"/>
      <c r="AH127" s="68"/>
      <c r="AI127" s="68"/>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592">
        <f t="shared" si="1"/>
        <v>0</v>
      </c>
      <c r="AC128" s="68"/>
      <c r="AD128" s="68"/>
      <c r="AE128" s="68"/>
      <c r="AF128" s="68"/>
      <c r="AG128" s="68"/>
      <c r="AH128" s="68"/>
      <c r="AI128" s="68"/>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592">
        <f t="shared" si="1"/>
        <v>0</v>
      </c>
      <c r="AC129" s="68"/>
      <c r="AD129" s="68"/>
      <c r="AE129" s="68"/>
      <c r="AF129" s="68"/>
      <c r="AG129" s="68"/>
      <c r="AH129" s="68"/>
      <c r="AI129" s="68"/>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592">
        <f t="shared" si="1"/>
        <v>0</v>
      </c>
      <c r="AC130" s="68"/>
      <c r="AD130" s="68"/>
      <c r="AE130" s="68"/>
      <c r="AF130" s="68"/>
      <c r="AG130" s="68"/>
      <c r="AH130" s="68"/>
      <c r="AI130" s="68"/>
      <c r="AJ130" s="68"/>
      <c r="AK130" s="68"/>
    </row>
    <row r="131" spans="1:37" ht="14.25" customHeight="1" x14ac:dyDescent="0.25">
      <c r="A131" s="1523"/>
      <c r="B131" s="1493"/>
      <c r="C131" s="1317"/>
      <c r="D131" s="1317"/>
      <c r="E131" s="1317"/>
      <c r="F131" s="1317"/>
      <c r="G131" s="1494"/>
      <c r="H131" s="982"/>
      <c r="I131" s="1663"/>
      <c r="J131" s="1528"/>
      <c r="K131" s="1529"/>
      <c r="L131" s="984" t="s">
        <v>406</v>
      </c>
      <c r="M131" s="985"/>
      <c r="N131" s="985"/>
      <c r="O131" s="985"/>
      <c r="P131" s="985"/>
      <c r="Q131" s="978" t="s">
        <v>100</v>
      </c>
      <c r="R131" s="972"/>
      <c r="S131" s="973"/>
      <c r="T131" s="1621"/>
      <c r="U131" s="1372"/>
      <c r="V131" s="72">
        <f>IF(AND(Q131="ja",R131=""),1,0)</f>
        <v>0</v>
      </c>
      <c r="Y131" s="74"/>
      <c r="Z131" s="77"/>
      <c r="AA131" s="78"/>
      <c r="AB131" s="592">
        <f t="shared" si="1"/>
        <v>0</v>
      </c>
      <c r="AC131" s="68"/>
      <c r="AD131" s="68"/>
      <c r="AE131" s="68"/>
      <c r="AF131" s="68"/>
      <c r="AG131" s="68"/>
      <c r="AH131" s="68"/>
      <c r="AI131" s="68"/>
      <c r="AJ131" s="68"/>
      <c r="AK131" s="68"/>
    </row>
    <row r="132" spans="1:37" ht="14.25" customHeight="1" x14ac:dyDescent="0.25">
      <c r="A132" s="1523"/>
      <c r="B132" s="1490"/>
      <c r="C132" s="1491"/>
      <c r="D132" s="1491"/>
      <c r="E132" s="1491"/>
      <c r="F132" s="1491"/>
      <c r="G132" s="1492"/>
      <c r="H132" s="983"/>
      <c r="I132" s="1663"/>
      <c r="J132" s="1528"/>
      <c r="K132" s="1529"/>
      <c r="L132" s="984"/>
      <c r="M132" s="985"/>
      <c r="N132" s="985"/>
      <c r="O132" s="985"/>
      <c r="P132" s="985"/>
      <c r="Q132" s="978"/>
      <c r="R132" s="972"/>
      <c r="S132" s="973"/>
      <c r="T132" s="1621"/>
      <c r="U132" s="1372"/>
      <c r="Y132" s="74"/>
      <c r="Z132" s="77"/>
      <c r="AA132" s="78"/>
      <c r="AB132" s="592">
        <f t="shared" si="1"/>
        <v>0</v>
      </c>
      <c r="AC132" s="68"/>
      <c r="AD132" s="68"/>
      <c r="AE132" s="68"/>
      <c r="AF132" s="68"/>
      <c r="AG132" s="68"/>
      <c r="AH132" s="68"/>
      <c r="AI132" s="68"/>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592">
        <f t="shared" si="1"/>
        <v>0</v>
      </c>
      <c r="AC133" s="68"/>
      <c r="AD133" s="68"/>
      <c r="AE133" s="68"/>
      <c r="AF133" s="68"/>
      <c r="AG133" s="68"/>
      <c r="AH133" s="68"/>
      <c r="AI133" s="68"/>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592">
        <f t="shared" si="1"/>
        <v>0</v>
      </c>
      <c r="AC134" s="68"/>
      <c r="AD134" s="68"/>
      <c r="AE134" s="68"/>
      <c r="AF134" s="68"/>
      <c r="AG134" s="68"/>
      <c r="AH134" s="68"/>
      <c r="AI134" s="68"/>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592">
        <f t="shared" si="1"/>
        <v>0</v>
      </c>
      <c r="AC135" s="68"/>
      <c r="AD135" s="68"/>
      <c r="AE135" s="68"/>
      <c r="AF135" s="68"/>
      <c r="AG135" s="68"/>
      <c r="AH135" s="68"/>
      <c r="AI135" s="68"/>
      <c r="AJ135" s="68"/>
      <c r="AK135" s="68"/>
    </row>
    <row r="136" spans="1:37" ht="14.25" customHeight="1" x14ac:dyDescent="0.25">
      <c r="A136" s="1523"/>
      <c r="B136" s="1493"/>
      <c r="C136" s="1317"/>
      <c r="D136" s="1317"/>
      <c r="E136" s="1317"/>
      <c r="F136" s="1317"/>
      <c r="G136" s="1494"/>
      <c r="H136" s="982"/>
      <c r="I136" s="1663"/>
      <c r="J136" s="1528"/>
      <c r="K136" s="1529"/>
      <c r="L136" s="2256" t="s">
        <v>977</v>
      </c>
      <c r="M136" s="985"/>
      <c r="N136" s="985"/>
      <c r="O136" s="985"/>
      <c r="P136" s="985"/>
      <c r="Q136" s="978" t="s">
        <v>99</v>
      </c>
      <c r="R136" s="972"/>
      <c r="S136" s="973"/>
      <c r="T136" s="1621"/>
      <c r="U136" s="1372"/>
      <c r="V136" s="72">
        <f>IF(AND(Q136="ja",R136=""),1,0)</f>
        <v>1</v>
      </c>
      <c r="AA136" s="78"/>
      <c r="AB136" s="592">
        <f t="shared" si="1"/>
        <v>1</v>
      </c>
      <c r="AC136" s="68"/>
      <c r="AD136" s="68"/>
      <c r="AE136" s="68"/>
      <c r="AF136" s="68"/>
      <c r="AG136" s="68"/>
      <c r="AH136" s="68"/>
      <c r="AI136" s="68"/>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592">
        <f t="shared" si="1"/>
        <v>0</v>
      </c>
      <c r="AC137" s="68"/>
      <c r="AD137" s="68"/>
      <c r="AE137" s="68"/>
      <c r="AF137" s="68"/>
      <c r="AG137" s="68"/>
      <c r="AH137" s="68"/>
      <c r="AI137" s="68"/>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592">
        <f t="shared" si="1"/>
        <v>0</v>
      </c>
      <c r="AC138" s="68"/>
      <c r="AD138" s="68"/>
      <c r="AE138" s="68"/>
      <c r="AF138" s="68"/>
      <c r="AG138" s="68"/>
      <c r="AH138" s="68"/>
      <c r="AI138" s="68"/>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592">
        <f t="shared" si="1"/>
        <v>0</v>
      </c>
      <c r="AC139" s="68"/>
      <c r="AD139" s="68"/>
      <c r="AE139" s="68"/>
      <c r="AF139" s="68"/>
      <c r="AG139" s="68"/>
      <c r="AH139" s="68"/>
      <c r="AI139" s="68"/>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592">
        <f t="shared" si="1"/>
        <v>0</v>
      </c>
      <c r="AC140" s="68"/>
      <c r="AD140" s="68"/>
      <c r="AE140" s="68"/>
      <c r="AF140" s="68"/>
      <c r="AG140" s="68"/>
      <c r="AH140" s="68"/>
      <c r="AI140" s="68"/>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592">
        <f t="shared" si="1"/>
        <v>0</v>
      </c>
      <c r="AC141" s="68"/>
      <c r="AD141" s="68"/>
      <c r="AE141" s="68"/>
      <c r="AF141" s="68"/>
      <c r="AG141" s="68"/>
      <c r="AH141" s="68"/>
      <c r="AI141" s="68"/>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592">
        <f t="shared" si="1"/>
        <v>0</v>
      </c>
      <c r="AC142" s="68"/>
      <c r="AD142" s="68"/>
      <c r="AE142" s="68"/>
      <c r="AF142" s="68"/>
      <c r="AG142" s="68"/>
      <c r="AH142" s="68"/>
      <c r="AI142" s="68"/>
      <c r="AJ142" s="68"/>
      <c r="AK142" s="68"/>
    </row>
    <row r="143" spans="1:37" x14ac:dyDescent="0.25">
      <c r="A143" s="496" t="s">
        <v>210</v>
      </c>
      <c r="B143" s="1103" t="s">
        <v>409</v>
      </c>
      <c r="C143" s="1104"/>
      <c r="D143" s="1104"/>
      <c r="E143" s="1104"/>
      <c r="F143" s="1104"/>
      <c r="G143" s="1105"/>
      <c r="H143" s="314" t="s">
        <v>100</v>
      </c>
      <c r="I143" s="345">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592">
        <f t="shared" si="1"/>
        <v>0</v>
      </c>
      <c r="AC143" s="68"/>
      <c r="AD143" s="68"/>
      <c r="AE143" s="68"/>
      <c r="AF143" s="68"/>
      <c r="AG143" s="68"/>
      <c r="AH143" s="68"/>
      <c r="AI143" s="68"/>
      <c r="AJ143" s="68"/>
      <c r="AK143" s="68"/>
    </row>
    <row r="144" spans="1:37" x14ac:dyDescent="0.25">
      <c r="A144" s="496" t="s">
        <v>212</v>
      </c>
      <c r="B144" s="1103" t="s">
        <v>410</v>
      </c>
      <c r="C144" s="1104"/>
      <c r="D144" s="1104"/>
      <c r="E144" s="1104"/>
      <c r="F144" s="1104"/>
      <c r="G144" s="1105"/>
      <c r="H144" s="314" t="s">
        <v>100</v>
      </c>
      <c r="I144" s="345">
        <f>Z144</f>
        <v>0</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0</v>
      </c>
      <c r="AA144" s="78"/>
      <c r="AB144" s="592">
        <f t="shared" si="1"/>
        <v>0</v>
      </c>
      <c r="AC144" s="68"/>
      <c r="AD144" s="68"/>
      <c r="AE144" s="68"/>
      <c r="AF144" s="68"/>
      <c r="AG144" s="68"/>
      <c r="AH144" s="68"/>
      <c r="AI144" s="68"/>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592">
        <f t="shared" si="1"/>
        <v>0</v>
      </c>
      <c r="AC145" s="68"/>
      <c r="AD145" s="68"/>
      <c r="AE145" s="68"/>
      <c r="AF145" s="68"/>
      <c r="AG145" s="68"/>
      <c r="AH145" s="68"/>
      <c r="AI145" s="68"/>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592">
        <f t="shared" si="1"/>
        <v>0</v>
      </c>
      <c r="AC146" s="68"/>
      <c r="AD146" s="68"/>
      <c r="AE146" s="68"/>
      <c r="AF146" s="68"/>
      <c r="AG146" s="68"/>
      <c r="AH146" s="68"/>
      <c r="AI146" s="68"/>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592">
        <f t="shared" si="1"/>
        <v>0</v>
      </c>
      <c r="AC147" s="68"/>
      <c r="AD147" s="68"/>
      <c r="AE147" s="68"/>
      <c r="AF147" s="68"/>
      <c r="AG147" s="68"/>
      <c r="AH147" s="68"/>
      <c r="AI147" s="68"/>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592">
        <f t="shared" si="1"/>
        <v>0</v>
      </c>
      <c r="AC148" s="68"/>
      <c r="AD148" s="68"/>
      <c r="AE148" s="68"/>
      <c r="AF148" s="68"/>
      <c r="AG148" s="68"/>
      <c r="AH148" s="68"/>
      <c r="AI148" s="68"/>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592">
        <f t="shared" si="1"/>
        <v>0</v>
      </c>
      <c r="AC149" s="68"/>
      <c r="AD149" s="68"/>
      <c r="AE149" s="68"/>
      <c r="AF149" s="68"/>
      <c r="AG149" s="68"/>
      <c r="AH149" s="68"/>
      <c r="AI149" s="68"/>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592">
        <f t="shared" si="1"/>
        <v>0</v>
      </c>
      <c r="AC150" s="68"/>
      <c r="AD150" s="68"/>
      <c r="AE150" s="68"/>
      <c r="AF150" s="68"/>
      <c r="AG150" s="68"/>
      <c r="AH150" s="68"/>
      <c r="AI150" s="68"/>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592">
        <f t="shared" si="1"/>
        <v>0</v>
      </c>
      <c r="AC151" s="68"/>
      <c r="AD151" s="68"/>
      <c r="AE151" s="68"/>
      <c r="AF151" s="68"/>
      <c r="AG151" s="68"/>
      <c r="AH151" s="68"/>
      <c r="AI151" s="68"/>
      <c r="AJ151" s="68"/>
      <c r="AK151" s="68"/>
    </row>
    <row r="152" spans="1:37" ht="15" customHeight="1" x14ac:dyDescent="0.25">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592">
        <f t="shared" si="1"/>
        <v>0</v>
      </c>
      <c r="AC152" s="68"/>
      <c r="AD152" s="68"/>
      <c r="AE152" s="68"/>
      <c r="AF152" s="68"/>
      <c r="AG152" s="68"/>
      <c r="AH152" s="68"/>
      <c r="AI152" s="68"/>
      <c r="AJ152" s="68"/>
      <c r="AK152" s="68"/>
    </row>
    <row r="153" spans="1:37" x14ac:dyDescent="0.25">
      <c r="A153" s="1665" t="s">
        <v>469</v>
      </c>
      <c r="B153" s="1511" t="s">
        <v>470</v>
      </c>
      <c r="C153" s="1512"/>
      <c r="D153" s="1512"/>
      <c r="E153" s="1512"/>
      <c r="F153" s="1512"/>
      <c r="G153" s="1513"/>
      <c r="H153" s="342"/>
      <c r="I153" s="1361"/>
      <c r="J153" s="1362"/>
      <c r="K153" s="1362"/>
      <c r="L153" s="1534">
        <f>SUM(Q128:R152)</f>
        <v>0</v>
      </c>
      <c r="M153" s="1535"/>
      <c r="N153" s="1535"/>
      <c r="O153" s="1535"/>
      <c r="P153" s="1535"/>
      <c r="Q153" s="338"/>
      <c r="R153" s="1514"/>
      <c r="S153" s="1515"/>
      <c r="U153" s="334"/>
      <c r="Y153" s="74"/>
      <c r="Z153" s="152">
        <f>SUM(Z128:Z150)</f>
        <v>0</v>
      </c>
      <c r="AA153" s="78"/>
      <c r="AB153" s="592">
        <f t="shared" si="1"/>
        <v>0</v>
      </c>
      <c r="AC153" s="68"/>
      <c r="AD153" s="68"/>
      <c r="AE153" s="68"/>
      <c r="AF153" s="68"/>
      <c r="AG153" s="68"/>
      <c r="AH153" s="68"/>
      <c r="AI153" s="68"/>
      <c r="AJ153" s="68"/>
      <c r="AK153" s="68"/>
    </row>
    <row r="154" spans="1:37" ht="15" customHeight="1" x14ac:dyDescent="0.25">
      <c r="A154" s="1665"/>
      <c r="B154" s="1497" t="s">
        <v>415</v>
      </c>
      <c r="C154" s="1498"/>
      <c r="D154" s="1498"/>
      <c r="E154" s="1498"/>
      <c r="F154" s="1498"/>
      <c r="G154" s="1499"/>
      <c r="H154" s="1194" t="s">
        <v>100</v>
      </c>
      <c r="I154" s="1016">
        <f>Z177</f>
        <v>0</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592">
        <f t="shared" si="1"/>
        <v>0</v>
      </c>
      <c r="AC154" s="68"/>
      <c r="AD154" s="68"/>
      <c r="AE154" s="68"/>
      <c r="AF154" s="68"/>
      <c r="AG154" s="68"/>
      <c r="AH154" s="68"/>
      <c r="AI154" s="68"/>
      <c r="AJ154" s="68"/>
      <c r="AK154" s="68"/>
    </row>
    <row r="155" spans="1:37" ht="15" customHeight="1" x14ac:dyDescent="0.25">
      <c r="A155" s="166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592">
        <f t="shared" si="1"/>
        <v>0</v>
      </c>
      <c r="AC155" s="68"/>
      <c r="AD155" s="68"/>
      <c r="AE155" s="68"/>
      <c r="AF155" s="68"/>
      <c r="AG155" s="68"/>
      <c r="AH155" s="68"/>
      <c r="AI155" s="68"/>
      <c r="AJ155" s="68"/>
      <c r="AK155" s="68"/>
    </row>
    <row r="156" spans="1:37" ht="15" customHeight="1" x14ac:dyDescent="0.25">
      <c r="A156" s="166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592">
        <f t="shared" si="1"/>
        <v>0</v>
      </c>
      <c r="AC156" s="68"/>
      <c r="AD156" s="68"/>
      <c r="AE156" s="68"/>
      <c r="AF156" s="68"/>
      <c r="AG156" s="68"/>
      <c r="AH156" s="68"/>
      <c r="AI156" s="68"/>
      <c r="AJ156" s="68"/>
      <c r="AK156" s="68"/>
    </row>
    <row r="157" spans="1:37" ht="15" customHeight="1" x14ac:dyDescent="0.25">
      <c r="A157" s="1665"/>
      <c r="B157" s="1487" t="s">
        <v>417</v>
      </c>
      <c r="C157" s="1488"/>
      <c r="D157" s="1488"/>
      <c r="E157" s="1488"/>
      <c r="F157" s="1488"/>
      <c r="G157" s="1489"/>
      <c r="H157" s="981" t="s">
        <v>100</v>
      </c>
      <c r="I157" s="1017"/>
      <c r="J157" s="1029"/>
      <c r="K157" s="1030"/>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592">
        <f t="shared" si="1"/>
        <v>0</v>
      </c>
      <c r="AC157" s="68"/>
      <c r="AD157" s="68"/>
      <c r="AE157" s="68"/>
      <c r="AF157" s="68"/>
      <c r="AG157" s="68"/>
      <c r="AH157" s="68"/>
      <c r="AI157" s="68"/>
      <c r="AJ157" s="68"/>
      <c r="AK157" s="68"/>
    </row>
    <row r="158" spans="1:37" ht="15" customHeight="1" x14ac:dyDescent="0.25">
      <c r="A158" s="166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592">
        <f t="shared" si="1"/>
        <v>0</v>
      </c>
      <c r="AC158" s="68"/>
      <c r="AD158" s="68"/>
      <c r="AE158" s="68"/>
      <c r="AF158" s="68"/>
      <c r="AG158" s="68"/>
      <c r="AH158" s="68"/>
      <c r="AI158" s="68"/>
      <c r="AJ158" s="68"/>
      <c r="AK158" s="68"/>
    </row>
    <row r="159" spans="1:37" ht="15" customHeight="1" x14ac:dyDescent="0.25">
      <c r="A159" s="166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592">
        <f t="shared" si="1"/>
        <v>0</v>
      </c>
      <c r="AC159" s="68"/>
      <c r="AD159" s="68"/>
      <c r="AE159" s="68"/>
      <c r="AF159" s="68"/>
      <c r="AG159" s="68"/>
      <c r="AH159" s="68"/>
      <c r="AI159" s="68"/>
      <c r="AJ159" s="68"/>
      <c r="AK159" s="68"/>
    </row>
    <row r="160" spans="1:37" ht="15" customHeight="1" x14ac:dyDescent="0.25">
      <c r="A160" s="166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592">
        <f t="shared" si="1"/>
        <v>0</v>
      </c>
      <c r="AC160" s="68"/>
      <c r="AD160" s="68"/>
      <c r="AE160" s="68"/>
      <c r="AF160" s="68"/>
      <c r="AG160" s="68"/>
      <c r="AH160" s="68"/>
      <c r="AI160" s="68"/>
      <c r="AJ160" s="68"/>
      <c r="AK160" s="68"/>
    </row>
    <row r="161" spans="1:37" ht="15" customHeight="1" x14ac:dyDescent="0.25">
      <c r="A161" s="166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592">
        <f t="shared" si="1"/>
        <v>0</v>
      </c>
      <c r="AC161" s="68"/>
      <c r="AD161" s="68"/>
      <c r="AE161" s="68"/>
      <c r="AF161" s="68"/>
      <c r="AG161" s="68"/>
      <c r="AH161" s="68"/>
      <c r="AI161" s="68"/>
      <c r="AJ161" s="68"/>
      <c r="AK161" s="68"/>
    </row>
    <row r="162" spans="1:37" ht="15" customHeight="1" x14ac:dyDescent="0.25">
      <c r="A162" s="166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592">
        <f t="shared" si="1"/>
        <v>0</v>
      </c>
      <c r="AC162" s="68"/>
      <c r="AD162" s="68"/>
      <c r="AE162" s="68"/>
      <c r="AF162" s="68"/>
      <c r="AG162" s="68"/>
      <c r="AH162" s="68"/>
      <c r="AI162" s="68"/>
      <c r="AJ162" s="68"/>
      <c r="AK162" s="68"/>
    </row>
    <row r="163" spans="1:37" ht="15" customHeight="1" x14ac:dyDescent="0.25">
      <c r="A163" s="166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592">
        <f t="shared" si="1"/>
        <v>0</v>
      </c>
      <c r="AC163" s="68"/>
      <c r="AD163" s="68"/>
      <c r="AE163" s="68"/>
      <c r="AF163" s="68"/>
      <c r="AG163" s="68"/>
      <c r="AH163" s="68"/>
      <c r="AI163" s="68"/>
      <c r="AJ163" s="68"/>
      <c r="AK163" s="68"/>
    </row>
    <row r="164" spans="1:37" ht="15" customHeight="1" x14ac:dyDescent="0.25">
      <c r="A164" s="166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592">
        <f t="shared" si="1"/>
        <v>0</v>
      </c>
      <c r="AC164" s="68"/>
      <c r="AD164" s="68"/>
      <c r="AE164" s="68"/>
      <c r="AF164" s="68"/>
      <c r="AG164" s="68"/>
      <c r="AH164" s="68"/>
      <c r="AI164" s="68"/>
      <c r="AJ164" s="68"/>
      <c r="AK164" s="68"/>
    </row>
    <row r="165" spans="1:37" ht="15" customHeight="1" x14ac:dyDescent="0.25">
      <c r="A165" s="1665"/>
      <c r="B165" s="1493"/>
      <c r="C165" s="1317"/>
      <c r="D165" s="1317"/>
      <c r="E165" s="1317"/>
      <c r="F165" s="1317"/>
      <c r="G165" s="1494"/>
      <c r="H165" s="982"/>
      <c r="I165" s="1017"/>
      <c r="J165" s="1029"/>
      <c r="K165" s="1030"/>
      <c r="L165" s="1291"/>
      <c r="M165" s="1292"/>
      <c r="N165" s="1292"/>
      <c r="O165" s="1292"/>
      <c r="P165" s="1293"/>
      <c r="Q165" s="1295"/>
      <c r="R165" s="1269"/>
      <c r="S165" s="1270"/>
      <c r="T165" s="1258"/>
      <c r="U165" s="1337"/>
      <c r="Y165" s="74"/>
      <c r="Z165" s="77"/>
      <c r="AA165" s="78"/>
      <c r="AB165" s="592">
        <f t="shared" si="1"/>
        <v>0</v>
      </c>
      <c r="AC165" s="68"/>
      <c r="AD165" s="68"/>
      <c r="AE165" s="68"/>
      <c r="AF165" s="68"/>
      <c r="AG165" s="68"/>
      <c r="AH165" s="68"/>
      <c r="AI165" s="68"/>
      <c r="AJ165" s="68"/>
      <c r="AK165" s="68"/>
    </row>
    <row r="166" spans="1:37" ht="15" customHeight="1" x14ac:dyDescent="0.25">
      <c r="A166" s="1665"/>
      <c r="B166" s="1490"/>
      <c r="C166" s="1491"/>
      <c r="D166" s="1491"/>
      <c r="E166" s="1491"/>
      <c r="F166" s="1491"/>
      <c r="G166" s="1492"/>
      <c r="H166" s="983"/>
      <c r="I166" s="1017"/>
      <c r="J166" s="1029"/>
      <c r="K166" s="1030"/>
      <c r="L166" s="1484" t="s">
        <v>419</v>
      </c>
      <c r="M166" s="1485"/>
      <c r="N166" s="1485"/>
      <c r="O166" s="1485"/>
      <c r="P166" s="1486"/>
      <c r="Q166" s="979" t="s">
        <v>100</v>
      </c>
      <c r="R166" s="1005"/>
      <c r="S166" s="1006"/>
      <c r="T166" s="1258"/>
      <c r="U166" s="1337"/>
      <c r="V166" s="72">
        <f>IF(AND(Q166="ja",R166=""),1,0)</f>
        <v>0</v>
      </c>
      <c r="Y166" s="74"/>
      <c r="Z166" s="77"/>
      <c r="AA166" s="78"/>
      <c r="AB166" s="592">
        <f t="shared" si="1"/>
        <v>0</v>
      </c>
      <c r="AC166" s="68"/>
      <c r="AD166" s="68"/>
      <c r="AE166" s="68"/>
      <c r="AF166" s="68"/>
      <c r="AG166" s="68"/>
      <c r="AH166" s="68"/>
      <c r="AI166" s="68"/>
      <c r="AJ166" s="68"/>
      <c r="AK166" s="68"/>
    </row>
    <row r="167" spans="1:37" ht="15" customHeight="1" x14ac:dyDescent="0.25">
      <c r="A167" s="1665"/>
      <c r="B167" s="1487" t="s">
        <v>420</v>
      </c>
      <c r="C167" s="1488"/>
      <c r="D167" s="1488"/>
      <c r="E167" s="1488"/>
      <c r="F167" s="1488"/>
      <c r="G167" s="1489"/>
      <c r="H167" s="981" t="s">
        <v>100</v>
      </c>
      <c r="I167" s="1017"/>
      <c r="J167" s="1029"/>
      <c r="K167" s="1030"/>
      <c r="L167" s="1288"/>
      <c r="M167" s="1289"/>
      <c r="N167" s="1289"/>
      <c r="O167" s="1289"/>
      <c r="P167" s="1290"/>
      <c r="Q167" s="1003"/>
      <c r="R167" s="1007"/>
      <c r="S167" s="1008"/>
      <c r="T167" s="1258"/>
      <c r="U167" s="1337"/>
      <c r="Y167" s="74">
        <v>1E-3</v>
      </c>
      <c r="Z167" s="77">
        <f>IF(H167="ja",Y167,0)</f>
        <v>0</v>
      </c>
      <c r="AA167" s="78"/>
      <c r="AB167" s="592">
        <f t="shared" si="1"/>
        <v>0</v>
      </c>
      <c r="AC167" s="68"/>
      <c r="AD167" s="68"/>
      <c r="AE167" s="68"/>
      <c r="AF167" s="68"/>
      <c r="AG167" s="68"/>
      <c r="AH167" s="68"/>
      <c r="AI167" s="68"/>
      <c r="AJ167" s="68"/>
      <c r="AK167" s="68"/>
    </row>
    <row r="168" spans="1:37" ht="15" customHeight="1" x14ac:dyDescent="0.25">
      <c r="A168" s="1665"/>
      <c r="B168" s="1493"/>
      <c r="C168" s="1317"/>
      <c r="D168" s="1317"/>
      <c r="E168" s="1317"/>
      <c r="F168" s="1317"/>
      <c r="G168" s="1494"/>
      <c r="H168" s="982"/>
      <c r="I168" s="1017"/>
      <c r="J168" s="1029"/>
      <c r="K168" s="1030"/>
      <c r="L168" s="1291"/>
      <c r="M168" s="1292"/>
      <c r="N168" s="1292"/>
      <c r="O168" s="1292"/>
      <c r="P168" s="1293"/>
      <c r="Q168" s="1295"/>
      <c r="R168" s="1269"/>
      <c r="S168" s="1270"/>
      <c r="T168" s="1258"/>
      <c r="U168" s="1337"/>
      <c r="Y168" s="74"/>
      <c r="Z168" s="77"/>
      <c r="AA168" s="78"/>
      <c r="AB168" s="592">
        <f t="shared" ref="AB168:AB231" si="2">IF(Q168="ja",1,0)</f>
        <v>0</v>
      </c>
      <c r="AC168" s="68"/>
      <c r="AD168" s="68"/>
      <c r="AE168" s="68"/>
      <c r="AF168" s="68"/>
      <c r="AG168" s="68"/>
      <c r="AH168" s="68"/>
      <c r="AI168" s="68"/>
      <c r="AJ168" s="68"/>
      <c r="AK168" s="68"/>
    </row>
    <row r="169" spans="1:37" ht="15" customHeight="1" x14ac:dyDescent="0.25">
      <c r="A169" s="1665"/>
      <c r="B169" s="1490"/>
      <c r="C169" s="1491"/>
      <c r="D169" s="1491"/>
      <c r="E169" s="1491"/>
      <c r="F169" s="1491"/>
      <c r="G169" s="1492"/>
      <c r="H169" s="983"/>
      <c r="I169" s="1017"/>
      <c r="J169" s="1029"/>
      <c r="K169" s="1030"/>
      <c r="L169" s="1484" t="s">
        <v>228</v>
      </c>
      <c r="M169" s="1485"/>
      <c r="N169" s="1485"/>
      <c r="O169" s="1485"/>
      <c r="P169" s="1486"/>
      <c r="Q169" s="979" t="s">
        <v>100</v>
      </c>
      <c r="R169" s="1005"/>
      <c r="S169" s="1006"/>
      <c r="T169" s="1258"/>
      <c r="U169" s="1337"/>
      <c r="V169" s="72">
        <f>IF(AND(Q169="ja",R169=""),1,0)</f>
        <v>0</v>
      </c>
      <c r="Y169" s="74"/>
      <c r="Z169" s="77"/>
      <c r="AA169" s="78"/>
      <c r="AB169" s="592">
        <f t="shared" si="2"/>
        <v>0</v>
      </c>
      <c r="AC169" s="68"/>
      <c r="AD169" s="68"/>
      <c r="AE169" s="68"/>
      <c r="AF169" s="68"/>
      <c r="AG169" s="68"/>
      <c r="AH169" s="68"/>
      <c r="AI169" s="68"/>
      <c r="AJ169" s="68"/>
      <c r="AK169" s="68"/>
    </row>
    <row r="170" spans="1:37" ht="15" customHeight="1" x14ac:dyDescent="0.25">
      <c r="A170" s="1665"/>
      <c r="B170" s="1487" t="s">
        <v>421</v>
      </c>
      <c r="C170" s="1488"/>
      <c r="D170" s="1488"/>
      <c r="E170" s="1488"/>
      <c r="F170" s="1488"/>
      <c r="G170" s="1489"/>
      <c r="H170" s="981" t="s">
        <v>100</v>
      </c>
      <c r="I170" s="1017"/>
      <c r="J170" s="1029"/>
      <c r="K170" s="1030"/>
      <c r="L170" s="1288"/>
      <c r="M170" s="1289"/>
      <c r="N170" s="1289"/>
      <c r="O170" s="1289"/>
      <c r="P170" s="1290"/>
      <c r="Q170" s="1003"/>
      <c r="R170" s="1007"/>
      <c r="S170" s="1008"/>
      <c r="T170" s="1258"/>
      <c r="U170" s="1337"/>
      <c r="Y170" s="74">
        <v>7.4999999999999997E-3</v>
      </c>
      <c r="Z170" s="77">
        <f>IF(H170="ja",Y170,0)</f>
        <v>0</v>
      </c>
      <c r="AA170" s="78"/>
      <c r="AB170" s="592">
        <f t="shared" si="2"/>
        <v>0</v>
      </c>
      <c r="AC170" s="68"/>
      <c r="AD170" s="68"/>
      <c r="AE170" s="68"/>
      <c r="AF170" s="68"/>
      <c r="AG170" s="68"/>
      <c r="AH170" s="68"/>
      <c r="AI170" s="68"/>
      <c r="AJ170" s="68"/>
      <c r="AK170" s="68"/>
    </row>
    <row r="171" spans="1:37" ht="15" customHeight="1" x14ac:dyDescent="0.25">
      <c r="A171" s="1665"/>
      <c r="B171" s="1493"/>
      <c r="C171" s="1317"/>
      <c r="D171" s="1317"/>
      <c r="E171" s="1317"/>
      <c r="F171" s="1317"/>
      <c r="G171" s="1494"/>
      <c r="H171" s="982"/>
      <c r="I171" s="1017"/>
      <c r="J171" s="1029"/>
      <c r="K171" s="1030"/>
      <c r="L171" s="1288"/>
      <c r="M171" s="1289"/>
      <c r="N171" s="1289"/>
      <c r="O171" s="1289"/>
      <c r="P171" s="1290"/>
      <c r="Q171" s="1003"/>
      <c r="R171" s="1007"/>
      <c r="S171" s="1008"/>
      <c r="T171" s="1258"/>
      <c r="U171" s="1337"/>
      <c r="Y171" s="74"/>
      <c r="Z171" s="77"/>
      <c r="AA171" s="78"/>
      <c r="AB171" s="592">
        <f t="shared" si="2"/>
        <v>0</v>
      </c>
      <c r="AC171" s="68"/>
      <c r="AD171" s="68"/>
      <c r="AE171" s="68"/>
      <c r="AF171" s="68"/>
      <c r="AG171" s="68"/>
      <c r="AH171" s="68"/>
      <c r="AI171" s="68"/>
      <c r="AJ171" s="68"/>
      <c r="AK171" s="68"/>
    </row>
    <row r="172" spans="1:37" ht="15" customHeight="1" x14ac:dyDescent="0.25">
      <c r="A172" s="1665"/>
      <c r="B172" s="1490"/>
      <c r="C172" s="1491"/>
      <c r="D172" s="1491"/>
      <c r="E172" s="1491"/>
      <c r="F172" s="1491"/>
      <c r="G172" s="1492"/>
      <c r="H172" s="983"/>
      <c r="I172" s="1017"/>
      <c r="J172" s="1029"/>
      <c r="K172" s="1030"/>
      <c r="L172" s="1291"/>
      <c r="M172" s="1292"/>
      <c r="N172" s="1292"/>
      <c r="O172" s="1292"/>
      <c r="P172" s="1293"/>
      <c r="Q172" s="1295"/>
      <c r="R172" s="1269"/>
      <c r="S172" s="1270"/>
      <c r="T172" s="1258"/>
      <c r="U172" s="1337"/>
      <c r="Y172" s="74"/>
      <c r="Z172" s="77"/>
      <c r="AA172" s="78"/>
      <c r="AB172" s="592">
        <f t="shared" si="2"/>
        <v>0</v>
      </c>
      <c r="AC172" s="68"/>
      <c r="AD172" s="68"/>
      <c r="AE172" s="68"/>
      <c r="AF172" s="68"/>
      <c r="AG172" s="68"/>
      <c r="AH172" s="68"/>
      <c r="AI172" s="68"/>
      <c r="AJ172" s="68"/>
      <c r="AK172" s="68"/>
    </row>
    <row r="173" spans="1:37" ht="15" customHeight="1" x14ac:dyDescent="0.25">
      <c r="A173" s="1665"/>
      <c r="B173" s="1487" t="s">
        <v>226</v>
      </c>
      <c r="C173" s="1488"/>
      <c r="D173" s="1488"/>
      <c r="E173" s="1488"/>
      <c r="F173" s="1488"/>
      <c r="G173" s="1489"/>
      <c r="H173" s="981" t="s">
        <v>100</v>
      </c>
      <c r="I173" s="1017"/>
      <c r="J173" s="1029"/>
      <c r="K173" s="1030"/>
      <c r="L173" s="1484"/>
      <c r="M173" s="1485"/>
      <c r="N173" s="1485"/>
      <c r="O173" s="1485"/>
      <c r="P173" s="1486"/>
      <c r="Q173" s="979" t="s">
        <v>100</v>
      </c>
      <c r="R173" s="1005"/>
      <c r="S173" s="1006"/>
      <c r="T173" s="1258"/>
      <c r="U173" s="1337"/>
      <c r="V173" s="72">
        <f>IF(AND(Q173="ja",R173=""),1,0)</f>
        <v>0</v>
      </c>
      <c r="Y173" s="74">
        <v>1E-3</v>
      </c>
      <c r="Z173" s="77">
        <f>IF(H173="ja",Y173,0)</f>
        <v>0</v>
      </c>
      <c r="AA173" s="78"/>
      <c r="AB173" s="592">
        <f t="shared" si="2"/>
        <v>0</v>
      </c>
      <c r="AC173" s="68"/>
      <c r="AD173" s="68"/>
      <c r="AE173" s="68"/>
      <c r="AF173" s="68"/>
      <c r="AG173" s="68"/>
      <c r="AH173" s="68"/>
      <c r="AI173" s="68"/>
      <c r="AJ173" s="68"/>
      <c r="AK173" s="68"/>
    </row>
    <row r="174" spans="1:37" ht="15" customHeight="1" x14ac:dyDescent="0.25">
      <c r="A174" s="1665"/>
      <c r="B174" s="1493"/>
      <c r="C174" s="1317"/>
      <c r="D174" s="1317"/>
      <c r="E174" s="1317"/>
      <c r="F174" s="1317"/>
      <c r="G174" s="1494"/>
      <c r="H174" s="982"/>
      <c r="I174" s="1017"/>
      <c r="J174" s="1029"/>
      <c r="K174" s="1030"/>
      <c r="L174" s="1288"/>
      <c r="M174" s="1289"/>
      <c r="N174" s="1289"/>
      <c r="O174" s="1289"/>
      <c r="P174" s="1290"/>
      <c r="Q174" s="1003"/>
      <c r="R174" s="1007"/>
      <c r="S174" s="1008"/>
      <c r="T174" s="1258"/>
      <c r="U174" s="1337"/>
      <c r="Y174" s="74"/>
      <c r="Z174" s="77"/>
      <c r="AA174" s="77"/>
      <c r="AB174" s="592">
        <f t="shared" si="2"/>
        <v>0</v>
      </c>
      <c r="AC174" s="68"/>
      <c r="AD174" s="68"/>
      <c r="AE174" s="68"/>
      <c r="AF174" s="68"/>
      <c r="AG174" s="68"/>
      <c r="AH174" s="68"/>
      <c r="AI174" s="68"/>
      <c r="AJ174" s="68"/>
      <c r="AK174" s="68"/>
    </row>
    <row r="175" spans="1:37" ht="15" customHeight="1" x14ac:dyDescent="0.25">
      <c r="A175" s="1665"/>
      <c r="B175" s="1490"/>
      <c r="C175" s="1491"/>
      <c r="D175" s="1491"/>
      <c r="E175" s="1491"/>
      <c r="F175" s="1491"/>
      <c r="G175" s="1492"/>
      <c r="H175" s="983"/>
      <c r="I175" s="1017"/>
      <c r="J175" s="1029"/>
      <c r="K175" s="1030"/>
      <c r="L175" s="1291"/>
      <c r="M175" s="1292"/>
      <c r="N175" s="1292"/>
      <c r="O175" s="1292"/>
      <c r="P175" s="1293"/>
      <c r="Q175" s="1295"/>
      <c r="R175" s="1269"/>
      <c r="S175" s="1270"/>
      <c r="T175" s="1258"/>
      <c r="U175" s="1337"/>
      <c r="Y175" s="74"/>
      <c r="Z175" s="77"/>
      <c r="AA175" s="78"/>
      <c r="AB175" s="592">
        <f t="shared" si="2"/>
        <v>0</v>
      </c>
      <c r="AC175" s="68"/>
      <c r="AD175" s="68"/>
      <c r="AE175" s="68"/>
      <c r="AF175" s="68"/>
      <c r="AG175" s="68"/>
      <c r="AH175" s="68"/>
      <c r="AI175" s="68"/>
      <c r="AJ175" s="68"/>
      <c r="AK175" s="68"/>
    </row>
    <row r="176" spans="1:37" ht="15" customHeight="1" x14ac:dyDescent="0.25">
      <c r="A176" s="1665"/>
      <c r="B176" s="1103" t="s">
        <v>422</v>
      </c>
      <c r="C176" s="1104"/>
      <c r="D176" s="1104"/>
      <c r="E176" s="1104"/>
      <c r="F176" s="1104"/>
      <c r="G176" s="1105"/>
      <c r="H176" s="314" t="s">
        <v>100</v>
      </c>
      <c r="I176" s="1018"/>
      <c r="J176" s="1031"/>
      <c r="K176" s="1032"/>
      <c r="L176" s="1577"/>
      <c r="M176" s="1578"/>
      <c r="N176" s="1578"/>
      <c r="O176" s="1578"/>
      <c r="P176" s="1579"/>
      <c r="Q176" s="329" t="s">
        <v>100</v>
      </c>
      <c r="R176" s="1623"/>
      <c r="S176" s="1624"/>
      <c r="T176" s="1259"/>
      <c r="U176" s="1337"/>
      <c r="V176" s="72">
        <f>IF(AND(Q176="ja",R176=""),1,0)</f>
        <v>0</v>
      </c>
      <c r="Y176" s="74">
        <v>1E-3</v>
      </c>
      <c r="Z176" s="77">
        <f>IF(H176="ja",Y176,0)</f>
        <v>0</v>
      </c>
      <c r="AA176" s="78"/>
      <c r="AB176" s="592">
        <f t="shared" si="2"/>
        <v>0</v>
      </c>
      <c r="AC176" s="68"/>
      <c r="AD176" s="68"/>
      <c r="AE176" s="68"/>
      <c r="AF176" s="68"/>
      <c r="AG176" s="68"/>
      <c r="AH176" s="68"/>
      <c r="AI176" s="68"/>
      <c r="AJ176" s="68"/>
      <c r="AK176" s="68"/>
    </row>
    <row r="177" spans="1:37" x14ac:dyDescent="0.25">
      <c r="A177" s="1665"/>
      <c r="B177" s="1511" t="s">
        <v>229</v>
      </c>
      <c r="C177" s="1512"/>
      <c r="D177" s="1512"/>
      <c r="E177" s="1512"/>
      <c r="F177" s="1512"/>
      <c r="G177" s="1513"/>
      <c r="H177" s="342"/>
      <c r="I177" s="1361"/>
      <c r="J177" s="1362"/>
      <c r="K177" s="1362"/>
      <c r="L177" s="1534">
        <f>SUM(R154:S176)</f>
        <v>0</v>
      </c>
      <c r="M177" s="1535"/>
      <c r="N177" s="1535"/>
      <c r="O177" s="1535"/>
      <c r="P177" s="1535"/>
      <c r="Q177" s="338"/>
      <c r="R177" s="1495"/>
      <c r="S177" s="1496"/>
      <c r="U177" s="334"/>
      <c r="Y177" s="74"/>
      <c r="Z177" s="152">
        <f>SUM(Z154:Z176)</f>
        <v>0</v>
      </c>
      <c r="AA177" s="78"/>
      <c r="AB177" s="592">
        <f t="shared" si="2"/>
        <v>0</v>
      </c>
      <c r="AC177" s="68"/>
      <c r="AD177" s="68"/>
      <c r="AE177" s="68"/>
      <c r="AF177" s="68"/>
      <c r="AG177" s="68"/>
      <c r="AH177" s="68"/>
      <c r="AI177" s="68"/>
      <c r="AJ177" s="68"/>
      <c r="AK177" s="68"/>
    </row>
    <row r="178" spans="1:37" ht="15" customHeight="1" x14ac:dyDescent="0.25">
      <c r="A178" s="1665"/>
      <c r="B178" s="1103" t="s">
        <v>233</v>
      </c>
      <c r="C178" s="1104"/>
      <c r="D178" s="1104"/>
      <c r="E178" s="1104"/>
      <c r="F178" s="1104"/>
      <c r="G178" s="1105"/>
      <c r="H178" s="314" t="s">
        <v>100</v>
      </c>
      <c r="I178" s="1016">
        <f>Z192</f>
        <v>0</v>
      </c>
      <c r="J178" s="1027">
        <f>I115*I178</f>
        <v>0</v>
      </c>
      <c r="K178" s="1028"/>
      <c r="L178" s="984" t="s">
        <v>423</v>
      </c>
      <c r="M178" s="985"/>
      <c r="N178" s="985"/>
      <c r="O178" s="985"/>
      <c r="P178" s="985"/>
      <c r="Q178" s="978" t="s">
        <v>100</v>
      </c>
      <c r="R178" s="972"/>
      <c r="S178" s="973"/>
      <c r="T178" s="1257" t="str">
        <f>IFERROR(IF((VLOOKUP(U178,Überblick!$M$125:$N$133,2))="ja","ja","nein"),"")</f>
        <v/>
      </c>
      <c r="U178" s="1337"/>
      <c r="V178" s="72">
        <f>IF(AND(Q178="ja",R178=""),1,0)</f>
        <v>0</v>
      </c>
      <c r="Y178" s="74">
        <v>1E-3</v>
      </c>
      <c r="Z178" s="77">
        <f>IF(H178="ja",Y178,0)</f>
        <v>0</v>
      </c>
      <c r="AA178" s="78"/>
      <c r="AB178" s="592">
        <f t="shared" si="2"/>
        <v>0</v>
      </c>
      <c r="AC178" s="68"/>
      <c r="AD178" s="68"/>
      <c r="AE178" s="68"/>
      <c r="AF178" s="68"/>
      <c r="AG178" s="68"/>
      <c r="AH178" s="68"/>
      <c r="AI178" s="68"/>
      <c r="AJ178" s="68"/>
      <c r="AK178" s="68"/>
    </row>
    <row r="179" spans="1:37" ht="15" customHeight="1" x14ac:dyDescent="0.25">
      <c r="A179" s="1665"/>
      <c r="B179" s="1487" t="s">
        <v>424</v>
      </c>
      <c r="C179" s="1488"/>
      <c r="D179" s="1488"/>
      <c r="E179" s="1488"/>
      <c r="F179" s="1488"/>
      <c r="G179" s="1489"/>
      <c r="H179" s="981" t="s">
        <v>100</v>
      </c>
      <c r="I179" s="1017"/>
      <c r="J179" s="1029"/>
      <c r="K179" s="1030"/>
      <c r="L179" s="984"/>
      <c r="M179" s="985"/>
      <c r="N179" s="985"/>
      <c r="O179" s="985"/>
      <c r="P179" s="985"/>
      <c r="Q179" s="978"/>
      <c r="R179" s="972"/>
      <c r="S179" s="973"/>
      <c r="T179" s="1258"/>
      <c r="U179" s="1337"/>
      <c r="Y179" s="74">
        <v>3.5000000000000003E-2</v>
      </c>
      <c r="Z179" s="77">
        <f>IF(H179="ja",Y179,0)</f>
        <v>0</v>
      </c>
      <c r="AA179" s="78"/>
      <c r="AB179" s="592">
        <f t="shared" si="2"/>
        <v>0</v>
      </c>
      <c r="AC179" s="68"/>
      <c r="AD179" s="68"/>
      <c r="AE179" s="68"/>
      <c r="AF179" s="68"/>
      <c r="AG179" s="68"/>
      <c r="AH179" s="68"/>
      <c r="AI179" s="68"/>
      <c r="AJ179" s="68"/>
      <c r="AK179" s="68"/>
    </row>
    <row r="180" spans="1:37" ht="15" customHeight="1" x14ac:dyDescent="0.25">
      <c r="A180" s="1665"/>
      <c r="B180" s="1493"/>
      <c r="C180" s="1317"/>
      <c r="D180" s="1317"/>
      <c r="E180" s="1317"/>
      <c r="F180" s="1317"/>
      <c r="G180" s="1494"/>
      <c r="H180" s="982"/>
      <c r="I180" s="1017"/>
      <c r="J180" s="1029"/>
      <c r="K180" s="1030"/>
      <c r="L180" s="984"/>
      <c r="M180" s="985"/>
      <c r="N180" s="985"/>
      <c r="O180" s="985"/>
      <c r="P180" s="985"/>
      <c r="Q180" s="978"/>
      <c r="R180" s="972"/>
      <c r="S180" s="973"/>
      <c r="T180" s="1258"/>
      <c r="U180" s="1337"/>
      <c r="Y180" s="74"/>
      <c r="Z180" s="77"/>
      <c r="AA180" s="78"/>
      <c r="AB180" s="592">
        <f t="shared" si="2"/>
        <v>0</v>
      </c>
      <c r="AC180" s="68"/>
      <c r="AD180" s="68"/>
      <c r="AE180" s="68"/>
      <c r="AF180" s="68"/>
      <c r="AG180" s="68"/>
      <c r="AH180" s="68"/>
      <c r="AI180" s="68"/>
      <c r="AJ180" s="68"/>
      <c r="AK180" s="68"/>
    </row>
    <row r="181" spans="1:37" ht="15" customHeight="1" x14ac:dyDescent="0.25">
      <c r="A181" s="1665"/>
      <c r="B181" s="1493"/>
      <c r="C181" s="1317"/>
      <c r="D181" s="1317"/>
      <c r="E181" s="1317"/>
      <c r="F181" s="1317"/>
      <c r="G181" s="1494"/>
      <c r="H181" s="982"/>
      <c r="I181" s="1017"/>
      <c r="J181" s="1029"/>
      <c r="K181" s="1030"/>
      <c r="L181" s="984"/>
      <c r="M181" s="985"/>
      <c r="N181" s="985"/>
      <c r="O181" s="985"/>
      <c r="P181" s="985"/>
      <c r="Q181" s="978" t="s">
        <v>100</v>
      </c>
      <c r="R181" s="972"/>
      <c r="S181" s="973"/>
      <c r="T181" s="1258"/>
      <c r="U181" s="1337"/>
      <c r="V181" s="72">
        <f>IF(AND(Q181="ja",R181=""),1,0)</f>
        <v>0</v>
      </c>
      <c r="Y181" s="74"/>
      <c r="Z181" s="77"/>
      <c r="AA181" s="78"/>
      <c r="AB181" s="592">
        <f t="shared" si="2"/>
        <v>0</v>
      </c>
      <c r="AC181" s="68"/>
      <c r="AD181" s="68"/>
      <c r="AE181" s="68"/>
      <c r="AF181" s="68"/>
      <c r="AG181" s="68"/>
      <c r="AH181" s="68"/>
      <c r="AI181" s="68"/>
      <c r="AJ181" s="68"/>
      <c r="AK181" s="68"/>
    </row>
    <row r="182" spans="1:37" ht="15" customHeight="1" x14ac:dyDescent="0.25">
      <c r="A182" s="1665"/>
      <c r="B182" s="1493"/>
      <c r="C182" s="1317"/>
      <c r="D182" s="1317"/>
      <c r="E182" s="1317"/>
      <c r="F182" s="1317"/>
      <c r="G182" s="1494"/>
      <c r="H182" s="982"/>
      <c r="I182" s="1017"/>
      <c r="J182" s="1029"/>
      <c r="K182" s="1030"/>
      <c r="L182" s="984"/>
      <c r="M182" s="985"/>
      <c r="N182" s="985"/>
      <c r="O182" s="985"/>
      <c r="P182" s="985"/>
      <c r="Q182" s="978"/>
      <c r="R182" s="972"/>
      <c r="S182" s="973"/>
      <c r="T182" s="1258"/>
      <c r="U182" s="1337"/>
      <c r="Y182" s="74"/>
      <c r="Z182" s="77"/>
      <c r="AA182" s="78"/>
      <c r="AB182" s="592">
        <f t="shared" si="2"/>
        <v>0</v>
      </c>
      <c r="AC182" s="68"/>
      <c r="AD182" s="68"/>
      <c r="AE182" s="68"/>
      <c r="AF182" s="68"/>
      <c r="AG182" s="68"/>
      <c r="AH182" s="68"/>
      <c r="AI182" s="68"/>
      <c r="AJ182" s="68"/>
      <c r="AK182" s="68"/>
    </row>
    <row r="183" spans="1:37" ht="15" customHeight="1" x14ac:dyDescent="0.25">
      <c r="A183" s="1665"/>
      <c r="B183" s="1490"/>
      <c r="C183" s="1491"/>
      <c r="D183" s="1491"/>
      <c r="E183" s="1491"/>
      <c r="F183" s="1491"/>
      <c r="G183" s="1492"/>
      <c r="H183" s="983"/>
      <c r="I183" s="1017"/>
      <c r="J183" s="1029"/>
      <c r="K183" s="1030"/>
      <c r="L183" s="984"/>
      <c r="M183" s="985"/>
      <c r="N183" s="985"/>
      <c r="O183" s="985"/>
      <c r="P183" s="985"/>
      <c r="Q183" s="978"/>
      <c r="R183" s="972"/>
      <c r="S183" s="973"/>
      <c r="T183" s="1258"/>
      <c r="U183" s="1337"/>
      <c r="Y183" s="74"/>
      <c r="Z183" s="77"/>
      <c r="AA183" s="78"/>
      <c r="AB183" s="592">
        <f t="shared" si="2"/>
        <v>0</v>
      </c>
      <c r="AC183" s="68"/>
      <c r="AD183" s="68"/>
      <c r="AE183" s="68"/>
      <c r="AF183" s="68"/>
      <c r="AG183" s="68"/>
      <c r="AH183" s="68"/>
      <c r="AI183" s="68"/>
      <c r="AJ183" s="68"/>
      <c r="AK183" s="68"/>
    </row>
    <row r="184" spans="1:37" ht="15" customHeight="1" x14ac:dyDescent="0.25">
      <c r="A184" s="1665"/>
      <c r="B184" s="1103" t="s">
        <v>237</v>
      </c>
      <c r="C184" s="1104"/>
      <c r="D184" s="1104"/>
      <c r="E184" s="1104"/>
      <c r="F184" s="1104"/>
      <c r="G184" s="1105"/>
      <c r="H184" s="314" t="s">
        <v>100</v>
      </c>
      <c r="I184" s="1017"/>
      <c r="J184" s="1029"/>
      <c r="K184" s="1030"/>
      <c r="L184" s="984" t="s">
        <v>236</v>
      </c>
      <c r="M184" s="985"/>
      <c r="N184" s="985"/>
      <c r="O184" s="985"/>
      <c r="P184" s="985"/>
      <c r="Q184" s="978" t="s">
        <v>100</v>
      </c>
      <c r="R184" s="972"/>
      <c r="S184" s="973"/>
      <c r="T184" s="1258"/>
      <c r="U184" s="1337"/>
      <c r="V184" s="72">
        <f>IF(AND(Q184="ja",R184=""),1,0)</f>
        <v>0</v>
      </c>
      <c r="Y184" s="74">
        <v>5.0000000000000001E-3</v>
      </c>
      <c r="Z184" s="77">
        <f>IF(H184="ja",Y184,0)</f>
        <v>0</v>
      </c>
      <c r="AA184" s="78"/>
      <c r="AB184" s="592">
        <f t="shared" si="2"/>
        <v>0</v>
      </c>
      <c r="AC184" s="68"/>
      <c r="AD184" s="68"/>
      <c r="AE184" s="68"/>
      <c r="AF184" s="68"/>
      <c r="AG184" s="68"/>
      <c r="AH184" s="68"/>
      <c r="AI184" s="68"/>
      <c r="AJ184" s="68"/>
      <c r="AK184" s="68"/>
    </row>
    <row r="185" spans="1:37" ht="15" customHeight="1" x14ac:dyDescent="0.25">
      <c r="A185" s="1665"/>
      <c r="B185" s="1487" t="s">
        <v>425</v>
      </c>
      <c r="C185" s="1488"/>
      <c r="D185" s="1488"/>
      <c r="E185" s="1488"/>
      <c r="F185" s="1488"/>
      <c r="G185" s="1489"/>
      <c r="H185" s="981" t="s">
        <v>100</v>
      </c>
      <c r="I185" s="1017"/>
      <c r="J185" s="1029"/>
      <c r="K185" s="1030"/>
      <c r="L185" s="984"/>
      <c r="M185" s="985"/>
      <c r="N185" s="985"/>
      <c r="O185" s="985"/>
      <c r="P185" s="985"/>
      <c r="Q185" s="978"/>
      <c r="R185" s="972"/>
      <c r="S185" s="973"/>
      <c r="T185" s="1258"/>
      <c r="U185" s="1337"/>
      <c r="Y185" s="74">
        <v>2.5000000000000001E-3</v>
      </c>
      <c r="Z185" s="77">
        <f>IF(H185="ja",Y185,0)</f>
        <v>0</v>
      </c>
      <c r="AA185" s="78"/>
      <c r="AB185" s="592">
        <f t="shared" si="2"/>
        <v>0</v>
      </c>
      <c r="AC185" s="68"/>
      <c r="AD185" s="68"/>
      <c r="AE185" s="68"/>
      <c r="AF185" s="68"/>
      <c r="AG185" s="68"/>
      <c r="AH185" s="68"/>
      <c r="AI185" s="68"/>
      <c r="AJ185" s="68"/>
      <c r="AK185" s="68"/>
    </row>
    <row r="186" spans="1:37" ht="15" customHeight="1" x14ac:dyDescent="0.25">
      <c r="A186" s="1665"/>
      <c r="B186" s="1493"/>
      <c r="C186" s="1317"/>
      <c r="D186" s="1317"/>
      <c r="E186" s="1317"/>
      <c r="F186" s="1317"/>
      <c r="G186" s="1494"/>
      <c r="H186" s="982"/>
      <c r="I186" s="1017"/>
      <c r="J186" s="1029"/>
      <c r="K186" s="1030"/>
      <c r="L186" s="984"/>
      <c r="M186" s="985"/>
      <c r="N186" s="985"/>
      <c r="O186" s="985"/>
      <c r="P186" s="985"/>
      <c r="Q186" s="978"/>
      <c r="R186" s="972"/>
      <c r="S186" s="973"/>
      <c r="T186" s="1258"/>
      <c r="U186" s="1337"/>
      <c r="Y186" s="74"/>
      <c r="Z186" s="77"/>
      <c r="AA186" s="78"/>
      <c r="AB186" s="592">
        <f t="shared" si="2"/>
        <v>0</v>
      </c>
      <c r="AC186" s="68"/>
      <c r="AD186" s="68"/>
      <c r="AE186" s="68"/>
      <c r="AF186" s="68"/>
      <c r="AG186" s="68"/>
      <c r="AH186" s="68"/>
      <c r="AI186" s="68"/>
      <c r="AJ186" s="68"/>
      <c r="AK186" s="68"/>
    </row>
    <row r="187" spans="1:37" ht="15" customHeight="1" x14ac:dyDescent="0.25">
      <c r="A187" s="1665"/>
      <c r="B187" s="1490"/>
      <c r="C187" s="1491"/>
      <c r="D187" s="1491"/>
      <c r="E187" s="1491"/>
      <c r="F187" s="1491"/>
      <c r="G187" s="1492"/>
      <c r="H187" s="983"/>
      <c r="I187" s="1017"/>
      <c r="J187" s="1029"/>
      <c r="K187" s="1030"/>
      <c r="L187" s="984"/>
      <c r="M187" s="985"/>
      <c r="N187" s="985"/>
      <c r="O187" s="985"/>
      <c r="P187" s="985"/>
      <c r="Q187" s="978" t="s">
        <v>100</v>
      </c>
      <c r="R187" s="972"/>
      <c r="S187" s="973"/>
      <c r="T187" s="1258"/>
      <c r="U187" s="1337"/>
      <c r="V187" s="72">
        <f>IF(AND(Q187="ja",R187=""),1,0)</f>
        <v>0</v>
      </c>
      <c r="Y187" s="74"/>
      <c r="Z187" s="77"/>
      <c r="AA187" s="78"/>
      <c r="AB187" s="592">
        <f t="shared" si="2"/>
        <v>0</v>
      </c>
      <c r="AC187" s="68"/>
      <c r="AD187" s="68"/>
      <c r="AE187" s="68"/>
      <c r="AF187" s="68"/>
      <c r="AG187" s="68"/>
      <c r="AH187" s="68"/>
      <c r="AI187" s="68"/>
      <c r="AJ187" s="68"/>
      <c r="AK187" s="68"/>
    </row>
    <row r="188" spans="1:37" ht="15" customHeight="1" x14ac:dyDescent="0.25">
      <c r="A188" s="1665"/>
      <c r="B188" s="1487" t="s">
        <v>426</v>
      </c>
      <c r="C188" s="1488"/>
      <c r="D188" s="1488"/>
      <c r="E188" s="1488"/>
      <c r="F188" s="1488"/>
      <c r="G188" s="1489"/>
      <c r="H188" s="981" t="s">
        <v>100</v>
      </c>
      <c r="I188" s="1017"/>
      <c r="J188" s="1029"/>
      <c r="K188" s="1030"/>
      <c r="L188" s="984"/>
      <c r="M188" s="985"/>
      <c r="N188" s="985"/>
      <c r="O188" s="985"/>
      <c r="P188" s="985"/>
      <c r="Q188" s="978"/>
      <c r="R188" s="972"/>
      <c r="S188" s="973"/>
      <c r="T188" s="1258"/>
      <c r="U188" s="1337"/>
      <c r="Y188" s="74">
        <v>5.0000000000000001E-3</v>
      </c>
      <c r="Z188" s="77">
        <f>IF(H188="ja",Y188,0)</f>
        <v>0</v>
      </c>
      <c r="AA188" s="78"/>
      <c r="AB188" s="592">
        <f t="shared" si="2"/>
        <v>0</v>
      </c>
      <c r="AC188" s="68"/>
      <c r="AD188" s="68"/>
      <c r="AE188" s="68"/>
      <c r="AF188" s="68"/>
      <c r="AG188" s="68"/>
      <c r="AH188" s="68"/>
      <c r="AI188" s="68"/>
      <c r="AJ188" s="68"/>
      <c r="AK188" s="68"/>
    </row>
    <row r="189" spans="1:37" ht="15" customHeight="1" x14ac:dyDescent="0.25">
      <c r="A189" s="1665"/>
      <c r="B189" s="1490"/>
      <c r="C189" s="1491"/>
      <c r="D189" s="1491"/>
      <c r="E189" s="1491"/>
      <c r="F189" s="1491"/>
      <c r="G189" s="1492"/>
      <c r="H189" s="983"/>
      <c r="I189" s="1017"/>
      <c r="J189" s="1029"/>
      <c r="K189" s="1030"/>
      <c r="L189" s="984"/>
      <c r="M189" s="985"/>
      <c r="N189" s="985"/>
      <c r="O189" s="985"/>
      <c r="P189" s="985"/>
      <c r="Q189" s="978"/>
      <c r="R189" s="972"/>
      <c r="S189" s="973"/>
      <c r="T189" s="1258"/>
      <c r="U189" s="1337"/>
      <c r="Y189" s="74"/>
      <c r="Z189" s="77"/>
      <c r="AA189" s="77"/>
      <c r="AB189" s="592">
        <f t="shared" si="2"/>
        <v>0</v>
      </c>
      <c r="AC189" s="68"/>
      <c r="AD189" s="68"/>
      <c r="AE189" s="68"/>
      <c r="AF189" s="68"/>
      <c r="AG189" s="68"/>
      <c r="AH189" s="68"/>
      <c r="AI189" s="68"/>
      <c r="AJ189" s="68"/>
      <c r="AK189" s="68"/>
    </row>
    <row r="190" spans="1:37" ht="15" customHeight="1" x14ac:dyDescent="0.25">
      <c r="A190" s="1665"/>
      <c r="B190" s="1487" t="s">
        <v>427</v>
      </c>
      <c r="C190" s="1488"/>
      <c r="D190" s="1488"/>
      <c r="E190" s="1488"/>
      <c r="F190" s="1488"/>
      <c r="G190" s="1489"/>
      <c r="H190" s="981" t="s">
        <v>100</v>
      </c>
      <c r="I190" s="1017"/>
      <c r="J190" s="1029"/>
      <c r="K190" s="1030"/>
      <c r="L190" s="1539"/>
      <c r="M190" s="1540"/>
      <c r="N190" s="1540"/>
      <c r="O190" s="1540"/>
      <c r="P190" s="1540"/>
      <c r="Q190" s="978" t="s">
        <v>100</v>
      </c>
      <c r="R190" s="972"/>
      <c r="S190" s="973"/>
      <c r="T190" s="1258"/>
      <c r="U190" s="1337"/>
      <c r="V190" s="72">
        <f>IF(AND(Q190="ja",R190=""),1,0)</f>
        <v>0</v>
      </c>
      <c r="Y190" s="74">
        <v>1.5E-3</v>
      </c>
      <c r="Z190" s="77">
        <f>IF(H190="ja",Y190,0)</f>
        <v>0</v>
      </c>
      <c r="AA190" s="78"/>
      <c r="AB190" s="592">
        <f t="shared" si="2"/>
        <v>0</v>
      </c>
      <c r="AC190" s="68"/>
      <c r="AD190" s="68"/>
      <c r="AE190" s="68"/>
      <c r="AF190" s="68"/>
      <c r="AG190" s="68"/>
      <c r="AH190" s="68"/>
      <c r="AI190" s="68"/>
      <c r="AJ190" s="68"/>
      <c r="AK190" s="68"/>
    </row>
    <row r="191" spans="1:37" ht="15" customHeight="1" x14ac:dyDescent="0.25">
      <c r="A191" s="1665"/>
      <c r="B191" s="1490"/>
      <c r="C191" s="1491"/>
      <c r="D191" s="1491"/>
      <c r="E191" s="1491"/>
      <c r="F191" s="1491"/>
      <c r="G191" s="1492"/>
      <c r="H191" s="983"/>
      <c r="I191" s="1018"/>
      <c r="J191" s="1031"/>
      <c r="K191" s="1032"/>
      <c r="L191" s="1541"/>
      <c r="M191" s="1542"/>
      <c r="N191" s="1542"/>
      <c r="O191" s="1542"/>
      <c r="P191" s="1542"/>
      <c r="Q191" s="979"/>
      <c r="R191" s="974"/>
      <c r="S191" s="975"/>
      <c r="T191" s="1259"/>
      <c r="U191" s="1337"/>
      <c r="Y191" s="74"/>
      <c r="Z191" s="77"/>
      <c r="AA191" s="78"/>
      <c r="AB191" s="592">
        <f t="shared" si="2"/>
        <v>0</v>
      </c>
      <c r="AC191" s="68"/>
      <c r="AD191" s="68"/>
      <c r="AE191" s="68"/>
      <c r="AF191" s="68"/>
      <c r="AG191" s="68"/>
      <c r="AH191" s="68"/>
      <c r="AI191" s="68"/>
      <c r="AJ191" s="68"/>
      <c r="AK191" s="68"/>
    </row>
    <row r="192" spans="1:37" x14ac:dyDescent="0.25">
      <c r="A192" s="1665"/>
      <c r="B192" s="1511" t="s">
        <v>428</v>
      </c>
      <c r="C192" s="1512"/>
      <c r="D192" s="1512"/>
      <c r="E192" s="1512"/>
      <c r="F192" s="1512"/>
      <c r="G192" s="1513"/>
      <c r="H192" s="342"/>
      <c r="I192" s="1361"/>
      <c r="J192" s="1362"/>
      <c r="K192" s="1362"/>
      <c r="L192" s="1534">
        <f>SUM(R178:S191)</f>
        <v>0</v>
      </c>
      <c r="M192" s="1535"/>
      <c r="N192" s="1535"/>
      <c r="O192" s="1535"/>
      <c r="P192" s="1535"/>
      <c r="Q192" s="338"/>
      <c r="R192" s="1495"/>
      <c r="S192" s="1496"/>
      <c r="U192" s="334"/>
      <c r="Y192" s="74"/>
      <c r="Z192" s="152">
        <f>SUM(Z178:Z190)</f>
        <v>0</v>
      </c>
      <c r="AA192" s="78"/>
      <c r="AB192" s="592">
        <f t="shared" si="2"/>
        <v>0</v>
      </c>
      <c r="AC192" s="68"/>
      <c r="AD192" s="68"/>
      <c r="AE192" s="68"/>
      <c r="AF192" s="68"/>
      <c r="AG192" s="68"/>
      <c r="AH192" s="68"/>
      <c r="AI192" s="68"/>
      <c r="AJ192" s="68"/>
      <c r="AK192" s="68"/>
    </row>
    <row r="193" spans="1:37" ht="15" customHeight="1" x14ac:dyDescent="0.25">
      <c r="A193" s="1665"/>
      <c r="B193" s="1497" t="s">
        <v>429</v>
      </c>
      <c r="C193" s="1498"/>
      <c r="D193" s="1498"/>
      <c r="E193" s="1498"/>
      <c r="F193" s="1498"/>
      <c r="G193" s="1499"/>
      <c r="H193" s="1194" t="s">
        <v>100</v>
      </c>
      <c r="I193" s="1016">
        <f>Z234</f>
        <v>0</v>
      </c>
      <c r="J193" s="1027">
        <f>I115*I193</f>
        <v>0</v>
      </c>
      <c r="K193" s="1028"/>
      <c r="L193" s="1285" t="s">
        <v>430</v>
      </c>
      <c r="M193" s="1286"/>
      <c r="N193" s="1286"/>
      <c r="O193" s="1286"/>
      <c r="P193" s="1287"/>
      <c r="Q193" s="1294" t="s">
        <v>100</v>
      </c>
      <c r="R193" s="1626"/>
      <c r="S193" s="1297"/>
      <c r="T193" s="1257" t="str">
        <f>IFERROR(IF((VLOOKUP(U193,Überblick!$M$125:$N$133,2))="ja","ja","nein"),"")</f>
        <v/>
      </c>
      <c r="U193" s="1337"/>
      <c r="V193" s="72">
        <f>IF(AND(Q193="ja",R193=""),1,0)</f>
        <v>0</v>
      </c>
      <c r="Y193" s="74">
        <v>0.17499999999999999</v>
      </c>
      <c r="Z193" s="77">
        <f>IF(H193="ja",Y193,0)</f>
        <v>0</v>
      </c>
      <c r="AA193" s="78"/>
      <c r="AB193" s="592">
        <f t="shared" si="2"/>
        <v>0</v>
      </c>
      <c r="AC193" s="68"/>
      <c r="AD193" s="68"/>
      <c r="AE193" s="68"/>
      <c r="AF193" s="68"/>
      <c r="AG193" s="68"/>
      <c r="AH193" s="68"/>
      <c r="AI193" s="68"/>
      <c r="AJ193" s="68"/>
      <c r="AK193" s="68"/>
    </row>
    <row r="194" spans="1:37" ht="15" customHeight="1" x14ac:dyDescent="0.25">
      <c r="A194" s="1665"/>
      <c r="B194" s="1493"/>
      <c r="C194" s="1317"/>
      <c r="D194" s="1317"/>
      <c r="E194" s="1317"/>
      <c r="F194" s="1317"/>
      <c r="G194" s="1494"/>
      <c r="H194" s="982"/>
      <c r="I194" s="1017"/>
      <c r="J194" s="1029"/>
      <c r="K194" s="1030"/>
      <c r="L194" s="1288"/>
      <c r="M194" s="1289"/>
      <c r="N194" s="1289"/>
      <c r="O194" s="1289"/>
      <c r="P194" s="1290"/>
      <c r="Q194" s="1003"/>
      <c r="R194" s="1627"/>
      <c r="S194" s="1008"/>
      <c r="T194" s="1258"/>
      <c r="U194" s="1337"/>
      <c r="Y194" s="74"/>
      <c r="Z194" s="77"/>
      <c r="AA194" s="78"/>
      <c r="AB194" s="592">
        <f t="shared" si="2"/>
        <v>0</v>
      </c>
      <c r="AC194" s="68"/>
      <c r="AD194" s="68"/>
      <c r="AE194" s="68"/>
      <c r="AF194" s="68"/>
      <c r="AG194" s="68"/>
      <c r="AH194" s="68"/>
      <c r="AI194" s="68"/>
      <c r="AJ194" s="68"/>
      <c r="AK194" s="68"/>
    </row>
    <row r="195" spans="1:37" ht="15" customHeight="1" x14ac:dyDescent="0.25">
      <c r="A195" s="1665"/>
      <c r="B195" s="1493"/>
      <c r="C195" s="1317"/>
      <c r="D195" s="1317"/>
      <c r="E195" s="1317"/>
      <c r="F195" s="1317"/>
      <c r="G195" s="1494"/>
      <c r="H195" s="982"/>
      <c r="I195" s="1017"/>
      <c r="J195" s="1029"/>
      <c r="K195" s="1030"/>
      <c r="L195" s="1288"/>
      <c r="M195" s="1289"/>
      <c r="N195" s="1289"/>
      <c r="O195" s="1289"/>
      <c r="P195" s="1290"/>
      <c r="Q195" s="1003"/>
      <c r="R195" s="1627"/>
      <c r="S195" s="1008"/>
      <c r="T195" s="1258"/>
      <c r="U195" s="1337"/>
      <c r="Y195" s="74"/>
      <c r="Z195" s="77"/>
      <c r="AA195" s="78"/>
      <c r="AB195" s="592">
        <f t="shared" si="2"/>
        <v>0</v>
      </c>
      <c r="AC195" s="68"/>
      <c r="AD195" s="68"/>
      <c r="AE195" s="68"/>
      <c r="AF195" s="68"/>
      <c r="AG195" s="68"/>
      <c r="AH195" s="68"/>
      <c r="AI195" s="68"/>
      <c r="AJ195" s="68"/>
      <c r="AK195" s="68"/>
    </row>
    <row r="196" spans="1:37" ht="15" customHeight="1" x14ac:dyDescent="0.25">
      <c r="A196" s="1665"/>
      <c r="B196" s="1493"/>
      <c r="C196" s="1317"/>
      <c r="D196" s="1317"/>
      <c r="E196" s="1317"/>
      <c r="F196" s="1317"/>
      <c r="G196" s="1494"/>
      <c r="H196" s="982"/>
      <c r="I196" s="1017"/>
      <c r="J196" s="1029"/>
      <c r="K196" s="1030"/>
      <c r="L196" s="1288"/>
      <c r="M196" s="1289"/>
      <c r="N196" s="1289"/>
      <c r="O196" s="1289"/>
      <c r="P196" s="1290"/>
      <c r="Q196" s="1003"/>
      <c r="R196" s="1627"/>
      <c r="S196" s="1008"/>
      <c r="T196" s="1258"/>
      <c r="U196" s="1337"/>
      <c r="V196" s="72">
        <f>IF(AND(Q196="ja",R196=""),1,0)</f>
        <v>0</v>
      </c>
      <c r="Y196" s="74"/>
      <c r="Z196" s="77"/>
      <c r="AA196" s="78"/>
      <c r="AB196" s="592">
        <f t="shared" si="2"/>
        <v>0</v>
      </c>
      <c r="AC196" s="68"/>
      <c r="AD196" s="68"/>
      <c r="AE196" s="68"/>
      <c r="AF196" s="68"/>
      <c r="AG196" s="68"/>
      <c r="AH196" s="68"/>
      <c r="AI196" s="68"/>
      <c r="AJ196" s="68"/>
      <c r="AK196" s="68"/>
    </row>
    <row r="197" spans="1:37" ht="15" customHeight="1" x14ac:dyDescent="0.25">
      <c r="A197" s="1665"/>
      <c r="B197" s="1493"/>
      <c r="C197" s="1317"/>
      <c r="D197" s="1317"/>
      <c r="E197" s="1317"/>
      <c r="F197" s="1317"/>
      <c r="G197" s="1494"/>
      <c r="H197" s="982"/>
      <c r="I197" s="1017"/>
      <c r="J197" s="1029"/>
      <c r="K197" s="1030"/>
      <c r="L197" s="1288"/>
      <c r="M197" s="1289"/>
      <c r="N197" s="1289"/>
      <c r="O197" s="1289"/>
      <c r="P197" s="1290"/>
      <c r="Q197" s="1003"/>
      <c r="R197" s="1627"/>
      <c r="S197" s="1008"/>
      <c r="T197" s="1258"/>
      <c r="U197" s="1337"/>
      <c r="Y197" s="74"/>
      <c r="Z197" s="77"/>
      <c r="AA197" s="78"/>
      <c r="AB197" s="592">
        <f t="shared" si="2"/>
        <v>0</v>
      </c>
      <c r="AC197" s="68"/>
      <c r="AD197" s="68"/>
      <c r="AE197" s="68"/>
      <c r="AF197" s="68"/>
      <c r="AG197" s="68"/>
      <c r="AH197" s="68"/>
      <c r="AI197" s="68"/>
      <c r="AJ197" s="68"/>
      <c r="AK197" s="68"/>
    </row>
    <row r="198" spans="1:37" ht="15" customHeight="1" x14ac:dyDescent="0.25">
      <c r="A198" s="1665"/>
      <c r="B198" s="1493"/>
      <c r="C198" s="1317"/>
      <c r="D198" s="1317"/>
      <c r="E198" s="1317"/>
      <c r="F198" s="1317"/>
      <c r="G198" s="1494"/>
      <c r="H198" s="982"/>
      <c r="I198" s="1017"/>
      <c r="J198" s="1029"/>
      <c r="K198" s="1030"/>
      <c r="L198" s="1288"/>
      <c r="M198" s="1289"/>
      <c r="N198" s="1289"/>
      <c r="O198" s="1289"/>
      <c r="P198" s="1290"/>
      <c r="Q198" s="1003"/>
      <c r="R198" s="1627"/>
      <c r="S198" s="1008"/>
      <c r="T198" s="1258"/>
      <c r="U198" s="1337"/>
      <c r="Y198" s="74"/>
      <c r="Z198" s="77"/>
      <c r="AA198" s="78"/>
      <c r="AB198" s="592">
        <f t="shared" si="2"/>
        <v>0</v>
      </c>
      <c r="AC198" s="68"/>
      <c r="AD198" s="68"/>
      <c r="AE198" s="68"/>
      <c r="AF198" s="68"/>
      <c r="AG198" s="68"/>
      <c r="AH198" s="68"/>
      <c r="AI198" s="68"/>
      <c r="AJ198" s="68"/>
      <c r="AK198" s="68"/>
    </row>
    <row r="199" spans="1:37" ht="15" customHeight="1" x14ac:dyDescent="0.25">
      <c r="A199" s="1665"/>
      <c r="B199" s="1490"/>
      <c r="C199" s="1491"/>
      <c r="D199" s="1491"/>
      <c r="E199" s="1491"/>
      <c r="F199" s="1491"/>
      <c r="G199" s="1492"/>
      <c r="H199" s="983"/>
      <c r="I199" s="1017"/>
      <c r="J199" s="1029"/>
      <c r="K199" s="1030"/>
      <c r="L199" s="1288"/>
      <c r="M199" s="1289"/>
      <c r="N199" s="1289"/>
      <c r="O199" s="1289"/>
      <c r="P199" s="1290"/>
      <c r="Q199" s="1003"/>
      <c r="R199" s="1627"/>
      <c r="S199" s="1008"/>
      <c r="T199" s="1258"/>
      <c r="U199" s="1337"/>
      <c r="V199" s="72">
        <f>IF(AND(Q199="ja",R199=""),1,0)</f>
        <v>0</v>
      </c>
      <c r="Y199" s="74"/>
      <c r="Z199" s="77"/>
      <c r="AA199" s="78"/>
      <c r="AB199" s="592">
        <f t="shared" si="2"/>
        <v>0</v>
      </c>
      <c r="AC199" s="68"/>
      <c r="AD199" s="68"/>
      <c r="AE199" s="68"/>
      <c r="AF199" s="68"/>
      <c r="AG199" s="68"/>
      <c r="AH199" s="68"/>
      <c r="AI199" s="68"/>
      <c r="AJ199" s="68"/>
      <c r="AK199" s="68"/>
    </row>
    <row r="200" spans="1:37" ht="15" customHeight="1" x14ac:dyDescent="0.25">
      <c r="A200" s="1665"/>
      <c r="B200" s="1103" t="s">
        <v>431</v>
      </c>
      <c r="C200" s="1104"/>
      <c r="D200" s="1104"/>
      <c r="E200" s="1104"/>
      <c r="F200" s="1104"/>
      <c r="G200" s="1105"/>
      <c r="H200" s="314" t="s">
        <v>100</v>
      </c>
      <c r="I200" s="1017"/>
      <c r="J200" s="1029"/>
      <c r="K200" s="1030"/>
      <c r="L200" s="1288"/>
      <c r="M200" s="1289"/>
      <c r="N200" s="1289"/>
      <c r="O200" s="1289"/>
      <c r="P200" s="1290"/>
      <c r="Q200" s="1003"/>
      <c r="R200" s="1627"/>
      <c r="S200" s="1008"/>
      <c r="T200" s="1258"/>
      <c r="U200" s="1337"/>
      <c r="Y200" s="74">
        <v>3.0000000000000001E-3</v>
      </c>
      <c r="Z200" s="77">
        <f>IF(H200="ja",Y200,0)</f>
        <v>0</v>
      </c>
      <c r="AA200" s="78"/>
      <c r="AB200" s="592">
        <f t="shared" si="2"/>
        <v>0</v>
      </c>
      <c r="AC200" s="68"/>
      <c r="AD200" s="68"/>
      <c r="AE200" s="68"/>
      <c r="AF200" s="68"/>
      <c r="AG200" s="68"/>
      <c r="AH200" s="68"/>
      <c r="AI200" s="68"/>
      <c r="AJ200" s="68"/>
      <c r="AK200" s="68"/>
    </row>
    <row r="201" spans="1:37" ht="15" customHeight="1" x14ac:dyDescent="0.25">
      <c r="A201" s="1665"/>
      <c r="B201" s="1487" t="s">
        <v>432</v>
      </c>
      <c r="C201" s="1488"/>
      <c r="D201" s="1488"/>
      <c r="E201" s="1488"/>
      <c r="F201" s="1488"/>
      <c r="G201" s="1489"/>
      <c r="H201" s="981" t="s">
        <v>100</v>
      </c>
      <c r="I201" s="1017"/>
      <c r="J201" s="1029"/>
      <c r="K201" s="1030"/>
      <c r="L201" s="1288"/>
      <c r="M201" s="1289"/>
      <c r="N201" s="1289"/>
      <c r="O201" s="1289"/>
      <c r="P201" s="1290"/>
      <c r="Q201" s="1003"/>
      <c r="R201" s="1627"/>
      <c r="S201" s="1008"/>
      <c r="T201" s="1258"/>
      <c r="U201" s="1337"/>
      <c r="Y201" s="74">
        <v>6.4999999999999997E-3</v>
      </c>
      <c r="Z201" s="77">
        <f>IF(H201="ja",Y201,0)</f>
        <v>0</v>
      </c>
      <c r="AA201" s="78"/>
      <c r="AB201" s="592">
        <f t="shared" si="2"/>
        <v>0</v>
      </c>
      <c r="AC201" s="68"/>
      <c r="AD201" s="68"/>
      <c r="AE201" s="68"/>
      <c r="AF201" s="68"/>
      <c r="AG201" s="68"/>
      <c r="AH201" s="68"/>
      <c r="AI201" s="68"/>
      <c r="AJ201" s="68"/>
      <c r="AK201" s="68"/>
    </row>
    <row r="202" spans="1:37" ht="15" customHeight="1" x14ac:dyDescent="0.25">
      <c r="A202" s="1665"/>
      <c r="B202" s="1490"/>
      <c r="C202" s="1491"/>
      <c r="D202" s="1491"/>
      <c r="E202" s="1491"/>
      <c r="F202" s="1491"/>
      <c r="G202" s="1492"/>
      <c r="H202" s="983"/>
      <c r="I202" s="1017"/>
      <c r="J202" s="1029"/>
      <c r="K202" s="1030"/>
      <c r="L202" s="1288"/>
      <c r="M202" s="1289"/>
      <c r="N202" s="1289"/>
      <c r="O202" s="1289"/>
      <c r="P202" s="1290"/>
      <c r="Q202" s="1295"/>
      <c r="R202" s="1628"/>
      <c r="S202" s="1270"/>
      <c r="T202" s="1258"/>
      <c r="U202" s="1337"/>
      <c r="V202" s="72">
        <f>IF(AND(Q202="ja",R202=""),1,0)</f>
        <v>0</v>
      </c>
      <c r="Y202" s="74"/>
      <c r="Z202" s="77"/>
      <c r="AA202" s="78"/>
      <c r="AB202" s="592">
        <f t="shared" si="2"/>
        <v>0</v>
      </c>
      <c r="AC202" s="68"/>
      <c r="AD202" s="68"/>
      <c r="AE202" s="68"/>
      <c r="AF202" s="68"/>
      <c r="AG202" s="68"/>
      <c r="AH202" s="68"/>
      <c r="AI202" s="68"/>
      <c r="AJ202" s="68"/>
      <c r="AK202" s="68"/>
    </row>
    <row r="203" spans="1:37" ht="15" customHeight="1" x14ac:dyDescent="0.25">
      <c r="A203" s="1665"/>
      <c r="B203" s="1103" t="s">
        <v>433</v>
      </c>
      <c r="C203" s="1104"/>
      <c r="D203" s="1104"/>
      <c r="E203" s="1104"/>
      <c r="F203" s="1104"/>
      <c r="G203" s="1105"/>
      <c r="H203" s="314" t="s">
        <v>100</v>
      </c>
      <c r="I203" s="1017"/>
      <c r="J203" s="1029"/>
      <c r="K203" s="1030"/>
      <c r="L203" s="1484" t="s">
        <v>247</v>
      </c>
      <c r="M203" s="1485"/>
      <c r="N203" s="1485"/>
      <c r="O203" s="1485"/>
      <c r="P203" s="1486"/>
      <c r="Q203" s="979" t="s">
        <v>100</v>
      </c>
      <c r="R203" s="1007"/>
      <c r="S203" s="1008"/>
      <c r="T203" s="1258"/>
      <c r="U203" s="1337"/>
      <c r="Y203" s="74">
        <v>5.0000000000000001E-3</v>
      </c>
      <c r="Z203" s="77">
        <f>IF(H203="ja",Y203,0)</f>
        <v>0</v>
      </c>
      <c r="AA203" s="78"/>
      <c r="AB203" s="592">
        <f t="shared" si="2"/>
        <v>0</v>
      </c>
      <c r="AC203" s="68"/>
      <c r="AD203" s="68"/>
      <c r="AE203" s="68"/>
      <c r="AF203" s="68"/>
      <c r="AG203" s="68"/>
      <c r="AH203" s="68"/>
      <c r="AI203" s="68"/>
      <c r="AJ203" s="68"/>
      <c r="AK203" s="68"/>
    </row>
    <row r="204" spans="1:37" ht="15" customHeight="1" x14ac:dyDescent="0.25">
      <c r="A204" s="1665"/>
      <c r="B204" s="1487" t="s">
        <v>434</v>
      </c>
      <c r="C204" s="1488"/>
      <c r="D204" s="1488"/>
      <c r="E204" s="1488"/>
      <c r="F204" s="1488"/>
      <c r="G204" s="1489"/>
      <c r="H204" s="981" t="s">
        <v>100</v>
      </c>
      <c r="I204" s="1017"/>
      <c r="J204" s="1029"/>
      <c r="K204" s="1030"/>
      <c r="L204" s="1291"/>
      <c r="M204" s="1292"/>
      <c r="N204" s="1292"/>
      <c r="O204" s="1292"/>
      <c r="P204" s="1293"/>
      <c r="Q204" s="1295"/>
      <c r="R204" s="1269"/>
      <c r="S204" s="1270"/>
      <c r="T204" s="1258"/>
      <c r="U204" s="1337"/>
      <c r="Y204" s="74">
        <v>1E-3</v>
      </c>
      <c r="Z204" s="77">
        <f>IF(H204="ja",Y204,0)</f>
        <v>0</v>
      </c>
      <c r="AA204" s="78"/>
      <c r="AB204" s="592">
        <f t="shared" si="2"/>
        <v>0</v>
      </c>
      <c r="AC204" s="68"/>
      <c r="AD204" s="68"/>
      <c r="AE204" s="68"/>
      <c r="AF204" s="68"/>
      <c r="AG204" s="68"/>
      <c r="AH204" s="68"/>
      <c r="AI204" s="68"/>
      <c r="AJ204" s="68"/>
      <c r="AK204" s="68"/>
    </row>
    <row r="205" spans="1:37" ht="15" customHeight="1" x14ac:dyDescent="0.25">
      <c r="A205" s="1665"/>
      <c r="B205" s="1493"/>
      <c r="C205" s="1317"/>
      <c r="D205" s="1317"/>
      <c r="E205" s="1317"/>
      <c r="F205" s="1317"/>
      <c r="G205" s="1494"/>
      <c r="H205" s="982"/>
      <c r="I205" s="1017"/>
      <c r="J205" s="1029"/>
      <c r="K205" s="1030"/>
      <c r="L205" s="984"/>
      <c r="M205" s="985"/>
      <c r="N205" s="985"/>
      <c r="O205" s="985"/>
      <c r="P205" s="985"/>
      <c r="Q205" s="978" t="s">
        <v>100</v>
      </c>
      <c r="R205" s="972"/>
      <c r="S205" s="973"/>
      <c r="T205" s="1258"/>
      <c r="U205" s="1337"/>
      <c r="V205" s="72">
        <f>IF(AND(Q205="ja",R205=""),1,0)</f>
        <v>0</v>
      </c>
      <c r="Y205" s="74"/>
      <c r="Z205" s="77"/>
      <c r="AA205" s="78"/>
      <c r="AB205" s="592">
        <f t="shared" si="2"/>
        <v>0</v>
      </c>
      <c r="AC205" s="68"/>
      <c r="AD205" s="68"/>
      <c r="AE205" s="68"/>
      <c r="AF205" s="68"/>
      <c r="AG205" s="68"/>
      <c r="AH205" s="68"/>
      <c r="AI205" s="68"/>
      <c r="AJ205" s="68"/>
      <c r="AK205" s="68"/>
    </row>
    <row r="206" spans="1:37" ht="15" customHeight="1" x14ac:dyDescent="0.25">
      <c r="A206" s="1665"/>
      <c r="B206" s="1490"/>
      <c r="C206" s="1491"/>
      <c r="D206" s="1491"/>
      <c r="E206" s="1491"/>
      <c r="F206" s="1491"/>
      <c r="G206" s="1492"/>
      <c r="H206" s="983"/>
      <c r="I206" s="1017"/>
      <c r="J206" s="1029"/>
      <c r="K206" s="1030"/>
      <c r="L206" s="984"/>
      <c r="M206" s="985"/>
      <c r="N206" s="985"/>
      <c r="O206" s="985"/>
      <c r="P206" s="985"/>
      <c r="Q206" s="978"/>
      <c r="R206" s="972"/>
      <c r="S206" s="973"/>
      <c r="T206" s="1258"/>
      <c r="U206" s="1337"/>
      <c r="Y206" s="74"/>
      <c r="Z206" s="77"/>
      <c r="AA206" s="78"/>
      <c r="AB206" s="592">
        <f t="shared" si="2"/>
        <v>0</v>
      </c>
      <c r="AC206" s="68"/>
      <c r="AD206" s="68"/>
      <c r="AE206" s="68"/>
      <c r="AF206" s="68"/>
      <c r="AG206" s="68"/>
      <c r="AH206" s="68"/>
      <c r="AI206" s="68"/>
      <c r="AJ206" s="68"/>
      <c r="AK206" s="68"/>
    </row>
    <row r="207" spans="1:37" ht="15" customHeight="1" x14ac:dyDescent="0.25">
      <c r="A207" s="1665"/>
      <c r="B207" s="1103" t="s">
        <v>435</v>
      </c>
      <c r="C207" s="1104"/>
      <c r="D207" s="1104"/>
      <c r="E207" s="1104"/>
      <c r="F207" s="1104"/>
      <c r="G207" s="1105"/>
      <c r="H207" s="314" t="s">
        <v>100</v>
      </c>
      <c r="I207" s="1017"/>
      <c r="J207" s="1029"/>
      <c r="K207" s="1030"/>
      <c r="L207" s="984"/>
      <c r="M207" s="985"/>
      <c r="N207" s="985"/>
      <c r="O207" s="985"/>
      <c r="P207" s="985"/>
      <c r="Q207" s="978"/>
      <c r="R207" s="972"/>
      <c r="S207" s="973"/>
      <c r="T207" s="1258"/>
      <c r="U207" s="1337"/>
      <c r="Y207" s="74">
        <v>2.2499999999999999E-2</v>
      </c>
      <c r="Z207" s="77">
        <f>IF(H207="ja",Y207,0)</f>
        <v>0</v>
      </c>
      <c r="AA207" s="78"/>
      <c r="AB207" s="592">
        <f t="shared" si="2"/>
        <v>0</v>
      </c>
      <c r="AC207" s="68"/>
      <c r="AD207" s="68"/>
      <c r="AE207" s="68"/>
      <c r="AF207" s="68"/>
      <c r="AG207" s="68"/>
      <c r="AH207" s="68"/>
      <c r="AI207" s="68"/>
      <c r="AJ207" s="68"/>
      <c r="AK207" s="68"/>
    </row>
    <row r="208" spans="1:37" ht="15" customHeight="1" x14ac:dyDescent="0.25">
      <c r="A208" s="1665"/>
      <c r="B208" s="1487" t="s">
        <v>436</v>
      </c>
      <c r="C208" s="1488"/>
      <c r="D208" s="1488"/>
      <c r="E208" s="1488"/>
      <c r="F208" s="1488"/>
      <c r="G208" s="1489"/>
      <c r="H208" s="981" t="s">
        <v>100</v>
      </c>
      <c r="I208" s="1017"/>
      <c r="J208" s="1029"/>
      <c r="K208" s="1030"/>
      <c r="L208" s="984" t="s">
        <v>437</v>
      </c>
      <c r="M208" s="985"/>
      <c r="N208" s="985"/>
      <c r="O208" s="985"/>
      <c r="P208" s="985"/>
      <c r="Q208" s="978" t="s">
        <v>100</v>
      </c>
      <c r="R208" s="972"/>
      <c r="S208" s="973"/>
      <c r="T208" s="1258"/>
      <c r="U208" s="1337"/>
      <c r="V208" s="72">
        <f>IF(AND(Q208="ja",R208=""),1,0)</f>
        <v>0</v>
      </c>
      <c r="Y208" s="74">
        <v>6.5000000000000002E-2</v>
      </c>
      <c r="Z208" s="77">
        <f>IF(H208="ja",Y208,0)</f>
        <v>0</v>
      </c>
      <c r="AA208" s="78"/>
      <c r="AB208" s="592">
        <f t="shared" si="2"/>
        <v>0</v>
      </c>
      <c r="AC208" s="68"/>
      <c r="AD208" s="68"/>
      <c r="AE208" s="68"/>
      <c r="AF208" s="68"/>
      <c r="AG208" s="68"/>
      <c r="AH208" s="68"/>
      <c r="AI208" s="68"/>
      <c r="AJ208" s="68"/>
      <c r="AK208" s="68"/>
    </row>
    <row r="209" spans="1:37" ht="15" customHeight="1" x14ac:dyDescent="0.25">
      <c r="A209" s="1665"/>
      <c r="B209" s="1493"/>
      <c r="C209" s="1317"/>
      <c r="D209" s="1317"/>
      <c r="E209" s="1317"/>
      <c r="F209" s="1317"/>
      <c r="G209" s="1494"/>
      <c r="H209" s="982"/>
      <c r="I209" s="1017"/>
      <c r="J209" s="1029"/>
      <c r="K209" s="1030"/>
      <c r="L209" s="984"/>
      <c r="M209" s="985"/>
      <c r="N209" s="985"/>
      <c r="O209" s="985"/>
      <c r="P209" s="985"/>
      <c r="Q209" s="978"/>
      <c r="R209" s="972"/>
      <c r="S209" s="973"/>
      <c r="T209" s="1258"/>
      <c r="U209" s="1337"/>
      <c r="Y209" s="74"/>
      <c r="Z209" s="77"/>
      <c r="AA209" s="78"/>
      <c r="AB209" s="592">
        <f t="shared" si="2"/>
        <v>0</v>
      </c>
      <c r="AC209" s="68"/>
      <c r="AD209" s="68"/>
      <c r="AE209" s="68"/>
      <c r="AF209" s="68"/>
      <c r="AG209" s="68"/>
      <c r="AH209" s="68"/>
      <c r="AI209" s="68"/>
      <c r="AJ209" s="68"/>
      <c r="AK209" s="68"/>
    </row>
    <row r="210" spans="1:37" ht="15" customHeight="1" x14ac:dyDescent="0.25">
      <c r="A210" s="166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592">
        <f t="shared" si="2"/>
        <v>0</v>
      </c>
      <c r="AC210" s="68"/>
      <c r="AD210" s="68"/>
      <c r="AE210" s="68"/>
      <c r="AF210" s="68"/>
      <c r="AG210" s="68"/>
      <c r="AH210" s="68"/>
      <c r="AI210" s="68"/>
      <c r="AJ210" s="68"/>
      <c r="AK210" s="68"/>
    </row>
    <row r="211" spans="1:37" ht="15" customHeight="1" x14ac:dyDescent="0.25">
      <c r="A211" s="1665"/>
      <c r="B211" s="1490"/>
      <c r="C211" s="1491"/>
      <c r="D211" s="1491"/>
      <c r="E211" s="1491"/>
      <c r="F211" s="1491"/>
      <c r="G211" s="1492"/>
      <c r="H211" s="983"/>
      <c r="I211" s="1017"/>
      <c r="J211" s="1029"/>
      <c r="K211" s="1030"/>
      <c r="L211" s="1484" t="s">
        <v>438</v>
      </c>
      <c r="M211" s="1485"/>
      <c r="N211" s="1485"/>
      <c r="O211" s="1485"/>
      <c r="P211" s="1486"/>
      <c r="Q211" s="979" t="s">
        <v>100</v>
      </c>
      <c r="R211" s="1005"/>
      <c r="S211" s="1006"/>
      <c r="T211" s="1258"/>
      <c r="U211" s="1337"/>
      <c r="V211" s="72">
        <f>IF(AND(Q211="ja",R211=""),1,0)</f>
        <v>0</v>
      </c>
      <c r="Y211" s="74"/>
      <c r="Z211" s="77"/>
      <c r="AA211" s="78"/>
      <c r="AB211" s="592">
        <f t="shared" si="2"/>
        <v>0</v>
      </c>
      <c r="AC211" s="68"/>
      <c r="AD211" s="68"/>
      <c r="AE211" s="68"/>
      <c r="AF211" s="68"/>
      <c r="AG211" s="68"/>
      <c r="AH211" s="68"/>
      <c r="AI211" s="68"/>
      <c r="AJ211" s="68"/>
      <c r="AK211" s="68"/>
    </row>
    <row r="212" spans="1:37" ht="15" customHeight="1" x14ac:dyDescent="0.25">
      <c r="A212" s="1665"/>
      <c r="B212" s="1487" t="s">
        <v>439</v>
      </c>
      <c r="C212" s="1488"/>
      <c r="D212" s="1488"/>
      <c r="E212" s="1488"/>
      <c r="F212" s="1488"/>
      <c r="G212" s="1489"/>
      <c r="H212" s="981" t="s">
        <v>100</v>
      </c>
      <c r="I212" s="1017"/>
      <c r="J212" s="1029"/>
      <c r="K212" s="1030"/>
      <c r="L212" s="1288"/>
      <c r="M212" s="1289"/>
      <c r="N212" s="1289"/>
      <c r="O212" s="1289"/>
      <c r="P212" s="1290"/>
      <c r="Q212" s="1003"/>
      <c r="R212" s="1007"/>
      <c r="S212" s="1008"/>
      <c r="T212" s="1258"/>
      <c r="U212" s="1337"/>
      <c r="Y212" s="74">
        <v>8.5000000000000006E-3</v>
      </c>
      <c r="Z212" s="77">
        <f>IF(H212="ja",Y212,0)</f>
        <v>0</v>
      </c>
      <c r="AA212" s="78"/>
      <c r="AB212" s="592">
        <f t="shared" si="2"/>
        <v>0</v>
      </c>
      <c r="AC212" s="68"/>
      <c r="AD212" s="68"/>
      <c r="AE212" s="68"/>
      <c r="AF212" s="68"/>
      <c r="AG212" s="68"/>
      <c r="AH212" s="68"/>
      <c r="AI212" s="68"/>
      <c r="AJ212" s="68"/>
      <c r="AK212" s="68"/>
    </row>
    <row r="213" spans="1:37" ht="15" customHeight="1" x14ac:dyDescent="0.25">
      <c r="A213" s="1665"/>
      <c r="B213" s="1493"/>
      <c r="C213" s="1317"/>
      <c r="D213" s="1317"/>
      <c r="E213" s="1317"/>
      <c r="F213" s="1317"/>
      <c r="G213" s="1494"/>
      <c r="H213" s="982"/>
      <c r="I213" s="1017"/>
      <c r="J213" s="1029"/>
      <c r="K213" s="1030"/>
      <c r="L213" s="1288"/>
      <c r="M213" s="1289"/>
      <c r="N213" s="1289"/>
      <c r="O213" s="1289"/>
      <c r="P213" s="1290"/>
      <c r="Q213" s="1003"/>
      <c r="R213" s="1007"/>
      <c r="S213" s="1008"/>
      <c r="T213" s="1258"/>
      <c r="U213" s="1337"/>
      <c r="Y213" s="74"/>
      <c r="Z213" s="77"/>
      <c r="AA213" s="78"/>
      <c r="AB213" s="592">
        <f t="shared" si="2"/>
        <v>0</v>
      </c>
      <c r="AC213" s="68"/>
      <c r="AD213" s="68"/>
      <c r="AE213" s="68"/>
      <c r="AF213" s="68"/>
      <c r="AG213" s="68"/>
      <c r="AH213" s="68"/>
      <c r="AI213" s="68"/>
      <c r="AJ213" s="68"/>
      <c r="AK213" s="68"/>
    </row>
    <row r="214" spans="1:37" ht="15" customHeight="1" x14ac:dyDescent="0.25">
      <c r="A214" s="1665"/>
      <c r="B214" s="1493"/>
      <c r="C214" s="1317"/>
      <c r="D214" s="1317"/>
      <c r="E214" s="1317"/>
      <c r="F214" s="1317"/>
      <c r="G214" s="1494"/>
      <c r="H214" s="982"/>
      <c r="I214" s="1017"/>
      <c r="J214" s="1029"/>
      <c r="K214" s="1030"/>
      <c r="L214" s="1288"/>
      <c r="M214" s="1289"/>
      <c r="N214" s="1289"/>
      <c r="O214" s="1289"/>
      <c r="P214" s="1290"/>
      <c r="Q214" s="1003"/>
      <c r="R214" s="1007"/>
      <c r="S214" s="1008"/>
      <c r="T214" s="1258"/>
      <c r="U214" s="1337"/>
      <c r="V214" s="72">
        <f>IF(AND(Q214="ja",R214=""),1,0)</f>
        <v>0</v>
      </c>
      <c r="Y214" s="74"/>
      <c r="Z214" s="77"/>
      <c r="AA214" s="78"/>
      <c r="AB214" s="592">
        <f t="shared" si="2"/>
        <v>0</v>
      </c>
      <c r="AC214" s="68"/>
      <c r="AD214" s="68"/>
      <c r="AE214" s="68"/>
      <c r="AF214" s="68"/>
      <c r="AG214" s="68"/>
      <c r="AH214" s="68"/>
      <c r="AI214" s="68"/>
      <c r="AJ214" s="68"/>
      <c r="AK214" s="68"/>
    </row>
    <row r="215" spans="1:37" ht="15" customHeight="1" x14ac:dyDescent="0.25">
      <c r="A215" s="1665"/>
      <c r="B215" s="1490"/>
      <c r="C215" s="1491"/>
      <c r="D215" s="1491"/>
      <c r="E215" s="1491"/>
      <c r="F215" s="1491"/>
      <c r="G215" s="1492"/>
      <c r="H215" s="983"/>
      <c r="I215" s="1017"/>
      <c r="J215" s="1029"/>
      <c r="K215" s="1030"/>
      <c r="L215" s="1288"/>
      <c r="M215" s="1289"/>
      <c r="N215" s="1289"/>
      <c r="O215" s="1289"/>
      <c r="P215" s="1290"/>
      <c r="Q215" s="1003"/>
      <c r="R215" s="1007"/>
      <c r="S215" s="1008"/>
      <c r="T215" s="1258"/>
      <c r="U215" s="1337"/>
      <c r="Y215" s="74"/>
      <c r="Z215" s="77"/>
      <c r="AA215" s="78"/>
      <c r="AB215" s="592">
        <f t="shared" si="2"/>
        <v>0</v>
      </c>
      <c r="AC215" s="68"/>
      <c r="AD215" s="68"/>
      <c r="AE215" s="68"/>
      <c r="AF215" s="68"/>
      <c r="AG215" s="68"/>
      <c r="AH215" s="68"/>
      <c r="AI215" s="68"/>
      <c r="AJ215" s="68"/>
      <c r="AK215" s="68"/>
    </row>
    <row r="216" spans="1:37" ht="15" customHeight="1" x14ac:dyDescent="0.25">
      <c r="A216" s="1665"/>
      <c r="B216" s="1103" t="s">
        <v>440</v>
      </c>
      <c r="C216" s="1104"/>
      <c r="D216" s="1104"/>
      <c r="E216" s="1104"/>
      <c r="F216" s="1104"/>
      <c r="G216" s="1105"/>
      <c r="H216" s="314" t="s">
        <v>100</v>
      </c>
      <c r="I216" s="1017"/>
      <c r="J216" s="1029"/>
      <c r="K216" s="1030"/>
      <c r="L216" s="1291"/>
      <c r="M216" s="1292"/>
      <c r="N216" s="1292"/>
      <c r="O216" s="1292"/>
      <c r="P216" s="1293"/>
      <c r="Q216" s="1295"/>
      <c r="R216" s="1269"/>
      <c r="S216" s="1270"/>
      <c r="T216" s="1258"/>
      <c r="U216" s="1337"/>
      <c r="Y216" s="74">
        <v>8.0000000000000002E-3</v>
      </c>
      <c r="Z216" s="77">
        <f>IF(H216="ja",Y216,0)</f>
        <v>0</v>
      </c>
      <c r="AA216" s="78"/>
      <c r="AB216" s="592">
        <f t="shared" si="2"/>
        <v>0</v>
      </c>
      <c r="AC216" s="68"/>
      <c r="AD216" s="68"/>
      <c r="AE216" s="68"/>
      <c r="AF216" s="68"/>
      <c r="AG216" s="68"/>
      <c r="AH216" s="68"/>
      <c r="AI216" s="68"/>
      <c r="AJ216" s="68"/>
      <c r="AK216" s="68"/>
    </row>
    <row r="217" spans="1:37" ht="15" customHeight="1" x14ac:dyDescent="0.25">
      <c r="A217" s="1665"/>
      <c r="B217" s="1103" t="s">
        <v>441</v>
      </c>
      <c r="C217" s="1104"/>
      <c r="D217" s="1104"/>
      <c r="E217" s="1104"/>
      <c r="F217" s="1104"/>
      <c r="G217" s="1105"/>
      <c r="H217" s="314" t="s">
        <v>100</v>
      </c>
      <c r="I217" s="1017"/>
      <c r="J217" s="1029"/>
      <c r="K217" s="1030"/>
      <c r="L217" s="1484" t="s">
        <v>442</v>
      </c>
      <c r="M217" s="1485"/>
      <c r="N217" s="1485"/>
      <c r="O217" s="1485"/>
      <c r="P217" s="1486"/>
      <c r="Q217" s="979" t="s">
        <v>100</v>
      </c>
      <c r="R217" s="1005"/>
      <c r="S217" s="1006"/>
      <c r="T217" s="1258"/>
      <c r="U217" s="1337"/>
      <c r="V217" s="72">
        <f>IF(AND(Q217="ja",R217=""),1,0)</f>
        <v>0</v>
      </c>
      <c r="Y217" s="74">
        <v>5.0000000000000001E-3</v>
      </c>
      <c r="Z217" s="77">
        <f>IF(H217="ja",Y217,0)</f>
        <v>0</v>
      </c>
      <c r="AA217" s="78"/>
      <c r="AB217" s="592">
        <f t="shared" si="2"/>
        <v>0</v>
      </c>
      <c r="AC217" s="68"/>
      <c r="AD217" s="68"/>
      <c r="AE217" s="68"/>
      <c r="AF217" s="68"/>
      <c r="AG217" s="68"/>
      <c r="AH217" s="68"/>
      <c r="AI217" s="68"/>
      <c r="AJ217" s="68"/>
      <c r="AK217" s="68"/>
    </row>
    <row r="218" spans="1:37" ht="15" customHeight="1" x14ac:dyDescent="0.25">
      <c r="A218" s="1665"/>
      <c r="B218" s="1487" t="s">
        <v>443</v>
      </c>
      <c r="C218" s="1488"/>
      <c r="D218" s="1488"/>
      <c r="E218" s="1488"/>
      <c r="F218" s="1488"/>
      <c r="G218" s="1489"/>
      <c r="H218" s="981" t="s">
        <v>100</v>
      </c>
      <c r="I218" s="1017"/>
      <c r="J218" s="1029"/>
      <c r="K218" s="1030"/>
      <c r="L218" s="1288"/>
      <c r="M218" s="1289"/>
      <c r="N218" s="1289"/>
      <c r="O218" s="1289"/>
      <c r="P218" s="1290"/>
      <c r="Q218" s="1003"/>
      <c r="R218" s="1007"/>
      <c r="S218" s="1008"/>
      <c r="T218" s="1258"/>
      <c r="U218" s="1337"/>
      <c r="Y218" s="74">
        <v>2.5000000000000001E-2</v>
      </c>
      <c r="Z218" s="77">
        <f>IF(H218="ja",Y218,0)</f>
        <v>0</v>
      </c>
      <c r="AA218" s="78"/>
      <c r="AB218" s="592">
        <f t="shared" si="2"/>
        <v>0</v>
      </c>
      <c r="AC218" s="68"/>
      <c r="AD218" s="68"/>
      <c r="AE218" s="68"/>
      <c r="AF218" s="68"/>
      <c r="AG218" s="68"/>
      <c r="AH218" s="68"/>
      <c r="AI218" s="68"/>
      <c r="AJ218" s="68"/>
      <c r="AK218" s="68"/>
    </row>
    <row r="219" spans="1:37" ht="15" customHeight="1" x14ac:dyDescent="0.25">
      <c r="A219" s="1665"/>
      <c r="B219" s="1493"/>
      <c r="C219" s="1317"/>
      <c r="D219" s="1317"/>
      <c r="E219" s="1317"/>
      <c r="F219" s="1317"/>
      <c r="G219" s="1494"/>
      <c r="H219" s="982"/>
      <c r="I219" s="1017"/>
      <c r="J219" s="1029"/>
      <c r="K219" s="1030"/>
      <c r="L219" s="1288"/>
      <c r="M219" s="1289"/>
      <c r="N219" s="1289"/>
      <c r="O219" s="1289"/>
      <c r="P219" s="1290"/>
      <c r="Q219" s="1003"/>
      <c r="R219" s="1007"/>
      <c r="S219" s="1008"/>
      <c r="T219" s="1258"/>
      <c r="U219" s="1337"/>
      <c r="Y219" s="74"/>
      <c r="Z219" s="77"/>
      <c r="AA219" s="78"/>
      <c r="AB219" s="592">
        <f t="shared" si="2"/>
        <v>0</v>
      </c>
      <c r="AC219" s="68"/>
      <c r="AD219" s="68"/>
      <c r="AE219" s="68"/>
      <c r="AF219" s="68"/>
      <c r="AG219" s="68"/>
      <c r="AH219" s="68"/>
      <c r="AI219" s="68"/>
      <c r="AJ219" s="68"/>
      <c r="AK219" s="68"/>
    </row>
    <row r="220" spans="1:37" ht="15" customHeight="1" x14ac:dyDescent="0.25">
      <c r="A220" s="166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V220" s="72">
        <f>IF(AND(Q220="ja",R220=""),1,0)</f>
        <v>0</v>
      </c>
      <c r="Y220" s="74"/>
      <c r="Z220" s="77"/>
      <c r="AA220" s="78"/>
      <c r="AB220" s="592">
        <f t="shared" si="2"/>
        <v>0</v>
      </c>
      <c r="AC220" s="68"/>
      <c r="AD220" s="68"/>
      <c r="AE220" s="68"/>
      <c r="AF220" s="68"/>
      <c r="AG220" s="68"/>
      <c r="AH220" s="68"/>
      <c r="AI220" s="68"/>
      <c r="AJ220" s="68"/>
      <c r="AK220" s="68"/>
    </row>
    <row r="221" spans="1:37" ht="15" customHeight="1" x14ac:dyDescent="0.25">
      <c r="A221" s="1665"/>
      <c r="B221" s="1490"/>
      <c r="C221" s="1491"/>
      <c r="D221" s="1491"/>
      <c r="E221" s="1491"/>
      <c r="F221" s="1491"/>
      <c r="G221" s="1492"/>
      <c r="H221" s="983"/>
      <c r="I221" s="1017"/>
      <c r="J221" s="1029"/>
      <c r="K221" s="1030"/>
      <c r="L221" s="1288"/>
      <c r="M221" s="1289"/>
      <c r="N221" s="1289"/>
      <c r="O221" s="1289"/>
      <c r="P221" s="1290"/>
      <c r="Q221" s="1003"/>
      <c r="R221" s="1007"/>
      <c r="S221" s="1008"/>
      <c r="T221" s="1258"/>
      <c r="U221" s="1337"/>
      <c r="Y221" s="74"/>
      <c r="Z221" s="77"/>
      <c r="AA221" s="78"/>
      <c r="AB221" s="592">
        <f t="shared" si="2"/>
        <v>0</v>
      </c>
      <c r="AC221" s="68"/>
      <c r="AD221" s="68"/>
      <c r="AE221" s="68"/>
      <c r="AF221" s="68"/>
      <c r="AG221" s="68"/>
      <c r="AH221" s="68"/>
      <c r="AI221" s="68"/>
      <c r="AJ221" s="68"/>
      <c r="AK221" s="68"/>
    </row>
    <row r="222" spans="1:37" ht="15" customHeight="1" x14ac:dyDescent="0.25">
      <c r="A222" s="1665"/>
      <c r="B222" s="1103" t="s">
        <v>444</v>
      </c>
      <c r="C222" s="1104"/>
      <c r="D222" s="1104"/>
      <c r="E222" s="1104"/>
      <c r="F222" s="1104"/>
      <c r="G222" s="1105"/>
      <c r="H222" s="314" t="s">
        <v>100</v>
      </c>
      <c r="I222" s="1017"/>
      <c r="J222" s="1029"/>
      <c r="K222" s="1030"/>
      <c r="L222" s="1288"/>
      <c r="M222" s="1289"/>
      <c r="N222" s="1289"/>
      <c r="O222" s="1289"/>
      <c r="P222" s="1290"/>
      <c r="Q222" s="1003"/>
      <c r="R222" s="1007"/>
      <c r="S222" s="1008"/>
      <c r="T222" s="1258"/>
      <c r="U222" s="1337"/>
      <c r="Y222" s="74">
        <v>1E-3</v>
      </c>
      <c r="Z222" s="77">
        <f>IF(H222="ja",Y222,0)</f>
        <v>0</v>
      </c>
      <c r="AA222" s="78"/>
      <c r="AB222" s="592">
        <f t="shared" si="2"/>
        <v>0</v>
      </c>
      <c r="AC222" s="68"/>
      <c r="AD222" s="68"/>
      <c r="AE222" s="68"/>
      <c r="AF222" s="68"/>
      <c r="AG222" s="68"/>
      <c r="AH222" s="68"/>
      <c r="AI222" s="68"/>
      <c r="AJ222" s="68"/>
      <c r="AK222" s="68"/>
    </row>
    <row r="223" spans="1:37" ht="15" customHeight="1" x14ac:dyDescent="0.25">
      <c r="A223" s="1665"/>
      <c r="B223" s="1487" t="s">
        <v>445</v>
      </c>
      <c r="C223" s="1488"/>
      <c r="D223" s="1488"/>
      <c r="E223" s="1488"/>
      <c r="F223" s="1488"/>
      <c r="G223" s="1489"/>
      <c r="H223" s="981" t="s">
        <v>100</v>
      </c>
      <c r="I223" s="1017"/>
      <c r="J223" s="1029"/>
      <c r="K223" s="1030"/>
      <c r="L223" s="1288"/>
      <c r="M223" s="1289"/>
      <c r="N223" s="1289"/>
      <c r="O223" s="1289"/>
      <c r="P223" s="1290"/>
      <c r="Q223" s="1003"/>
      <c r="R223" s="1007"/>
      <c r="S223" s="1008"/>
      <c r="T223" s="1258"/>
      <c r="U223" s="1337"/>
      <c r="V223" s="72">
        <f>IF(AND(Q223="ja",R223=""),1,0)</f>
        <v>0</v>
      </c>
      <c r="Y223" s="74">
        <v>7.4999999999999997E-3</v>
      </c>
      <c r="Z223" s="77">
        <f>IF(H223="ja",Y223,0)</f>
        <v>0</v>
      </c>
      <c r="AA223" s="78"/>
      <c r="AB223" s="592">
        <f t="shared" si="2"/>
        <v>0</v>
      </c>
      <c r="AC223" s="68"/>
      <c r="AD223" s="68"/>
      <c r="AE223" s="68"/>
      <c r="AF223" s="68"/>
      <c r="AG223" s="68"/>
      <c r="AH223" s="68"/>
      <c r="AI223" s="68"/>
      <c r="AJ223" s="68"/>
      <c r="AK223" s="68"/>
    </row>
    <row r="224" spans="1:37" ht="15" customHeight="1" x14ac:dyDescent="0.25">
      <c r="A224" s="1665"/>
      <c r="B224" s="1493"/>
      <c r="C224" s="1317"/>
      <c r="D224" s="1317"/>
      <c r="E224" s="1317"/>
      <c r="F224" s="1317"/>
      <c r="G224" s="1494"/>
      <c r="H224" s="982"/>
      <c r="I224" s="1017"/>
      <c r="J224" s="1029"/>
      <c r="K224" s="1030"/>
      <c r="L224" s="1288"/>
      <c r="M224" s="1289"/>
      <c r="N224" s="1289"/>
      <c r="O224" s="1289"/>
      <c r="P224" s="1290"/>
      <c r="Q224" s="1003"/>
      <c r="R224" s="1007"/>
      <c r="S224" s="1008"/>
      <c r="T224" s="1258"/>
      <c r="U224" s="1337"/>
      <c r="Y224" s="74"/>
      <c r="Z224" s="77"/>
      <c r="AA224" s="78"/>
      <c r="AB224" s="592">
        <f t="shared" si="2"/>
        <v>0</v>
      </c>
      <c r="AC224" s="68"/>
      <c r="AD224" s="68"/>
      <c r="AE224" s="68"/>
      <c r="AF224" s="68"/>
      <c r="AG224" s="68"/>
      <c r="AH224" s="68"/>
      <c r="AI224" s="68"/>
      <c r="AJ224" s="68"/>
      <c r="AK224" s="68"/>
    </row>
    <row r="225" spans="1:37" ht="15" customHeight="1" x14ac:dyDescent="0.25">
      <c r="A225" s="1665"/>
      <c r="B225" s="1493"/>
      <c r="C225" s="1317"/>
      <c r="D225" s="1317"/>
      <c r="E225" s="1317"/>
      <c r="F225" s="1317"/>
      <c r="G225" s="1494"/>
      <c r="H225" s="982"/>
      <c r="I225" s="1017"/>
      <c r="J225" s="1029"/>
      <c r="K225" s="1030"/>
      <c r="L225" s="1291"/>
      <c r="M225" s="1292"/>
      <c r="N225" s="1292"/>
      <c r="O225" s="1292"/>
      <c r="P225" s="1293"/>
      <c r="Q225" s="1295"/>
      <c r="R225" s="1269"/>
      <c r="S225" s="1270"/>
      <c r="T225" s="1258"/>
      <c r="U225" s="1337"/>
      <c r="Y225" s="74"/>
      <c r="Z225" s="77"/>
      <c r="AA225" s="78"/>
      <c r="AB225" s="592">
        <f t="shared" si="2"/>
        <v>0</v>
      </c>
      <c r="AC225" s="68"/>
      <c r="AD225" s="68"/>
      <c r="AE225" s="68"/>
      <c r="AF225" s="68"/>
      <c r="AG225" s="68"/>
      <c r="AH225" s="68"/>
      <c r="AI225" s="68"/>
      <c r="AJ225" s="68"/>
      <c r="AK225" s="68"/>
    </row>
    <row r="226" spans="1:37" ht="15" customHeight="1" x14ac:dyDescent="0.25">
      <c r="A226" s="1665"/>
      <c r="B226" s="1490"/>
      <c r="C226" s="1491"/>
      <c r="D226" s="1491"/>
      <c r="E226" s="1491"/>
      <c r="F226" s="1491"/>
      <c r="G226" s="1492"/>
      <c r="H226" s="983"/>
      <c r="I226" s="1017"/>
      <c r="J226" s="1029"/>
      <c r="K226" s="1030"/>
      <c r="L226" s="984" t="s">
        <v>254</v>
      </c>
      <c r="M226" s="985"/>
      <c r="N226" s="985"/>
      <c r="O226" s="985"/>
      <c r="P226" s="985"/>
      <c r="Q226" s="978" t="s">
        <v>100</v>
      </c>
      <c r="R226" s="972"/>
      <c r="S226" s="973"/>
      <c r="T226" s="1258"/>
      <c r="U226" s="1337"/>
      <c r="V226" s="72">
        <f>IF(AND(Q226="ja",R226=""),1,0)</f>
        <v>0</v>
      </c>
      <c r="Y226" s="74"/>
      <c r="Z226" s="77"/>
      <c r="AA226" s="78"/>
      <c r="AB226" s="592">
        <f t="shared" si="2"/>
        <v>0</v>
      </c>
      <c r="AC226" s="68"/>
      <c r="AD226" s="68"/>
      <c r="AE226" s="68"/>
      <c r="AF226" s="68"/>
      <c r="AG226" s="68"/>
      <c r="AH226" s="68"/>
      <c r="AI226" s="68"/>
      <c r="AJ226" s="68"/>
      <c r="AK226" s="68"/>
    </row>
    <row r="227" spans="1:37" ht="15" customHeight="1" x14ac:dyDescent="0.25">
      <c r="A227" s="1665"/>
      <c r="B227" s="1487" t="s">
        <v>446</v>
      </c>
      <c r="C227" s="1488"/>
      <c r="D227" s="1488"/>
      <c r="E227" s="1488"/>
      <c r="F227" s="1488"/>
      <c r="G227" s="1489"/>
      <c r="H227" s="981" t="s">
        <v>100</v>
      </c>
      <c r="I227" s="1017"/>
      <c r="J227" s="1029"/>
      <c r="K227" s="1030"/>
      <c r="L227" s="984"/>
      <c r="M227" s="985"/>
      <c r="N227" s="985"/>
      <c r="O227" s="985"/>
      <c r="P227" s="985"/>
      <c r="Q227" s="978"/>
      <c r="R227" s="972"/>
      <c r="S227" s="973"/>
      <c r="T227" s="1258"/>
      <c r="U227" s="1337"/>
      <c r="Y227" s="74">
        <v>1E-3</v>
      </c>
      <c r="Z227" s="77">
        <f>IF(H227="ja",Y227,0)</f>
        <v>0</v>
      </c>
      <c r="AA227" s="78"/>
      <c r="AB227" s="592">
        <f t="shared" si="2"/>
        <v>0</v>
      </c>
      <c r="AC227" s="68"/>
      <c r="AD227" s="68"/>
      <c r="AE227" s="68"/>
      <c r="AF227" s="68"/>
      <c r="AG227" s="68"/>
      <c r="AH227" s="68"/>
      <c r="AI227" s="68"/>
      <c r="AJ227" s="68"/>
      <c r="AK227" s="68"/>
    </row>
    <row r="228" spans="1:37" ht="15" customHeight="1" x14ac:dyDescent="0.25">
      <c r="A228" s="1665"/>
      <c r="B228" s="1490"/>
      <c r="C228" s="1491"/>
      <c r="D228" s="1491"/>
      <c r="E228" s="1491"/>
      <c r="F228" s="1491"/>
      <c r="G228" s="1492"/>
      <c r="H228" s="983"/>
      <c r="I228" s="1017"/>
      <c r="J228" s="1029"/>
      <c r="K228" s="1030"/>
      <c r="L228" s="984"/>
      <c r="M228" s="985"/>
      <c r="N228" s="985"/>
      <c r="O228" s="985"/>
      <c r="P228" s="985"/>
      <c r="Q228" s="978"/>
      <c r="R228" s="972"/>
      <c r="S228" s="973"/>
      <c r="T228" s="1258"/>
      <c r="U228" s="1337"/>
      <c r="Y228" s="74"/>
      <c r="Z228" s="77"/>
      <c r="AA228" s="78"/>
      <c r="AB228" s="592">
        <f t="shared" si="2"/>
        <v>0</v>
      </c>
      <c r="AC228" s="68"/>
      <c r="AD228" s="68"/>
      <c r="AE228" s="68"/>
      <c r="AF228" s="68"/>
      <c r="AG228" s="68"/>
      <c r="AH228" s="68"/>
      <c r="AI228" s="68"/>
      <c r="AJ228" s="68"/>
      <c r="AK228" s="68"/>
    </row>
    <row r="229" spans="1:37" ht="15" customHeight="1" x14ac:dyDescent="0.25">
      <c r="A229" s="1665"/>
      <c r="B229" s="1487" t="s">
        <v>270</v>
      </c>
      <c r="C229" s="1488"/>
      <c r="D229" s="1488"/>
      <c r="E229" s="1488"/>
      <c r="F229" s="1488"/>
      <c r="G229" s="1489"/>
      <c r="H229" s="981" t="s">
        <v>100</v>
      </c>
      <c r="I229" s="1017"/>
      <c r="J229" s="1029"/>
      <c r="K229" s="1030"/>
      <c r="L229" s="1484" t="s">
        <v>263</v>
      </c>
      <c r="M229" s="1485"/>
      <c r="N229" s="1485"/>
      <c r="O229" s="1485"/>
      <c r="P229" s="1486"/>
      <c r="Q229" s="979" t="s">
        <v>100</v>
      </c>
      <c r="R229" s="1005"/>
      <c r="S229" s="1006"/>
      <c r="T229" s="1258"/>
      <c r="U229" s="1337"/>
      <c r="V229" s="72">
        <f>IF(AND(Q229="ja",R229=""),1,0)</f>
        <v>0</v>
      </c>
      <c r="Y229" s="74">
        <v>1.4999999999999999E-2</v>
      </c>
      <c r="Z229" s="77">
        <f>IF(H229="ja",Y229,0)</f>
        <v>0</v>
      </c>
      <c r="AA229" s="78"/>
      <c r="AB229" s="592">
        <f t="shared" si="2"/>
        <v>0</v>
      </c>
      <c r="AC229" s="68"/>
      <c r="AD229" s="68"/>
      <c r="AE229" s="68"/>
      <c r="AF229" s="68"/>
      <c r="AG229" s="68"/>
      <c r="AH229" s="68"/>
      <c r="AI229" s="68"/>
      <c r="AJ229" s="68"/>
      <c r="AK229" s="68"/>
    </row>
    <row r="230" spans="1:37" ht="15" customHeight="1" x14ac:dyDescent="0.25">
      <c r="A230" s="1665"/>
      <c r="B230" s="1490"/>
      <c r="C230" s="1491"/>
      <c r="D230" s="1491"/>
      <c r="E230" s="1491"/>
      <c r="F230" s="1491"/>
      <c r="G230" s="1492"/>
      <c r="H230" s="983"/>
      <c r="I230" s="1017"/>
      <c r="J230" s="1029"/>
      <c r="K230" s="1030"/>
      <c r="L230" s="1288"/>
      <c r="M230" s="1289"/>
      <c r="N230" s="1289"/>
      <c r="O230" s="1289"/>
      <c r="P230" s="1290"/>
      <c r="Q230" s="1003"/>
      <c r="R230" s="1007"/>
      <c r="S230" s="1008"/>
      <c r="T230" s="1258"/>
      <c r="U230" s="1337"/>
      <c r="Y230" s="74"/>
      <c r="Z230" s="77"/>
      <c r="AA230" s="78"/>
      <c r="AB230" s="592">
        <f t="shared" si="2"/>
        <v>0</v>
      </c>
      <c r="AC230" s="68"/>
      <c r="AD230" s="68"/>
      <c r="AE230" s="68"/>
      <c r="AF230" s="68"/>
      <c r="AG230" s="68"/>
      <c r="AH230" s="68"/>
      <c r="AI230" s="68"/>
      <c r="AJ230" s="68"/>
      <c r="AK230" s="68"/>
    </row>
    <row r="231" spans="1:37" ht="15" customHeight="1" x14ac:dyDescent="0.25">
      <c r="A231" s="1665"/>
      <c r="B231" s="1487" t="s">
        <v>447</v>
      </c>
      <c r="C231" s="1488"/>
      <c r="D231" s="1488"/>
      <c r="E231" s="1488"/>
      <c r="F231" s="1488"/>
      <c r="G231" s="1489"/>
      <c r="H231" s="981" t="s">
        <v>100</v>
      </c>
      <c r="I231" s="1017"/>
      <c r="J231" s="1029"/>
      <c r="K231" s="1030"/>
      <c r="L231" s="1288"/>
      <c r="M231" s="1289"/>
      <c r="N231" s="1289"/>
      <c r="O231" s="1289"/>
      <c r="P231" s="1290"/>
      <c r="Q231" s="1003"/>
      <c r="R231" s="1007"/>
      <c r="S231" s="1008"/>
      <c r="T231" s="1258"/>
      <c r="U231" s="1337"/>
      <c r="Y231" s="74">
        <v>1E-3</v>
      </c>
      <c r="Z231" s="77">
        <f>IF(H231="ja",Y231,0)</f>
        <v>0</v>
      </c>
      <c r="AA231" s="77"/>
      <c r="AB231" s="592">
        <f t="shared" si="2"/>
        <v>0</v>
      </c>
      <c r="AC231" s="68"/>
      <c r="AD231" s="68"/>
      <c r="AE231" s="68"/>
      <c r="AF231" s="68"/>
      <c r="AG231" s="68"/>
      <c r="AH231" s="68"/>
      <c r="AI231" s="68"/>
      <c r="AJ231" s="68"/>
      <c r="AK231" s="68"/>
    </row>
    <row r="232" spans="1:37" ht="15" customHeight="1" x14ac:dyDescent="0.25">
      <c r="A232" s="1665"/>
      <c r="B232" s="1493"/>
      <c r="C232" s="1317"/>
      <c r="D232" s="1317"/>
      <c r="E232" s="1317"/>
      <c r="F232" s="1317"/>
      <c r="G232" s="1494"/>
      <c r="H232" s="982"/>
      <c r="I232" s="1017"/>
      <c r="J232" s="1029"/>
      <c r="K232" s="1030"/>
      <c r="L232" s="1288"/>
      <c r="M232" s="1289"/>
      <c r="N232" s="1289"/>
      <c r="O232" s="1289"/>
      <c r="P232" s="1290"/>
      <c r="Q232" s="1003"/>
      <c r="R232" s="1007"/>
      <c r="S232" s="1008"/>
      <c r="T232" s="1258"/>
      <c r="U232" s="1337"/>
      <c r="V232" s="72">
        <f>IF(AND(Q232="ja",R232=""),1,0)</f>
        <v>0</v>
      </c>
      <c r="Y232" s="74"/>
      <c r="Z232" s="77"/>
      <c r="AA232" s="78"/>
      <c r="AB232" s="592">
        <f t="shared" ref="AB232:AB243" si="3">IF(Q232="ja",1,0)</f>
        <v>0</v>
      </c>
      <c r="AC232" s="68"/>
      <c r="AD232" s="68"/>
      <c r="AE232" s="68"/>
      <c r="AF232" s="68"/>
      <c r="AG232" s="68"/>
      <c r="AH232" s="68"/>
      <c r="AI232" s="68"/>
      <c r="AJ232" s="68"/>
      <c r="AK232" s="68"/>
    </row>
    <row r="233" spans="1:37" ht="15" customHeight="1" x14ac:dyDescent="0.25">
      <c r="A233" s="1665"/>
      <c r="B233" s="1490"/>
      <c r="C233" s="1491"/>
      <c r="D233" s="1491"/>
      <c r="E233" s="1491"/>
      <c r="F233" s="1491"/>
      <c r="G233" s="1492"/>
      <c r="H233" s="983"/>
      <c r="I233" s="1018"/>
      <c r="J233" s="1031"/>
      <c r="K233" s="1032"/>
      <c r="L233" s="1508"/>
      <c r="M233" s="1509"/>
      <c r="N233" s="1509"/>
      <c r="O233" s="1509"/>
      <c r="P233" s="1510"/>
      <c r="Q233" s="1004"/>
      <c r="R233" s="1009"/>
      <c r="S233" s="1010"/>
      <c r="T233" s="1259"/>
      <c r="U233" s="1337"/>
      <c r="Y233" s="74"/>
      <c r="Z233" s="77"/>
      <c r="AA233" s="78"/>
      <c r="AB233" s="592">
        <f t="shared" si="3"/>
        <v>0</v>
      </c>
      <c r="AC233" s="68"/>
      <c r="AD233" s="68"/>
      <c r="AE233" s="68"/>
      <c r="AF233" s="68"/>
      <c r="AG233" s="68"/>
      <c r="AH233" s="68"/>
      <c r="AI233" s="68"/>
      <c r="AJ233" s="68"/>
      <c r="AK233" s="68"/>
    </row>
    <row r="234" spans="1:37" x14ac:dyDescent="0.25">
      <c r="A234" s="1665"/>
      <c r="B234" s="1511" t="s">
        <v>272</v>
      </c>
      <c r="C234" s="1512"/>
      <c r="D234" s="1512"/>
      <c r="E234" s="1512"/>
      <c r="F234" s="1512"/>
      <c r="G234" s="1513"/>
      <c r="H234" s="342"/>
      <c r="I234" s="1361"/>
      <c r="J234" s="1362"/>
      <c r="K234" s="1362"/>
      <c r="L234" s="1534">
        <f>SUM(R193:S233)</f>
        <v>0</v>
      </c>
      <c r="M234" s="1535"/>
      <c r="N234" s="1535"/>
      <c r="O234" s="1535"/>
      <c r="P234" s="1535"/>
      <c r="Q234" s="338"/>
      <c r="R234" s="1495"/>
      <c r="S234" s="1496"/>
      <c r="U234" s="334"/>
      <c r="Y234" s="74"/>
      <c r="Z234" s="152">
        <f>SUM(Z193:Z231)</f>
        <v>0</v>
      </c>
      <c r="AA234" s="78"/>
      <c r="AB234" s="592">
        <f t="shared" si="3"/>
        <v>0</v>
      </c>
      <c r="AC234" s="68"/>
      <c r="AD234" s="68"/>
      <c r="AE234" s="68"/>
      <c r="AF234" s="68"/>
      <c r="AG234" s="68"/>
      <c r="AH234" s="68"/>
      <c r="AI234" s="68"/>
      <c r="AJ234" s="68"/>
      <c r="AK234" s="68"/>
    </row>
    <row r="235" spans="1:37" ht="15" customHeight="1" x14ac:dyDescent="0.25">
      <c r="A235" s="1665"/>
      <c r="B235" s="1497" t="s">
        <v>274</v>
      </c>
      <c r="C235" s="1498"/>
      <c r="D235" s="1498"/>
      <c r="E235" s="1498"/>
      <c r="F235" s="1498"/>
      <c r="G235" s="1499"/>
      <c r="H235" s="1194" t="s">
        <v>100</v>
      </c>
      <c r="I235" s="1016">
        <f>Z244</f>
        <v>0</v>
      </c>
      <c r="J235" s="1027">
        <f>I235*I115</f>
        <v>0</v>
      </c>
      <c r="K235" s="1028"/>
      <c r="L235" s="984"/>
      <c r="M235" s="985"/>
      <c r="N235" s="985"/>
      <c r="O235" s="985"/>
      <c r="P235" s="985"/>
      <c r="Q235" s="978" t="s">
        <v>100</v>
      </c>
      <c r="R235" s="972"/>
      <c r="S235" s="973"/>
      <c r="T235" s="1257" t="str">
        <f>IFERROR(IF((VLOOKUP(U235,Überblick!$M$125:$N$133,2))="ja","ja","nein"),"")</f>
        <v/>
      </c>
      <c r="U235" s="1337"/>
      <c r="V235" s="72">
        <f>IF(AND(Q235="ja",R235=""),1,0)</f>
        <v>0</v>
      </c>
      <c r="Y235" s="74">
        <v>5.0000000000000001E-3</v>
      </c>
      <c r="Z235" s="77">
        <f>IF(H235="ja",Y235,0)</f>
        <v>0</v>
      </c>
      <c r="AA235" s="78"/>
      <c r="AB235" s="592">
        <f t="shared" si="3"/>
        <v>0</v>
      </c>
      <c r="AC235" s="68"/>
      <c r="AD235" s="68"/>
      <c r="AE235" s="68"/>
      <c r="AF235" s="68"/>
      <c r="AG235" s="68"/>
      <c r="AH235" s="68"/>
      <c r="AI235" s="68"/>
      <c r="AJ235" s="68"/>
      <c r="AK235" s="68"/>
    </row>
    <row r="236" spans="1:37" ht="15" customHeight="1" x14ac:dyDescent="0.25">
      <c r="A236" s="1665"/>
      <c r="B236" s="1493"/>
      <c r="C236" s="1317"/>
      <c r="D236" s="1317"/>
      <c r="E236" s="1317"/>
      <c r="F236" s="1317"/>
      <c r="G236" s="1494"/>
      <c r="H236" s="982"/>
      <c r="I236" s="1017"/>
      <c r="J236" s="1029"/>
      <c r="K236" s="1030"/>
      <c r="L236" s="984"/>
      <c r="M236" s="985"/>
      <c r="N236" s="985"/>
      <c r="O236" s="985"/>
      <c r="P236" s="985"/>
      <c r="Q236" s="978"/>
      <c r="R236" s="972"/>
      <c r="S236" s="973"/>
      <c r="T236" s="1258"/>
      <c r="U236" s="1337"/>
      <c r="Y236" s="74"/>
      <c r="Z236" s="77"/>
      <c r="AA236" s="78"/>
      <c r="AB236" s="592">
        <f t="shared" si="3"/>
        <v>0</v>
      </c>
      <c r="AC236" s="68"/>
      <c r="AD236" s="68"/>
      <c r="AE236" s="68"/>
      <c r="AF236" s="68"/>
      <c r="AG236" s="68"/>
      <c r="AH236" s="68"/>
      <c r="AI236" s="68"/>
      <c r="AJ236" s="68"/>
      <c r="AK236" s="68"/>
    </row>
    <row r="237" spans="1:37" ht="15" customHeight="1" x14ac:dyDescent="0.25">
      <c r="A237" s="166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592">
        <f t="shared" si="3"/>
        <v>0</v>
      </c>
      <c r="AC237" s="68"/>
      <c r="AD237" s="68"/>
      <c r="AE237" s="68"/>
      <c r="AF237" s="68"/>
      <c r="AG237" s="68"/>
      <c r="AH237" s="68"/>
      <c r="AI237" s="68"/>
      <c r="AJ237" s="68"/>
      <c r="AK237" s="68"/>
    </row>
    <row r="238" spans="1:37" ht="15" customHeight="1" x14ac:dyDescent="0.25">
      <c r="A238" s="1665"/>
      <c r="B238" s="1493"/>
      <c r="C238" s="1317"/>
      <c r="D238" s="1317"/>
      <c r="E238" s="1317"/>
      <c r="F238" s="1317"/>
      <c r="G238" s="1494"/>
      <c r="H238" s="982"/>
      <c r="I238" s="1017"/>
      <c r="J238" s="1029"/>
      <c r="K238" s="1030"/>
      <c r="L238" s="984"/>
      <c r="M238" s="985"/>
      <c r="N238" s="985"/>
      <c r="O238" s="985"/>
      <c r="P238" s="985"/>
      <c r="Q238" s="978" t="s">
        <v>100</v>
      </c>
      <c r="R238" s="972"/>
      <c r="S238" s="973"/>
      <c r="T238" s="1258"/>
      <c r="U238" s="1337"/>
      <c r="V238" s="72">
        <f>IF(AND(Q238="ja",R238=""),1,0)</f>
        <v>0</v>
      </c>
      <c r="Y238" s="74"/>
      <c r="Z238" s="77"/>
      <c r="AA238" s="78"/>
      <c r="AB238" s="592">
        <f t="shared" si="3"/>
        <v>0</v>
      </c>
      <c r="AC238" s="68"/>
      <c r="AD238" s="68"/>
      <c r="AE238" s="68"/>
      <c r="AF238" s="68"/>
      <c r="AG238" s="68"/>
      <c r="AH238" s="68"/>
      <c r="AI238" s="68"/>
      <c r="AJ238" s="68"/>
      <c r="AK238" s="68"/>
    </row>
    <row r="239" spans="1:37" ht="15" customHeight="1" x14ac:dyDescent="0.25">
      <c r="A239" s="1665"/>
      <c r="B239" s="1490"/>
      <c r="C239" s="1491"/>
      <c r="D239" s="1491"/>
      <c r="E239" s="1491"/>
      <c r="F239" s="1491"/>
      <c r="G239" s="1492"/>
      <c r="H239" s="983"/>
      <c r="I239" s="1017"/>
      <c r="J239" s="1029"/>
      <c r="K239" s="1030"/>
      <c r="L239" s="984"/>
      <c r="M239" s="985"/>
      <c r="N239" s="985"/>
      <c r="O239" s="985"/>
      <c r="P239" s="985"/>
      <c r="Q239" s="978"/>
      <c r="R239" s="972"/>
      <c r="S239" s="973"/>
      <c r="T239" s="1258"/>
      <c r="U239" s="1337"/>
      <c r="Y239" s="74"/>
      <c r="Z239" s="77"/>
      <c r="AA239" s="78"/>
      <c r="AB239" s="592">
        <f t="shared" si="3"/>
        <v>0</v>
      </c>
      <c r="AC239" s="68"/>
      <c r="AD239" s="68"/>
      <c r="AE239" s="68"/>
      <c r="AF239" s="68"/>
      <c r="AG239" s="68"/>
      <c r="AH239" s="68"/>
      <c r="AI239" s="68"/>
      <c r="AJ239" s="68"/>
      <c r="AK239" s="68"/>
    </row>
    <row r="240" spans="1:37" ht="15" customHeight="1" x14ac:dyDescent="0.25">
      <c r="A240" s="1665"/>
      <c r="B240" s="1487" t="s">
        <v>275</v>
      </c>
      <c r="C240" s="1488"/>
      <c r="D240" s="1488"/>
      <c r="E240" s="1488"/>
      <c r="F240" s="1488"/>
      <c r="G240" s="1489"/>
      <c r="H240" s="981" t="s">
        <v>100</v>
      </c>
      <c r="I240" s="1017"/>
      <c r="J240" s="1029"/>
      <c r="K240" s="1030"/>
      <c r="L240" s="984"/>
      <c r="M240" s="985"/>
      <c r="N240" s="985"/>
      <c r="O240" s="985"/>
      <c r="P240" s="985"/>
      <c r="Q240" s="978"/>
      <c r="R240" s="972"/>
      <c r="S240" s="973"/>
      <c r="T240" s="1258"/>
      <c r="U240" s="1337"/>
      <c r="Y240" s="74">
        <v>4.0000000000000001E-3</v>
      </c>
      <c r="Z240" s="77">
        <f>IF(H240="ja",Y240,0)</f>
        <v>0</v>
      </c>
      <c r="AA240" s="78"/>
      <c r="AB240" s="592">
        <f t="shared" si="3"/>
        <v>0</v>
      </c>
      <c r="AC240" s="68"/>
      <c r="AD240" s="68"/>
      <c r="AE240" s="68"/>
      <c r="AF240" s="68"/>
      <c r="AG240" s="68"/>
      <c r="AH240" s="68"/>
      <c r="AI240" s="68"/>
      <c r="AJ240" s="68"/>
      <c r="AK240" s="68"/>
    </row>
    <row r="241" spans="1:37" ht="15" customHeight="1" x14ac:dyDescent="0.25">
      <c r="A241" s="1665"/>
      <c r="B241" s="1493"/>
      <c r="C241" s="1317"/>
      <c r="D241" s="1317"/>
      <c r="E241" s="1317"/>
      <c r="F241" s="1317"/>
      <c r="G241" s="1494"/>
      <c r="H241" s="982"/>
      <c r="I241" s="1017"/>
      <c r="J241" s="1029"/>
      <c r="K241" s="1030"/>
      <c r="L241" s="984"/>
      <c r="M241" s="985"/>
      <c r="N241" s="985"/>
      <c r="O241" s="985"/>
      <c r="P241" s="985"/>
      <c r="Q241" s="978" t="s">
        <v>100</v>
      </c>
      <c r="R241" s="972"/>
      <c r="S241" s="973"/>
      <c r="T241" s="1258"/>
      <c r="U241" s="1337"/>
      <c r="V241" s="72">
        <f>IF(AND(Q241="ja",R241=""),1,0)</f>
        <v>0</v>
      </c>
      <c r="Y241" s="74"/>
      <c r="Z241" s="77"/>
      <c r="AB241" s="592">
        <f t="shared" si="3"/>
        <v>0</v>
      </c>
      <c r="AC241" s="68"/>
      <c r="AD241" s="68"/>
      <c r="AE241" s="68"/>
      <c r="AF241" s="68"/>
      <c r="AG241" s="68"/>
      <c r="AH241" s="68"/>
      <c r="AI241" s="68"/>
      <c r="AJ241" s="68"/>
      <c r="AK241" s="68"/>
    </row>
    <row r="242" spans="1:37" ht="15" customHeight="1" x14ac:dyDescent="0.25">
      <c r="A242" s="1665"/>
      <c r="B242" s="1490"/>
      <c r="C242" s="1491"/>
      <c r="D242" s="1491"/>
      <c r="E242" s="1491"/>
      <c r="F242" s="1491"/>
      <c r="G242" s="1492"/>
      <c r="H242" s="983"/>
      <c r="I242" s="1017"/>
      <c r="J242" s="1029"/>
      <c r="K242" s="1030"/>
      <c r="L242" s="984"/>
      <c r="M242" s="985"/>
      <c r="N242" s="985"/>
      <c r="O242" s="985"/>
      <c r="P242" s="985"/>
      <c r="Q242" s="978"/>
      <c r="R242" s="972"/>
      <c r="S242" s="973"/>
      <c r="T242" s="1258"/>
      <c r="U242" s="1337"/>
      <c r="Y242" s="74"/>
      <c r="Z242" s="77"/>
      <c r="AB242" s="592">
        <f t="shared" si="3"/>
        <v>0</v>
      </c>
      <c r="AC242" s="68"/>
      <c r="AD242" s="68"/>
      <c r="AE242" s="68"/>
      <c r="AF242" s="68"/>
      <c r="AG242" s="68"/>
      <c r="AH242" s="68"/>
      <c r="AI242" s="68"/>
      <c r="AJ242" s="68"/>
      <c r="AK242" s="68"/>
    </row>
    <row r="243" spans="1:37" ht="15" customHeight="1" x14ac:dyDescent="0.25">
      <c r="A243" s="1665"/>
      <c r="B243" s="1184" t="s">
        <v>276</v>
      </c>
      <c r="C243" s="1185"/>
      <c r="D243" s="1185"/>
      <c r="E243" s="1185"/>
      <c r="F243" s="1185"/>
      <c r="G243" s="1186"/>
      <c r="H243" s="315" t="s">
        <v>100</v>
      </c>
      <c r="I243" s="1018"/>
      <c r="J243" s="1031"/>
      <c r="K243" s="1032"/>
      <c r="L243" s="1369"/>
      <c r="M243" s="1370"/>
      <c r="N243" s="1370"/>
      <c r="O243" s="1370"/>
      <c r="P243" s="1370"/>
      <c r="Q243" s="979"/>
      <c r="R243" s="974"/>
      <c r="S243" s="975"/>
      <c r="T243" s="1259"/>
      <c r="U243" s="1337"/>
      <c r="Y243" s="74">
        <v>1E-3</v>
      </c>
      <c r="Z243" s="77">
        <f>IF(H243="ja",Y243,0)</f>
        <v>0</v>
      </c>
      <c r="AB243" s="592">
        <f t="shared" si="3"/>
        <v>0</v>
      </c>
      <c r="AC243" s="68"/>
      <c r="AD243" s="68"/>
      <c r="AE243" s="68"/>
      <c r="AF243" s="68"/>
      <c r="AG243" s="68"/>
      <c r="AH243" s="68"/>
      <c r="AI243" s="68"/>
      <c r="AJ243" s="68"/>
      <c r="AK243" s="68"/>
    </row>
    <row r="244" spans="1:37" x14ac:dyDescent="0.25">
      <c r="B244" s="1502" t="s">
        <v>277</v>
      </c>
      <c r="C244" s="1503"/>
      <c r="D244" s="1503"/>
      <c r="E244" s="1503"/>
      <c r="F244" s="1503"/>
      <c r="G244" s="1503"/>
      <c r="H244" s="1503"/>
      <c r="I244" s="1500">
        <f>I235+I193+I178+I154+I128+I119+I82+I55+I39+I133+I143+I144+I145+I150</f>
        <v>0.28000000000000003</v>
      </c>
      <c r="J244" s="1506">
        <f>J235+J193+J178+J154+J128+J119+J82+J55+J39+J133+J143+J144+J145+J150</f>
        <v>0</v>
      </c>
      <c r="K244" s="1161"/>
      <c r="L244" s="1355">
        <f>SUM(R235:S243)</f>
        <v>0</v>
      </c>
      <c r="M244" s="1356"/>
      <c r="N244" s="1356"/>
      <c r="O244" s="1356"/>
      <c r="P244" s="1666"/>
      <c r="Q244" s="1329"/>
      <c r="R244" s="1327">
        <f>SUM(R235:S243)+SUM(R193:S233)+SUM(R178:S191)+SUM(R154:S176)+SUM(R128:S152)+SUM(R119:S126)+SUM(R82:S114)+SUM(R55:S77)+SUM(R39:S53)</f>
        <v>0</v>
      </c>
      <c r="S244" s="1037"/>
      <c r="T244" s="1567"/>
      <c r="U244" s="1610"/>
      <c r="Z244" s="152">
        <f>SUM(Z235:Z243)</f>
        <v>0</v>
      </c>
      <c r="AC244" s="68"/>
      <c r="AD244" s="68"/>
      <c r="AE244" s="68"/>
      <c r="AF244" s="68"/>
      <c r="AG244" s="68"/>
      <c r="AH244" s="68"/>
      <c r="AI244" s="68"/>
      <c r="AJ244" s="68"/>
      <c r="AK244" s="68"/>
    </row>
    <row r="245" spans="1:37" ht="15" customHeight="1" x14ac:dyDescent="0.25">
      <c r="B245" s="1504"/>
      <c r="C245" s="1505"/>
      <c r="D245" s="1505"/>
      <c r="E245" s="1505"/>
      <c r="F245" s="1505"/>
      <c r="G245" s="1505"/>
      <c r="H245" s="1505"/>
      <c r="I245" s="1501"/>
      <c r="J245" s="1507"/>
      <c r="K245" s="1163"/>
      <c r="L245" s="1359"/>
      <c r="M245" s="1360"/>
      <c r="N245" s="1360"/>
      <c r="O245" s="1360"/>
      <c r="P245" s="1667"/>
      <c r="Q245" s="1330"/>
      <c r="R245" s="1328"/>
      <c r="S245" s="1043"/>
      <c r="T245" s="1569"/>
      <c r="U245" s="1610"/>
      <c r="V245" s="72">
        <f>SUM(V39:V243)+R23</f>
        <v>4</v>
      </c>
      <c r="AB245" s="550">
        <f>SUM(AB39:AB243)</f>
        <v>4</v>
      </c>
      <c r="AC245" s="68"/>
      <c r="AD245" s="68"/>
      <c r="AE245" s="68"/>
      <c r="AF245" s="68"/>
      <c r="AG245" s="68"/>
      <c r="AH245" s="68"/>
      <c r="AI245" s="68"/>
      <c r="AJ245" s="68"/>
      <c r="AK245" s="68"/>
    </row>
    <row r="247" spans="1:37" x14ac:dyDescent="0.25">
      <c r="A247" s="491" t="s">
        <v>279</v>
      </c>
      <c r="B247" s="40" t="str">
        <f>IF(B1=V1,"Honorarangebot für die zunächst beauftragten und für die optionalen Leistungen","Honorarvereinbarung für die zunächst beauftragten und für die optionalen Leistungen ")</f>
        <v>Honorarangebot für die zunächst beauftragten und für die optionalen Leistungen</v>
      </c>
      <c r="Q247" s="40"/>
      <c r="AA247" s="151"/>
    </row>
    <row r="248" spans="1:37" x14ac:dyDescent="0.25">
      <c r="A248" s="491"/>
    </row>
    <row r="249" spans="1:37" x14ac:dyDescent="0.25">
      <c r="A249" s="491"/>
      <c r="B249" s="941" t="s">
        <v>55</v>
      </c>
      <c r="C249" s="942"/>
      <c r="D249" s="942"/>
      <c r="E249" s="942"/>
      <c r="F249" s="943"/>
      <c r="G249" s="99"/>
      <c r="H249" s="944">
        <f>J244</f>
        <v>0</v>
      </c>
      <c r="I249" s="944"/>
      <c r="J249" s="945"/>
    </row>
    <row r="250" spans="1:37" x14ac:dyDescent="0.25">
      <c r="A250" s="491"/>
      <c r="B250" s="301"/>
      <c r="C250" s="41"/>
      <c r="D250" s="41"/>
      <c r="E250" s="41"/>
      <c r="F250" s="302"/>
      <c r="G250" s="101"/>
      <c r="H250" s="303"/>
      <c r="I250" s="303"/>
      <c r="J250" s="304"/>
    </row>
    <row r="251" spans="1:37" ht="15.95" customHeight="1" x14ac:dyDescent="0.25">
      <c r="A251" s="491"/>
      <c r="B251" s="1298" t="s">
        <v>280</v>
      </c>
      <c r="C251" s="1299"/>
      <c r="D251" s="1299"/>
      <c r="E251" s="1299"/>
      <c r="F251" s="1300"/>
      <c r="G251" s="102">
        <f>F23</f>
        <v>0</v>
      </c>
      <c r="H251" s="956">
        <f>H249*G251</f>
        <v>0</v>
      </c>
      <c r="I251" s="956"/>
      <c r="J251" s="957"/>
      <c r="K251" s="96">
        <f>H249+H251</f>
        <v>0</v>
      </c>
    </row>
    <row r="252" spans="1:37" x14ac:dyDescent="0.25">
      <c r="A252" s="491"/>
      <c r="B252" s="90"/>
      <c r="C252" s="91"/>
      <c r="D252" s="91"/>
      <c r="E252" s="91"/>
      <c r="F252" s="92"/>
      <c r="G252" s="88"/>
      <c r="J252" s="89"/>
    </row>
    <row r="253" spans="1:37" x14ac:dyDescent="0.25">
      <c r="A253" s="491"/>
      <c r="B253" s="926" t="s">
        <v>57</v>
      </c>
      <c r="C253" s="927"/>
      <c r="D253" s="927"/>
      <c r="E253" s="927"/>
      <c r="F253" s="928"/>
      <c r="G253" s="101"/>
      <c r="H253" s="954">
        <f>R244</f>
        <v>0</v>
      </c>
      <c r="I253" s="954"/>
      <c r="J253" s="955"/>
    </row>
    <row r="254" spans="1:37" x14ac:dyDescent="0.25">
      <c r="A254" s="491"/>
      <c r="B254" s="296"/>
      <c r="C254" s="297"/>
      <c r="D254" s="297"/>
      <c r="E254" s="297"/>
      <c r="F254" s="298"/>
      <c r="G254" s="1333"/>
      <c r="H254" s="1334"/>
      <c r="I254" s="1334"/>
      <c r="J254" s="1335"/>
    </row>
    <row r="255" spans="1:37" ht="15.95" customHeight="1" x14ac:dyDescent="0.25">
      <c r="A255" s="491"/>
      <c r="B255" s="929" t="s">
        <v>59</v>
      </c>
      <c r="C255" s="930"/>
      <c r="D255" s="930"/>
      <c r="E255" s="930"/>
      <c r="F255" s="931"/>
      <c r="G255" s="107"/>
      <c r="H255" s="935">
        <f>SUM(H249:J253)</f>
        <v>0</v>
      </c>
      <c r="I255" s="935"/>
      <c r="J255" s="936"/>
    </row>
    <row r="256" spans="1:37" x14ac:dyDescent="0.25">
      <c r="A256" s="491"/>
      <c r="B256" s="320"/>
      <c r="C256" s="321"/>
      <c r="D256" s="321"/>
      <c r="E256" s="321"/>
      <c r="F256" s="322"/>
      <c r="G256" s="45"/>
      <c r="H256" s="93"/>
      <c r="I256" s="93"/>
      <c r="J256" s="94"/>
    </row>
    <row r="257" spans="1:26" ht="15" customHeight="1" x14ac:dyDescent="0.25">
      <c r="A257" s="491"/>
      <c r="B257" s="917" t="s">
        <v>60</v>
      </c>
      <c r="C257" s="918"/>
      <c r="D257" s="918"/>
      <c r="E257" s="918"/>
      <c r="F257" s="919"/>
      <c r="G257" s="100">
        <f>Überblick!$G$98</f>
        <v>0.19</v>
      </c>
      <c r="H257" s="954">
        <f>H255*G257</f>
        <v>0</v>
      </c>
      <c r="I257" s="954"/>
      <c r="J257" s="955"/>
    </row>
    <row r="258" spans="1:26" x14ac:dyDescent="0.25">
      <c r="A258" s="491"/>
      <c r="B258" s="305"/>
      <c r="C258" s="306"/>
      <c r="D258" s="306"/>
      <c r="E258" s="306"/>
      <c r="F258" s="307"/>
      <c r="G258" s="102"/>
      <c r="H258" s="299"/>
      <c r="I258" s="299"/>
      <c r="J258" s="300"/>
    </row>
    <row r="259" spans="1:26" ht="15" customHeight="1" x14ac:dyDescent="0.25">
      <c r="A259" s="491"/>
      <c r="B259" s="920" t="s">
        <v>281</v>
      </c>
      <c r="C259" s="921"/>
      <c r="D259" s="921"/>
      <c r="E259" s="921"/>
      <c r="F259" s="922"/>
      <c r="G259" s="97"/>
      <c r="H259" s="937">
        <f>H255+H257</f>
        <v>0</v>
      </c>
      <c r="I259" s="937"/>
      <c r="J259" s="938"/>
    </row>
    <row r="260" spans="1:26" x14ac:dyDescent="0.25">
      <c r="A260" s="491"/>
      <c r="B260" s="923"/>
      <c r="C260" s="924"/>
      <c r="D260" s="924"/>
      <c r="E260" s="924"/>
      <c r="F260" s="925"/>
      <c r="G260" s="98"/>
      <c r="H260" s="939"/>
      <c r="I260" s="939"/>
      <c r="J260" s="940"/>
    </row>
    <row r="261" spans="1:26" x14ac:dyDescent="0.25">
      <c r="A261" s="491"/>
    </row>
    <row r="262" spans="1:26" x14ac:dyDescent="0.25">
      <c r="A262" s="491" t="s">
        <v>282</v>
      </c>
      <c r="B262" s="60" t="str">
        <f>IF(B1=V1,"Honorangebot für die zunächst beauftragenden Leistungen","Honorarvereinbarung für die zunächst beauftragenden Leistungen")</f>
        <v>Honorangebot für die zunächst beauftragenden Leistungen</v>
      </c>
      <c r="C262" s="60"/>
      <c r="D262" s="60"/>
      <c r="E262" s="60"/>
      <c r="F262" s="65"/>
      <c r="G262" s="65"/>
      <c r="H262" s="65"/>
      <c r="I262" s="66"/>
      <c r="J262" s="66"/>
      <c r="K262" s="66"/>
      <c r="L262" s="66"/>
      <c r="M262" s="66"/>
      <c r="N262" s="66"/>
      <c r="O262" s="66"/>
      <c r="P262" s="67"/>
      <c r="Q262" s="60"/>
      <c r="R262" s="67"/>
      <c r="S262" s="67"/>
      <c r="T262" s="67"/>
      <c r="U262" s="67"/>
      <c r="Z262" s="461"/>
    </row>
    <row r="263" spans="1:26" x14ac:dyDescent="0.25">
      <c r="A263" s="491"/>
      <c r="B263" s="60"/>
      <c r="C263" s="60"/>
      <c r="D263" s="60"/>
      <c r="E263" s="60"/>
      <c r="F263" s="65"/>
      <c r="G263" s="65"/>
      <c r="H263" s="65"/>
      <c r="I263" s="66"/>
      <c r="J263" s="66"/>
      <c r="K263" s="66"/>
      <c r="L263" s="66"/>
      <c r="M263" s="66"/>
      <c r="N263" s="66"/>
      <c r="O263" s="66"/>
      <c r="P263" s="67"/>
      <c r="Q263" s="67"/>
      <c r="R263" s="67"/>
      <c r="S263" s="67"/>
      <c r="T263" s="67"/>
      <c r="U263" s="67"/>
    </row>
    <row r="264" spans="1:26" x14ac:dyDescent="0.25">
      <c r="A264" s="491"/>
      <c r="B264" s="941" t="s">
        <v>55</v>
      </c>
      <c r="C264" s="942"/>
      <c r="D264" s="942"/>
      <c r="E264" s="942"/>
      <c r="F264" s="943"/>
      <c r="G264" s="99"/>
      <c r="H264" s="944">
        <f>'Berechnung - Wärme'!C123</f>
        <v>0</v>
      </c>
      <c r="I264" s="944"/>
      <c r="J264" s="945"/>
      <c r="K264" s="66"/>
      <c r="L264" s="66"/>
      <c r="M264" s="66"/>
      <c r="N264" s="66"/>
      <c r="O264" s="66"/>
      <c r="P264" s="67"/>
      <c r="Q264" s="67"/>
      <c r="R264" s="67"/>
      <c r="S264" s="67"/>
      <c r="T264" s="67"/>
      <c r="U264" s="67"/>
    </row>
    <row r="265" spans="1:26" x14ac:dyDescent="0.25">
      <c r="A265" s="491"/>
      <c r="B265" s="301"/>
      <c r="C265" s="41"/>
      <c r="D265" s="41"/>
      <c r="E265" s="41"/>
      <c r="F265" s="302"/>
      <c r="G265" s="101"/>
      <c r="H265" s="303"/>
      <c r="I265" s="303"/>
      <c r="J265" s="304"/>
      <c r="K265" s="66"/>
      <c r="L265" s="66"/>
      <c r="M265" s="66"/>
      <c r="N265" s="66"/>
      <c r="O265" s="66"/>
      <c r="P265" s="67"/>
      <c r="Q265" s="67"/>
      <c r="R265" s="67"/>
      <c r="S265" s="67"/>
      <c r="T265" s="67"/>
      <c r="U265" s="67"/>
    </row>
    <row r="266" spans="1:26" ht="15" customHeight="1" x14ac:dyDescent="0.25">
      <c r="A266" s="491"/>
      <c r="B266" s="1298" t="s">
        <v>280</v>
      </c>
      <c r="C266" s="1299"/>
      <c r="D266" s="1299"/>
      <c r="E266" s="1299"/>
      <c r="F266" s="1300"/>
      <c r="G266" s="102">
        <f>F23</f>
        <v>0</v>
      </c>
      <c r="H266" s="956">
        <f>H264*G266</f>
        <v>0</v>
      </c>
      <c r="I266" s="956"/>
      <c r="J266" s="957"/>
      <c r="K266" s="66"/>
      <c r="L266" s="66"/>
      <c r="M266" s="66"/>
      <c r="N266" s="66"/>
      <c r="O266" s="66"/>
      <c r="P266" s="67"/>
      <c r="Q266" s="67"/>
      <c r="R266" s="67"/>
      <c r="S266" s="67"/>
      <c r="T266" s="67"/>
      <c r="U266" s="67"/>
    </row>
    <row r="267" spans="1:26" x14ac:dyDescent="0.25">
      <c r="A267" s="491"/>
      <c r="B267" s="90"/>
      <c r="C267" s="91"/>
      <c r="D267" s="91"/>
      <c r="E267" s="91"/>
      <c r="F267" s="92"/>
      <c r="G267" s="45"/>
      <c r="H267" s="46"/>
      <c r="I267" s="46"/>
      <c r="J267" s="105"/>
      <c r="K267" s="66"/>
      <c r="L267" s="66"/>
      <c r="M267" s="66"/>
      <c r="N267" s="66"/>
      <c r="O267" s="66"/>
      <c r="P267" s="67"/>
      <c r="Q267" s="67"/>
      <c r="R267" s="67"/>
      <c r="S267" s="67"/>
      <c r="T267" s="67"/>
      <c r="U267" s="67"/>
    </row>
    <row r="268" spans="1:26" x14ac:dyDescent="0.25">
      <c r="A268" s="491"/>
      <c r="B268" s="926" t="s">
        <v>57</v>
      </c>
      <c r="C268" s="927"/>
      <c r="D268" s="927"/>
      <c r="E268" s="927"/>
      <c r="F268" s="928"/>
      <c r="G268" s="101"/>
      <c r="H268" s="954">
        <f>'Berechnung - Wärme'!E123</f>
        <v>0</v>
      </c>
      <c r="I268" s="954"/>
      <c r="J268" s="955"/>
      <c r="K268" s="66"/>
      <c r="L268" s="66"/>
      <c r="M268" s="66"/>
      <c r="N268" s="66"/>
      <c r="O268" s="66"/>
      <c r="P268" s="67"/>
      <c r="Q268" s="67"/>
      <c r="R268" s="67"/>
      <c r="S268" s="67"/>
      <c r="T268" s="67"/>
      <c r="U268" s="67"/>
    </row>
    <row r="269" spans="1:26" x14ac:dyDescent="0.25">
      <c r="A269" s="491"/>
      <c r="B269" s="90"/>
      <c r="C269" s="91"/>
      <c r="D269" s="91"/>
      <c r="E269" s="91"/>
      <c r="F269" s="92"/>
      <c r="G269" s="1333"/>
      <c r="H269" s="1334"/>
      <c r="I269" s="1334"/>
      <c r="J269" s="1335"/>
      <c r="K269" s="66"/>
      <c r="L269" s="66"/>
      <c r="M269" s="66"/>
      <c r="N269" s="66"/>
      <c r="O269" s="66"/>
      <c r="P269" s="67"/>
      <c r="Q269" s="67"/>
      <c r="R269" s="67"/>
      <c r="S269" s="67"/>
      <c r="T269" s="67"/>
      <c r="U269" s="67"/>
    </row>
    <row r="270" spans="1:26" ht="15.95" customHeight="1" x14ac:dyDescent="0.25">
      <c r="A270" s="491"/>
      <c r="B270" s="929" t="s">
        <v>59</v>
      </c>
      <c r="C270" s="930"/>
      <c r="D270" s="930"/>
      <c r="E270" s="930"/>
      <c r="F270" s="931"/>
      <c r="G270" s="107"/>
      <c r="H270" s="935">
        <f>SUM(H264:J268)</f>
        <v>0</v>
      </c>
      <c r="I270" s="935"/>
      <c r="J270" s="936"/>
      <c r="K270" s="66"/>
      <c r="L270" s="66"/>
      <c r="M270" s="66"/>
      <c r="N270" s="66"/>
      <c r="O270" s="66"/>
      <c r="P270" s="67"/>
      <c r="Q270" s="67"/>
      <c r="R270" s="67"/>
      <c r="S270" s="67"/>
      <c r="T270" s="67"/>
      <c r="U270" s="67"/>
    </row>
    <row r="271" spans="1:26" x14ac:dyDescent="0.25">
      <c r="A271" s="491"/>
      <c r="B271" s="320"/>
      <c r="C271" s="321"/>
      <c r="D271" s="321"/>
      <c r="E271" s="321"/>
      <c r="F271" s="322"/>
      <c r="G271" s="45"/>
      <c r="H271" s="93"/>
      <c r="I271" s="93"/>
      <c r="J271" s="94"/>
      <c r="K271" s="66"/>
      <c r="L271" s="66"/>
      <c r="M271" s="66"/>
      <c r="N271" s="66"/>
      <c r="O271" s="66"/>
      <c r="P271" s="67"/>
      <c r="Q271" s="67"/>
      <c r="R271" s="67"/>
      <c r="S271" s="67"/>
      <c r="T271" s="67"/>
      <c r="U271" s="67"/>
    </row>
    <row r="272" spans="1:26" ht="15" customHeight="1" x14ac:dyDescent="0.25">
      <c r="A272" s="491"/>
      <c r="B272" s="917" t="s">
        <v>94</v>
      </c>
      <c r="C272" s="918"/>
      <c r="D272" s="918"/>
      <c r="E272" s="918"/>
      <c r="F272" s="919"/>
      <c r="G272" s="100">
        <f>Überblick!$G$98</f>
        <v>0.19</v>
      </c>
      <c r="H272" s="954">
        <f>H270*G272</f>
        <v>0</v>
      </c>
      <c r="I272" s="954"/>
      <c r="J272" s="955"/>
      <c r="K272" s="66"/>
      <c r="L272" s="66"/>
      <c r="M272" s="66"/>
      <c r="N272" s="66"/>
      <c r="O272" s="66"/>
      <c r="P272" s="67"/>
      <c r="Q272" s="67"/>
      <c r="R272" s="67"/>
      <c r="S272" s="67"/>
      <c r="T272" s="67"/>
      <c r="U272" s="67"/>
    </row>
    <row r="273" spans="1:21" x14ac:dyDescent="0.25">
      <c r="A273" s="491"/>
      <c r="B273" s="305"/>
      <c r="C273" s="306"/>
      <c r="D273" s="306"/>
      <c r="E273" s="306"/>
      <c r="F273" s="307"/>
      <c r="G273" s="102"/>
      <c r="H273" s="299"/>
      <c r="I273" s="299"/>
      <c r="J273" s="300"/>
      <c r="K273" s="66"/>
      <c r="L273" s="66"/>
      <c r="M273" s="66"/>
      <c r="N273" s="66"/>
      <c r="O273" s="66"/>
      <c r="P273" s="67"/>
      <c r="Q273" s="67"/>
      <c r="R273" s="67"/>
      <c r="S273" s="67"/>
      <c r="T273" s="67"/>
      <c r="U273" s="67"/>
    </row>
    <row r="274" spans="1:21" ht="15" customHeight="1" x14ac:dyDescent="0.25">
      <c r="A274" s="491"/>
      <c r="B274" s="920" t="s">
        <v>98</v>
      </c>
      <c r="C274" s="921"/>
      <c r="D274" s="921"/>
      <c r="E274" s="921"/>
      <c r="F274" s="922"/>
      <c r="G274" s="172"/>
      <c r="H274" s="937">
        <f>H270+H272</f>
        <v>0</v>
      </c>
      <c r="I274" s="937"/>
      <c r="J274" s="938"/>
      <c r="K274" s="66"/>
      <c r="L274" s="66"/>
      <c r="M274" s="66"/>
      <c r="N274" s="66"/>
      <c r="O274" s="66"/>
      <c r="P274" s="67"/>
      <c r="Q274" s="67"/>
      <c r="R274" s="67"/>
      <c r="S274" s="67"/>
      <c r="T274" s="67"/>
      <c r="U274" s="67"/>
    </row>
    <row r="275" spans="1:21" x14ac:dyDescent="0.25">
      <c r="A275" s="491"/>
      <c r="B275" s="923"/>
      <c r="C275" s="924"/>
      <c r="D275" s="924"/>
      <c r="E275" s="924"/>
      <c r="F275" s="925"/>
      <c r="G275" s="98"/>
      <c r="H275" s="939"/>
      <c r="I275" s="939"/>
      <c r="J275" s="940"/>
      <c r="K275" s="66"/>
      <c r="L275" s="66"/>
      <c r="M275" s="66"/>
      <c r="N275" s="66"/>
      <c r="O275" s="66"/>
      <c r="P275" s="67"/>
      <c r="Q275" s="67"/>
      <c r="R275" s="67"/>
      <c r="S275" s="67"/>
      <c r="T275" s="67"/>
      <c r="U275" s="67"/>
    </row>
    <row r="276" spans="1:21" x14ac:dyDescent="0.25">
      <c r="A276" s="491"/>
      <c r="B276" s="60"/>
      <c r="C276" s="60"/>
      <c r="D276" s="60"/>
      <c r="E276" s="60"/>
      <c r="F276" s="65"/>
      <c r="G276" s="65"/>
      <c r="H276" s="65"/>
      <c r="I276" s="66"/>
      <c r="J276" s="66"/>
      <c r="K276" s="66"/>
      <c r="L276" s="66"/>
      <c r="M276" s="66"/>
      <c r="N276" s="66"/>
      <c r="O276" s="66"/>
      <c r="P276" s="67"/>
      <c r="Q276" s="67"/>
      <c r="R276" s="67"/>
      <c r="S276" s="67"/>
      <c r="T276" s="67"/>
      <c r="U276" s="67"/>
    </row>
    <row r="277" spans="1:21" x14ac:dyDescent="0.25">
      <c r="A277" s="491" t="s">
        <v>284</v>
      </c>
      <c r="B277" s="40" t="str">
        <f>IF(B1=V1,"Gemäß des Honorarangebotes werden die Stufen wie folgt vergütet (netto):","Gemäß der Honorarvereinbarung werden die Stufen wie folgt vergütet (netto): ")</f>
        <v>Gemäß des Honorarangebotes werden die Stufen wie folgt vergütet (netto):</v>
      </c>
      <c r="C277" s="40"/>
      <c r="D277" s="40"/>
      <c r="E277" s="40"/>
      <c r="F277" s="40"/>
      <c r="G277" s="40"/>
      <c r="H277" s="40"/>
      <c r="I277" s="40"/>
      <c r="J277" s="40"/>
      <c r="K277" s="40"/>
      <c r="L277" s="60"/>
      <c r="M277" s="66"/>
      <c r="N277" s="66"/>
      <c r="O277" s="40"/>
      <c r="P277" s="67"/>
      <c r="Q277" s="67"/>
      <c r="R277" s="67"/>
      <c r="S277" s="67"/>
      <c r="T277" s="67"/>
      <c r="U277" s="67"/>
    </row>
    <row r="278" spans="1:21" x14ac:dyDescent="0.25">
      <c r="A278" s="491"/>
      <c r="B278" s="60"/>
      <c r="C278" s="60"/>
      <c r="D278" s="60"/>
      <c r="E278" s="60"/>
      <c r="F278" s="65"/>
      <c r="G278" s="65"/>
      <c r="H278" s="65"/>
      <c r="I278" s="66"/>
      <c r="J278" s="66"/>
      <c r="K278" s="66"/>
      <c r="L278" s="66"/>
      <c r="M278" s="66"/>
      <c r="N278" s="66"/>
      <c r="O278" s="40"/>
      <c r="P278" s="67"/>
      <c r="Q278" s="67"/>
      <c r="R278" s="67"/>
      <c r="S278" s="67"/>
      <c r="T278" s="67"/>
      <c r="U278" s="67"/>
    </row>
    <row r="279" spans="1:21" x14ac:dyDescent="0.25">
      <c r="A279" s="491"/>
      <c r="B279" s="357" t="s">
        <v>105</v>
      </c>
      <c r="C279" s="358" t="s">
        <v>285</v>
      </c>
      <c r="D279" s="359" t="s">
        <v>286</v>
      </c>
      <c r="E279" s="360" t="s">
        <v>287</v>
      </c>
      <c r="F279" s="360" t="s">
        <v>288</v>
      </c>
      <c r="G279" s="361" t="s">
        <v>289</v>
      </c>
      <c r="H279" s="361" t="s">
        <v>290</v>
      </c>
      <c r="I279" s="362" t="s">
        <v>291</v>
      </c>
      <c r="J279" s="362" t="s">
        <v>292</v>
      </c>
      <c r="K279" s="362" t="s">
        <v>293</v>
      </c>
      <c r="L279" s="362" t="s">
        <v>294</v>
      </c>
      <c r="M279" s="362" t="s">
        <v>295</v>
      </c>
      <c r="N279" s="362" t="s">
        <v>296</v>
      </c>
      <c r="O279" s="362" t="s">
        <v>297</v>
      </c>
      <c r="P279" s="363" t="s">
        <v>298</v>
      </c>
      <c r="Q279" s="67"/>
      <c r="R279" s="67"/>
      <c r="S279" s="67"/>
      <c r="T279" s="67"/>
      <c r="U279" s="67"/>
    </row>
    <row r="280" spans="1:21" x14ac:dyDescent="0.25">
      <c r="A280" s="492"/>
      <c r="B280" s="153" t="str">
        <f>IF(Überblick!$H$53&gt;=1,"1:",0)</f>
        <v>1:</v>
      </c>
      <c r="C280" s="481">
        <f>'Berechnung - Wärme'!C135</f>
        <v>0</v>
      </c>
      <c r="D280" s="481">
        <f>'Berechnung - Wärme'!D135</f>
        <v>0</v>
      </c>
      <c r="E280" s="481">
        <f>'Berechnung - Wärme'!E135</f>
        <v>0</v>
      </c>
      <c r="F280" s="481">
        <f>'Berechnung - Wärme'!F135</f>
        <v>0</v>
      </c>
      <c r="G280" s="481">
        <f>'Berechnung - Wärme'!G135</f>
        <v>0</v>
      </c>
      <c r="H280" s="481">
        <f>'Berechnung - Wärme'!H135</f>
        <v>0</v>
      </c>
      <c r="I280" s="481">
        <f>'Berechnung - Wärme'!I135</f>
        <v>0</v>
      </c>
      <c r="J280" s="481">
        <f>'Berechnung - Wärme'!J135</f>
        <v>0</v>
      </c>
      <c r="K280" s="481">
        <f>'Berechnung - Wärme'!K135</f>
        <v>0</v>
      </c>
      <c r="L280" s="481">
        <f>'Berechnung - Wärme'!L135</f>
        <v>0</v>
      </c>
      <c r="M280" s="481">
        <f>'Berechnung - Wärme'!M135</f>
        <v>0</v>
      </c>
      <c r="N280" s="481">
        <f>'Berechnung - Wärme'!N135</f>
        <v>0</v>
      </c>
      <c r="O280" s="481">
        <f>'Berechnung - Wärme'!O135</f>
        <v>0</v>
      </c>
      <c r="P280" s="481">
        <f>'Berechnung - Wärme'!P135</f>
        <v>0</v>
      </c>
      <c r="Q280" s="96">
        <f>SUM(C280:P280)</f>
        <v>0</v>
      </c>
      <c r="S280" s="63"/>
      <c r="T280" s="63"/>
      <c r="U280" s="63"/>
    </row>
    <row r="281" spans="1:21" ht="15.95" customHeight="1" x14ac:dyDescent="0.25">
      <c r="A281" s="492"/>
      <c r="B281" s="153" t="str">
        <f>IF(Überblick!$H$53&gt;=2,"2:",0)</f>
        <v>2:</v>
      </c>
      <c r="C281" s="481">
        <f>'Berechnung - Wärme'!C136</f>
        <v>0</v>
      </c>
      <c r="D281" s="481">
        <f>'Berechnung - Wärme'!D136</f>
        <v>0</v>
      </c>
      <c r="E281" s="481">
        <f>'Berechnung - Wärme'!E136</f>
        <v>0</v>
      </c>
      <c r="F281" s="481">
        <f>'Berechnung - Wärme'!F136</f>
        <v>0</v>
      </c>
      <c r="G281" s="481">
        <f>'Berechnung - Wärme'!G136</f>
        <v>0</v>
      </c>
      <c r="H281" s="481">
        <f>'Berechnung - Wärme'!H136</f>
        <v>0</v>
      </c>
      <c r="I281" s="481">
        <f>'Berechnung - Wärme'!I136</f>
        <v>0</v>
      </c>
      <c r="J281" s="481">
        <f>'Berechnung - Wärme'!J136</f>
        <v>0</v>
      </c>
      <c r="K281" s="481">
        <f>'Berechnung - Wärme'!K136</f>
        <v>0</v>
      </c>
      <c r="L281" s="481">
        <f>'Berechnung - Wärme'!L136</f>
        <v>0</v>
      </c>
      <c r="M281" s="481">
        <f>'Berechnung - Wärme'!M136</f>
        <v>0</v>
      </c>
      <c r="N281" s="481">
        <f>'Berechnung - Wärme'!N136</f>
        <v>0</v>
      </c>
      <c r="O281" s="481">
        <f>'Berechnung - Wärme'!O136</f>
        <v>0</v>
      </c>
      <c r="P281" s="481">
        <f>'Berechnung - Wärme'!P136</f>
        <v>0</v>
      </c>
      <c r="Q281" s="96">
        <f t="shared" ref="Q281:Q287" si="4">SUM(C281:P281)</f>
        <v>0</v>
      </c>
    </row>
    <row r="282" spans="1:21" x14ac:dyDescent="0.25">
      <c r="A282" s="59"/>
      <c r="B282" s="153" t="str">
        <f>IF(Überblick!$H$53&gt;=3,"3:",0)</f>
        <v>3:</v>
      </c>
      <c r="C282" s="481">
        <f>'Berechnung - Wärme'!C137</f>
        <v>0</v>
      </c>
      <c r="D282" s="481">
        <f>'Berechnung - Wärme'!D137</f>
        <v>0</v>
      </c>
      <c r="E282" s="481">
        <f>'Berechnung - Wärme'!E137</f>
        <v>0</v>
      </c>
      <c r="F282" s="481">
        <f>'Berechnung - Wärme'!F137</f>
        <v>0</v>
      </c>
      <c r="G282" s="481">
        <f>'Berechnung - Wärme'!G137</f>
        <v>0</v>
      </c>
      <c r="H282" s="481">
        <f>'Berechnung - Wärme'!H137</f>
        <v>0</v>
      </c>
      <c r="I282" s="481">
        <f>'Berechnung - Wärme'!I137</f>
        <v>0</v>
      </c>
      <c r="J282" s="481">
        <f>'Berechnung - Wärme'!J137</f>
        <v>0</v>
      </c>
      <c r="K282" s="481">
        <f>'Berechnung - Wärme'!K137</f>
        <v>0</v>
      </c>
      <c r="L282" s="481">
        <f>'Berechnung - Wärme'!L137</f>
        <v>0</v>
      </c>
      <c r="M282" s="481">
        <f>'Berechnung - Wärme'!M137</f>
        <v>0</v>
      </c>
      <c r="N282" s="481">
        <f>'Berechnung - Wärme'!N137</f>
        <v>0</v>
      </c>
      <c r="O282" s="481">
        <f>'Berechnung - Wärme'!O137</f>
        <v>0</v>
      </c>
      <c r="P282" s="481">
        <f>'Berechnung - Wärme'!P137</f>
        <v>0</v>
      </c>
      <c r="Q282" s="96">
        <f t="shared" si="4"/>
        <v>0</v>
      </c>
    </row>
    <row r="283" spans="1:21" x14ac:dyDescent="0.25">
      <c r="A283" s="491"/>
      <c r="B283" s="153" t="str">
        <f>IF(Überblick!$H$53&gt;=4,"4:",0)</f>
        <v>4:</v>
      </c>
      <c r="C283" s="481">
        <f>'Berechnung - Wärme'!C138</f>
        <v>0</v>
      </c>
      <c r="D283" s="481">
        <f>'Berechnung - Wärme'!D138</f>
        <v>0</v>
      </c>
      <c r="E283" s="481">
        <f>'Berechnung - Wärme'!E138</f>
        <v>0</v>
      </c>
      <c r="F283" s="481">
        <f>'Berechnung - Wärme'!F138</f>
        <v>0</v>
      </c>
      <c r="G283" s="481">
        <f>'Berechnung - Wärme'!G138</f>
        <v>0</v>
      </c>
      <c r="H283" s="481">
        <f>'Berechnung - Wärme'!H138</f>
        <v>0</v>
      </c>
      <c r="I283" s="481">
        <f>'Berechnung - Wärme'!I138</f>
        <v>0</v>
      </c>
      <c r="J283" s="481">
        <f>'Berechnung - Wärme'!J138</f>
        <v>0</v>
      </c>
      <c r="K283" s="481">
        <f>'Berechnung - Wärme'!K138</f>
        <v>0</v>
      </c>
      <c r="L283" s="481">
        <f>'Berechnung - Wärme'!L138</f>
        <v>0</v>
      </c>
      <c r="M283" s="481">
        <f>'Berechnung - Wärme'!M138</f>
        <v>0</v>
      </c>
      <c r="N283" s="481">
        <f>'Berechnung - Wärme'!N138</f>
        <v>0</v>
      </c>
      <c r="O283" s="481">
        <f>'Berechnung - Wärme'!O138</f>
        <v>0</v>
      </c>
      <c r="P283" s="481">
        <f>'Berechnung - Wärme'!P138</f>
        <v>0</v>
      </c>
      <c r="Q283" s="96">
        <f t="shared" si="4"/>
        <v>0</v>
      </c>
    </row>
    <row r="284" spans="1:21" x14ac:dyDescent="0.25">
      <c r="A284" s="491"/>
      <c r="B284" s="153" t="str">
        <f>IF(Überblick!$H$53&gt;=5,"5:",0)</f>
        <v>5:</v>
      </c>
      <c r="C284" s="481">
        <f>'Berechnung - Wärme'!C139</f>
        <v>0</v>
      </c>
      <c r="D284" s="481">
        <f>'Berechnung - Wärme'!D139</f>
        <v>0</v>
      </c>
      <c r="E284" s="481">
        <f>'Berechnung - Wärme'!E139</f>
        <v>0</v>
      </c>
      <c r="F284" s="481">
        <f>'Berechnung - Wärme'!F139</f>
        <v>0</v>
      </c>
      <c r="G284" s="481">
        <f>'Berechnung - Wärme'!G139</f>
        <v>0</v>
      </c>
      <c r="H284" s="481">
        <f>'Berechnung - Wärme'!H139</f>
        <v>0</v>
      </c>
      <c r="I284" s="481">
        <f>'Berechnung - Wärme'!I139</f>
        <v>0</v>
      </c>
      <c r="J284" s="481">
        <f>'Berechnung - Wärme'!J139</f>
        <v>0</v>
      </c>
      <c r="K284" s="481">
        <f>'Berechnung - Wärme'!K139</f>
        <v>0</v>
      </c>
      <c r="L284" s="481">
        <f>'Berechnung - Wärme'!L139</f>
        <v>0</v>
      </c>
      <c r="M284" s="481">
        <f>'Berechnung - Wärme'!M139</f>
        <v>0</v>
      </c>
      <c r="N284" s="481">
        <f>'Berechnung - Wärme'!N139</f>
        <v>0</v>
      </c>
      <c r="O284" s="481">
        <f>'Berechnung - Wärme'!O139</f>
        <v>0</v>
      </c>
      <c r="P284" s="481">
        <f>'Berechnung - Wärme'!P139</f>
        <v>0</v>
      </c>
      <c r="Q284" s="96">
        <f t="shared" si="4"/>
        <v>0</v>
      </c>
    </row>
    <row r="285" spans="1:21" ht="15.95" customHeight="1" x14ac:dyDescent="0.25">
      <c r="A285" s="491"/>
      <c r="B285" s="153" t="str">
        <f>IF(Überblick!$H$53&gt;=6,"6:",0)</f>
        <v>6:</v>
      </c>
      <c r="C285" s="481">
        <f>'Berechnung - Wärme'!C140</f>
        <v>0</v>
      </c>
      <c r="D285" s="481">
        <f>'Berechnung - Wärme'!D140</f>
        <v>0</v>
      </c>
      <c r="E285" s="481">
        <f>'Berechnung - Wärme'!E140</f>
        <v>0</v>
      </c>
      <c r="F285" s="481">
        <f>'Berechnung - Wärme'!F140</f>
        <v>0</v>
      </c>
      <c r="G285" s="481">
        <f>'Berechnung - Wärme'!G140</f>
        <v>0</v>
      </c>
      <c r="H285" s="481">
        <f>'Berechnung - Wärme'!H140</f>
        <v>0</v>
      </c>
      <c r="I285" s="481">
        <f>'Berechnung - Wärme'!I140</f>
        <v>0</v>
      </c>
      <c r="J285" s="481">
        <f>'Berechnung - Wärme'!J140</f>
        <v>0</v>
      </c>
      <c r="K285" s="481">
        <f>'Berechnung - Wärme'!K140</f>
        <v>0</v>
      </c>
      <c r="L285" s="481">
        <f>'Berechnung - Wärme'!L140</f>
        <v>0</v>
      </c>
      <c r="M285" s="481">
        <f>'Berechnung - Wärme'!M140</f>
        <v>0</v>
      </c>
      <c r="N285" s="481">
        <f>'Berechnung - Wärme'!N140</f>
        <v>0</v>
      </c>
      <c r="O285" s="481">
        <f>'Berechnung - Wärme'!O140</f>
        <v>0</v>
      </c>
      <c r="P285" s="481">
        <f>'Berechnung - Wärme'!P140</f>
        <v>0</v>
      </c>
      <c r="Q285" s="96">
        <f t="shared" si="4"/>
        <v>0</v>
      </c>
    </row>
    <row r="286" spans="1:21" x14ac:dyDescent="0.25">
      <c r="A286" s="491"/>
      <c r="B286" s="153">
        <f>IF(Überblick!$H$53&gt;=7,"7:",0)</f>
        <v>0</v>
      </c>
      <c r="C286" s="481">
        <f>'Berechnung - Wärme'!C141</f>
        <v>0</v>
      </c>
      <c r="D286" s="481">
        <f>'Berechnung - Wärme'!D141</f>
        <v>0</v>
      </c>
      <c r="E286" s="481">
        <f>'Berechnung - Wärme'!E141</f>
        <v>0</v>
      </c>
      <c r="F286" s="481">
        <f>'Berechnung - Wärme'!F141</f>
        <v>0</v>
      </c>
      <c r="G286" s="481">
        <f>'Berechnung - Wärme'!G141</f>
        <v>0</v>
      </c>
      <c r="H286" s="481">
        <f>'Berechnung - Wärme'!H141</f>
        <v>0</v>
      </c>
      <c r="I286" s="481">
        <f>'Berechnung - Wärme'!I141</f>
        <v>0</v>
      </c>
      <c r="J286" s="481">
        <f>'Berechnung - Wärme'!J141</f>
        <v>0</v>
      </c>
      <c r="K286" s="481">
        <f>'Berechnung - Wärme'!K141</f>
        <v>0</v>
      </c>
      <c r="L286" s="481">
        <f>'Berechnung - Wärme'!L141</f>
        <v>0</v>
      </c>
      <c r="M286" s="481">
        <f>'Berechnung - Wärme'!M141</f>
        <v>0</v>
      </c>
      <c r="N286" s="481">
        <f>'Berechnung - Wärme'!N141</f>
        <v>0</v>
      </c>
      <c r="O286" s="481">
        <f>'Berechnung - Wärme'!O141</f>
        <v>0</v>
      </c>
      <c r="P286" s="481">
        <f>'Berechnung - Wärme'!P141</f>
        <v>0</v>
      </c>
      <c r="Q286" s="96">
        <f t="shared" si="4"/>
        <v>0</v>
      </c>
    </row>
    <row r="287" spans="1:21" ht="15" customHeight="1" x14ac:dyDescent="0.25">
      <c r="A287" s="491"/>
      <c r="B287" s="153">
        <f>IF(Überblick!$H$53&gt;=8,"8:",0)</f>
        <v>0</v>
      </c>
      <c r="C287" s="481">
        <f>'Berechnung - Wärme'!C142</f>
        <v>0</v>
      </c>
      <c r="D287" s="481">
        <f>'Berechnung - Wärme'!D142</f>
        <v>0</v>
      </c>
      <c r="E287" s="481">
        <f>'Berechnung - Wärme'!E142</f>
        <v>0</v>
      </c>
      <c r="F287" s="481">
        <f>'Berechnung - Wärme'!F142</f>
        <v>0</v>
      </c>
      <c r="G287" s="481">
        <f>'Berechnung - Wärme'!G142</f>
        <v>0</v>
      </c>
      <c r="H287" s="481">
        <f>'Berechnung - Wärme'!H142</f>
        <v>0</v>
      </c>
      <c r="I287" s="481">
        <f>'Berechnung - Wärme'!I142</f>
        <v>0</v>
      </c>
      <c r="J287" s="481">
        <f>'Berechnung - Wärme'!J142</f>
        <v>0</v>
      </c>
      <c r="K287" s="481">
        <f>'Berechnung - Wärme'!K142</f>
        <v>0</v>
      </c>
      <c r="L287" s="481">
        <f>'Berechnung - Wärme'!L142</f>
        <v>0</v>
      </c>
      <c r="M287" s="481">
        <f>'Berechnung - Wärme'!M142</f>
        <v>0</v>
      </c>
      <c r="N287" s="481">
        <f>'Berechnung - Wärme'!N142</f>
        <v>0</v>
      </c>
      <c r="O287" s="481">
        <f>'Berechnung - Wärme'!O142</f>
        <v>0</v>
      </c>
      <c r="P287" s="481">
        <f>'Berechnung - Wärme'!P142</f>
        <v>0</v>
      </c>
      <c r="Q287" s="96">
        <f t="shared" si="4"/>
        <v>0</v>
      </c>
    </row>
    <row r="288" spans="1:21" x14ac:dyDescent="0.25">
      <c r="B288" s="153">
        <f>IF(Überblick!$H$53&gt;=9,"9:",0)</f>
        <v>0</v>
      </c>
      <c r="C288" s="481">
        <f>'Berechnung - Wärme'!C143</f>
        <v>0</v>
      </c>
      <c r="D288" s="481">
        <f>'Berechnung - Wärme'!D143</f>
        <v>0</v>
      </c>
      <c r="E288" s="481">
        <f>'Berechnung - Wärme'!E143</f>
        <v>0</v>
      </c>
      <c r="F288" s="481">
        <f>'Berechnung - Wärme'!F143</f>
        <v>0</v>
      </c>
      <c r="G288" s="481">
        <f>'Berechnung - Wärme'!G143</f>
        <v>0</v>
      </c>
      <c r="H288" s="481">
        <f>'Berechnung - Wärme'!H143</f>
        <v>0</v>
      </c>
      <c r="I288" s="481">
        <f>'Berechnung - Wärme'!I143</f>
        <v>0</v>
      </c>
      <c r="J288" s="481">
        <f>'Berechnung - Wärme'!J143</f>
        <v>0</v>
      </c>
      <c r="K288" s="481">
        <f>'Berechnung - Wärme'!K143</f>
        <v>0</v>
      </c>
      <c r="L288" s="481">
        <f>'Berechnung - Wärme'!L143</f>
        <v>0</v>
      </c>
      <c r="M288" s="481">
        <f>'Berechnung - Wärme'!M143</f>
        <v>0</v>
      </c>
      <c r="N288" s="481">
        <f>'Berechnung - Wärme'!N143</f>
        <v>0</v>
      </c>
      <c r="O288" s="481">
        <f>'Berechnung - Wärme'!O143</f>
        <v>0</v>
      </c>
      <c r="P288" s="481">
        <f>'Berechnung - Wärme'!P143</f>
        <v>0</v>
      </c>
    </row>
    <row r="289" spans="2:16" x14ac:dyDescent="0.25">
      <c r="B289" s="140"/>
      <c r="C289" s="140"/>
      <c r="D289" s="140"/>
      <c r="E289" s="140"/>
      <c r="F289" s="140"/>
      <c r="G289" s="140"/>
      <c r="H289" s="140"/>
      <c r="I289" s="140"/>
      <c r="J289" s="140"/>
      <c r="K289" s="140"/>
      <c r="L289" s="140"/>
      <c r="M289" s="140"/>
      <c r="N289" s="140"/>
      <c r="O289" s="140"/>
      <c r="P289" s="140"/>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sheetData>
  <sheetProtection algorithmName="SHA-512" hashValue="qf7l9u3V5F5ZTlMo30XpU3wRgxqd6JA2wbsvPHLPUweFYe/xgAMSdKbqYti5p7X68Dq/svOSlo9kTOY0IOLSzg==" saltValue="p7fOrVPQ2ilyxhRK0eDEzQ==" spinCount="100000" sheet="1" objects="1" scenarios="1"/>
  <mergeCells count="476">
    <mergeCell ref="S2:U2"/>
    <mergeCell ref="S3:U3"/>
    <mergeCell ref="S4:U4"/>
    <mergeCell ref="T1:U1"/>
    <mergeCell ref="Q229:Q233"/>
    <mergeCell ref="R229:S233"/>
    <mergeCell ref="L187:P189"/>
    <mergeCell ref="Q187:Q189"/>
    <mergeCell ref="R187:S189"/>
    <mergeCell ref="L190:P191"/>
    <mergeCell ref="Q190:Q191"/>
    <mergeCell ref="R190:S191"/>
    <mergeCell ref="L192:P192"/>
    <mergeCell ref="R192:S192"/>
    <mergeCell ref="L193:P202"/>
    <mergeCell ref="Q193:Q202"/>
    <mergeCell ref="R193:S202"/>
    <mergeCell ref="L226:P228"/>
    <mergeCell ref="L217:P225"/>
    <mergeCell ref="L178:P180"/>
    <mergeCell ref="Q178:Q180"/>
    <mergeCell ref="R178:S180"/>
    <mergeCell ref="L181:P183"/>
    <mergeCell ref="Q181:Q183"/>
    <mergeCell ref="R181:S183"/>
    <mergeCell ref="L184:P186"/>
    <mergeCell ref="Q184:Q186"/>
    <mergeCell ref="R184:S186"/>
    <mergeCell ref="L169:P172"/>
    <mergeCell ref="Q169:Q172"/>
    <mergeCell ref="R169:S172"/>
    <mergeCell ref="L173:P175"/>
    <mergeCell ref="Q173:Q175"/>
    <mergeCell ref="R173:S175"/>
    <mergeCell ref="L176:P176"/>
    <mergeCell ref="R176:S176"/>
    <mergeCell ref="L177:P177"/>
    <mergeCell ref="R177:S177"/>
    <mergeCell ref="I177:K177"/>
    <mergeCell ref="U235:U243"/>
    <mergeCell ref="Q238:Q240"/>
    <mergeCell ref="R238:S240"/>
    <mergeCell ref="Q244:Q245"/>
    <mergeCell ref="R244:S245"/>
    <mergeCell ref="U244:U245"/>
    <mergeCell ref="I192:K192"/>
    <mergeCell ref="Q226:Q228"/>
    <mergeCell ref="R226:S228"/>
    <mergeCell ref="R234:S234"/>
    <mergeCell ref="Q235:Q237"/>
    <mergeCell ref="R235:S237"/>
    <mergeCell ref="U193:U233"/>
    <mergeCell ref="Q205:Q207"/>
    <mergeCell ref="R205:S207"/>
    <mergeCell ref="Q208:Q210"/>
    <mergeCell ref="R208:S210"/>
    <mergeCell ref="Q203:Q204"/>
    <mergeCell ref="R203:S204"/>
    <mergeCell ref="Q211:Q216"/>
    <mergeCell ref="R211:S216"/>
    <mergeCell ref="Q217:Q225"/>
    <mergeCell ref="R217:S225"/>
    <mergeCell ref="U178:U191"/>
    <mergeCell ref="U145:U149"/>
    <mergeCell ref="L148:P149"/>
    <mergeCell ref="Q148:Q149"/>
    <mergeCell ref="R148:S149"/>
    <mergeCell ref="Q150:Q152"/>
    <mergeCell ref="R150:S152"/>
    <mergeCell ref="U150:U152"/>
    <mergeCell ref="R153:S153"/>
    <mergeCell ref="Q154:Q156"/>
    <mergeCell ref="R154:S156"/>
    <mergeCell ref="U154:U176"/>
    <mergeCell ref="Q166:Q168"/>
    <mergeCell ref="R166:S168"/>
    <mergeCell ref="T154:T176"/>
    <mergeCell ref="T145:T149"/>
    <mergeCell ref="T150:T152"/>
    <mergeCell ref="L157:P165"/>
    <mergeCell ref="T178:T191"/>
    <mergeCell ref="L153:P153"/>
    <mergeCell ref="L154:P156"/>
    <mergeCell ref="L166:P168"/>
    <mergeCell ref="Q157:Q165"/>
    <mergeCell ref="R157:S165"/>
    <mergeCell ref="U128:U132"/>
    <mergeCell ref="L131:P132"/>
    <mergeCell ref="Q131:Q132"/>
    <mergeCell ref="R131:S132"/>
    <mergeCell ref="L133:P135"/>
    <mergeCell ref="Q133:Q135"/>
    <mergeCell ref="R133:S135"/>
    <mergeCell ref="U133:U142"/>
    <mergeCell ref="L136:P138"/>
    <mergeCell ref="Q136:Q138"/>
    <mergeCell ref="R136:S138"/>
    <mergeCell ref="L139:P141"/>
    <mergeCell ref="Q139:Q141"/>
    <mergeCell ref="R139:S141"/>
    <mergeCell ref="L142:P142"/>
    <mergeCell ref="R142:S142"/>
    <mergeCell ref="T133:T142"/>
    <mergeCell ref="U115:U117"/>
    <mergeCell ref="R118:S118"/>
    <mergeCell ref="Q119:Q121"/>
    <mergeCell ref="R119:S121"/>
    <mergeCell ref="U119:U126"/>
    <mergeCell ref="Q122:Q124"/>
    <mergeCell ref="R122:S124"/>
    <mergeCell ref="Q125:Q126"/>
    <mergeCell ref="R125:S126"/>
    <mergeCell ref="T119:T126"/>
    <mergeCell ref="T115:T117"/>
    <mergeCell ref="U78:U80"/>
    <mergeCell ref="R81:S81"/>
    <mergeCell ref="Q82:Q84"/>
    <mergeCell ref="R82:S84"/>
    <mergeCell ref="U82:U114"/>
    <mergeCell ref="Q85:Q87"/>
    <mergeCell ref="R85:S87"/>
    <mergeCell ref="Q88:Q90"/>
    <mergeCell ref="R88:S90"/>
    <mergeCell ref="Q91:Q93"/>
    <mergeCell ref="R91:S93"/>
    <mergeCell ref="Q94:Q97"/>
    <mergeCell ref="R94:S97"/>
    <mergeCell ref="Q98:Q100"/>
    <mergeCell ref="R98:S100"/>
    <mergeCell ref="Q101:Q103"/>
    <mergeCell ref="R101:S103"/>
    <mergeCell ref="Q104:Q106"/>
    <mergeCell ref="R104:S106"/>
    <mergeCell ref="Q107:Q109"/>
    <mergeCell ref="R107:S109"/>
    <mergeCell ref="Q110:Q112"/>
    <mergeCell ref="R110:S112"/>
    <mergeCell ref="Q113:Q114"/>
    <mergeCell ref="R54:S54"/>
    <mergeCell ref="Q55:Q57"/>
    <mergeCell ref="R55:S57"/>
    <mergeCell ref="U55:U77"/>
    <mergeCell ref="Q58:Q60"/>
    <mergeCell ref="R58:S60"/>
    <mergeCell ref="Q61:Q63"/>
    <mergeCell ref="R61:S63"/>
    <mergeCell ref="Q64:Q66"/>
    <mergeCell ref="R64:S66"/>
    <mergeCell ref="Q67:Q69"/>
    <mergeCell ref="R67:S69"/>
    <mergeCell ref="Q70:Q72"/>
    <mergeCell ref="R70:S72"/>
    <mergeCell ref="Q73:Q75"/>
    <mergeCell ref="R73:S75"/>
    <mergeCell ref="Q76:Q77"/>
    <mergeCell ref="R76:S77"/>
    <mergeCell ref="T55:T77"/>
    <mergeCell ref="U35:U37"/>
    <mergeCell ref="R38:S38"/>
    <mergeCell ref="Q39:Q43"/>
    <mergeCell ref="R39:S43"/>
    <mergeCell ref="U39:U53"/>
    <mergeCell ref="Q44:Q46"/>
    <mergeCell ref="R44:S46"/>
    <mergeCell ref="Q47:Q48"/>
    <mergeCell ref="R47:S48"/>
    <mergeCell ref="R49:S49"/>
    <mergeCell ref="R50:S50"/>
    <mergeCell ref="Q51:Q52"/>
    <mergeCell ref="R51:S52"/>
    <mergeCell ref="R53:S53"/>
    <mergeCell ref="T39:T53"/>
    <mergeCell ref="G269:J269"/>
    <mergeCell ref="B270:F270"/>
    <mergeCell ref="H270:J270"/>
    <mergeCell ref="B272:F272"/>
    <mergeCell ref="H272:J272"/>
    <mergeCell ref="B274:F275"/>
    <mergeCell ref="H274:J275"/>
    <mergeCell ref="B264:F264"/>
    <mergeCell ref="H264:J264"/>
    <mergeCell ref="B266:F266"/>
    <mergeCell ref="H266:J266"/>
    <mergeCell ref="B268:F268"/>
    <mergeCell ref="H268:J268"/>
    <mergeCell ref="G254:J254"/>
    <mergeCell ref="B255:F255"/>
    <mergeCell ref="H255:J255"/>
    <mergeCell ref="B257:F257"/>
    <mergeCell ref="H257:J257"/>
    <mergeCell ref="B259:F260"/>
    <mergeCell ref="H259:J260"/>
    <mergeCell ref="T244:T245"/>
    <mergeCell ref="B249:F249"/>
    <mergeCell ref="H249:J249"/>
    <mergeCell ref="B251:F251"/>
    <mergeCell ref="H251:J251"/>
    <mergeCell ref="B253:F253"/>
    <mergeCell ref="H253:J253"/>
    <mergeCell ref="B244:H245"/>
    <mergeCell ref="I244:I245"/>
    <mergeCell ref="J244:K245"/>
    <mergeCell ref="L244:P245"/>
    <mergeCell ref="T235:T243"/>
    <mergeCell ref="L238:P240"/>
    <mergeCell ref="B240:G242"/>
    <mergeCell ref="H240:H242"/>
    <mergeCell ref="B243:G243"/>
    <mergeCell ref="B234:G234"/>
    <mergeCell ref="I234:K234"/>
    <mergeCell ref="L234:P234"/>
    <mergeCell ref="B235:G239"/>
    <mergeCell ref="H235:H239"/>
    <mergeCell ref="I235:I243"/>
    <mergeCell ref="J235:K243"/>
    <mergeCell ref="L235:P237"/>
    <mergeCell ref="L241:P243"/>
    <mergeCell ref="Q241:Q243"/>
    <mergeCell ref="R241:S243"/>
    <mergeCell ref="B216:G216"/>
    <mergeCell ref="L203:P204"/>
    <mergeCell ref="B217:G217"/>
    <mergeCell ref="B218:G221"/>
    <mergeCell ref="H218:H221"/>
    <mergeCell ref="B222:G222"/>
    <mergeCell ref="B229:G230"/>
    <mergeCell ref="H229:H230"/>
    <mergeCell ref="B231:G233"/>
    <mergeCell ref="H231:H233"/>
    <mergeCell ref="B223:G226"/>
    <mergeCell ref="H223:H226"/>
    <mergeCell ref="B227:G228"/>
    <mergeCell ref="H227:H228"/>
    <mergeCell ref="L211:P216"/>
    <mergeCell ref="L229:P233"/>
    <mergeCell ref="B179:G183"/>
    <mergeCell ref="H179:H183"/>
    <mergeCell ref="B184:G184"/>
    <mergeCell ref="B185:G187"/>
    <mergeCell ref="T193:T233"/>
    <mergeCell ref="B192:G192"/>
    <mergeCell ref="B193:G199"/>
    <mergeCell ref="H193:H199"/>
    <mergeCell ref="I193:I233"/>
    <mergeCell ref="J193:K233"/>
    <mergeCell ref="B200:G200"/>
    <mergeCell ref="B201:G202"/>
    <mergeCell ref="H201:H202"/>
    <mergeCell ref="B203:G203"/>
    <mergeCell ref="B204:G206"/>
    <mergeCell ref="H190:H191"/>
    <mergeCell ref="H204:H206"/>
    <mergeCell ref="L205:P207"/>
    <mergeCell ref="B207:G207"/>
    <mergeCell ref="B208:G211"/>
    <mergeCell ref="H208:H211"/>
    <mergeCell ref="L208:P210"/>
    <mergeCell ref="B212:G215"/>
    <mergeCell ref="H212:H215"/>
    <mergeCell ref="B173:G175"/>
    <mergeCell ref="H173:H175"/>
    <mergeCell ref="B176:G176"/>
    <mergeCell ref="B167:G169"/>
    <mergeCell ref="H167:H169"/>
    <mergeCell ref="B170:G172"/>
    <mergeCell ref="H170:H172"/>
    <mergeCell ref="J154:K176"/>
    <mergeCell ref="A153:A243"/>
    <mergeCell ref="B153:G153"/>
    <mergeCell ref="I153:K153"/>
    <mergeCell ref="B154:G156"/>
    <mergeCell ref="H154:H156"/>
    <mergeCell ref="I154:I176"/>
    <mergeCell ref="B177:G177"/>
    <mergeCell ref="B178:G178"/>
    <mergeCell ref="I178:I191"/>
    <mergeCell ref="J178:K191"/>
    <mergeCell ref="H185:H187"/>
    <mergeCell ref="B188:G189"/>
    <mergeCell ref="H188:H189"/>
    <mergeCell ref="B157:G166"/>
    <mergeCell ref="H157:H166"/>
    <mergeCell ref="B190:G191"/>
    <mergeCell ref="A150:A152"/>
    <mergeCell ref="B150:G152"/>
    <mergeCell ref="H150:H152"/>
    <mergeCell ref="I150:I152"/>
    <mergeCell ref="J150:K152"/>
    <mergeCell ref="L150:P152"/>
    <mergeCell ref="L145:P147"/>
    <mergeCell ref="Q145:Q147"/>
    <mergeCell ref="R145:S147"/>
    <mergeCell ref="B144:G144"/>
    <mergeCell ref="J144:K144"/>
    <mergeCell ref="L144:P144"/>
    <mergeCell ref="A145:A149"/>
    <mergeCell ref="B145:G149"/>
    <mergeCell ref="H145:H149"/>
    <mergeCell ref="I145:I149"/>
    <mergeCell ref="J145:K149"/>
    <mergeCell ref="R144:S144"/>
    <mergeCell ref="B143:G143"/>
    <mergeCell ref="J143:K143"/>
    <mergeCell ref="L143:P143"/>
    <mergeCell ref="T128:T132"/>
    <mergeCell ref="L128:P130"/>
    <mergeCell ref="Q128:Q130"/>
    <mergeCell ref="R128:S130"/>
    <mergeCell ref="R143:S143"/>
    <mergeCell ref="A133:A142"/>
    <mergeCell ref="B133:G142"/>
    <mergeCell ref="H133:H142"/>
    <mergeCell ref="I133:I142"/>
    <mergeCell ref="J133:K142"/>
    <mergeCell ref="B127:G127"/>
    <mergeCell ref="I127:K127"/>
    <mergeCell ref="L127:P127"/>
    <mergeCell ref="A128:A132"/>
    <mergeCell ref="B128:G132"/>
    <mergeCell ref="H128:H132"/>
    <mergeCell ref="I128:I132"/>
    <mergeCell ref="J128:K132"/>
    <mergeCell ref="R127:S127"/>
    <mergeCell ref="L122:P124"/>
    <mergeCell ref="B124:G126"/>
    <mergeCell ref="H124:H126"/>
    <mergeCell ref="L125:P126"/>
    <mergeCell ref="B119:G123"/>
    <mergeCell ref="H119:H123"/>
    <mergeCell ref="I119:I126"/>
    <mergeCell ref="J119:K126"/>
    <mergeCell ref="L119:P121"/>
    <mergeCell ref="L118:P118"/>
    <mergeCell ref="B113:G114"/>
    <mergeCell ref="H113:H114"/>
    <mergeCell ref="L113:P114"/>
    <mergeCell ref="I115:K117"/>
    <mergeCell ref="R113:S114"/>
    <mergeCell ref="L115:P117"/>
    <mergeCell ref="Q115:Q117"/>
    <mergeCell ref="R115:S117"/>
    <mergeCell ref="T78:T80"/>
    <mergeCell ref="B81:G81"/>
    <mergeCell ref="I81:K81"/>
    <mergeCell ref="L81:P81"/>
    <mergeCell ref="L78:P80"/>
    <mergeCell ref="Q78:Q80"/>
    <mergeCell ref="R78:S80"/>
    <mergeCell ref="B109:G110"/>
    <mergeCell ref="H109:H110"/>
    <mergeCell ref="L110:P112"/>
    <mergeCell ref="B111:G112"/>
    <mergeCell ref="H111:H112"/>
    <mergeCell ref="L101:P103"/>
    <mergeCell ref="L104:P106"/>
    <mergeCell ref="T82:T114"/>
    <mergeCell ref="L85:P87"/>
    <mergeCell ref="B87:G87"/>
    <mergeCell ref="B88:G100"/>
    <mergeCell ref="H88:H100"/>
    <mergeCell ref="L88:P90"/>
    <mergeCell ref="L91:P93"/>
    <mergeCell ref="B82:G86"/>
    <mergeCell ref="H82:H86"/>
    <mergeCell ref="I82:I114"/>
    <mergeCell ref="L76:P77"/>
    <mergeCell ref="B65:G66"/>
    <mergeCell ref="H65:H66"/>
    <mergeCell ref="B67:G70"/>
    <mergeCell ref="H67:H70"/>
    <mergeCell ref="L67:P69"/>
    <mergeCell ref="L98:P100"/>
    <mergeCell ref="I78:K80"/>
    <mergeCell ref="B71:G73"/>
    <mergeCell ref="H71:H73"/>
    <mergeCell ref="L73:P75"/>
    <mergeCell ref="B74:G75"/>
    <mergeCell ref="H74:H75"/>
    <mergeCell ref="J82:K114"/>
    <mergeCell ref="L82:P84"/>
    <mergeCell ref="B107:G108"/>
    <mergeCell ref="H107:H108"/>
    <mergeCell ref="L107:P109"/>
    <mergeCell ref="L94:P97"/>
    <mergeCell ref="B78:G80"/>
    <mergeCell ref="H78:H80"/>
    <mergeCell ref="H42:H44"/>
    <mergeCell ref="L44:P46"/>
    <mergeCell ref="B45:G53"/>
    <mergeCell ref="B57:G64"/>
    <mergeCell ref="H57:H64"/>
    <mergeCell ref="L58:P60"/>
    <mergeCell ref="L61:P63"/>
    <mergeCell ref="L64:P66"/>
    <mergeCell ref="L54:P54"/>
    <mergeCell ref="H55:H56"/>
    <mergeCell ref="I55:I77"/>
    <mergeCell ref="J55:K77"/>
    <mergeCell ref="L55:P57"/>
    <mergeCell ref="H45:H53"/>
    <mergeCell ref="L47:P48"/>
    <mergeCell ref="L49:P49"/>
    <mergeCell ref="L50:P50"/>
    <mergeCell ref="L51:P52"/>
    <mergeCell ref="L53:P53"/>
    <mergeCell ref="J39:K53"/>
    <mergeCell ref="L39:P43"/>
    <mergeCell ref="L70:P72"/>
    <mergeCell ref="B76:G77"/>
    <mergeCell ref="H76:H77"/>
    <mergeCell ref="L35:P37"/>
    <mergeCell ref="T35:T37"/>
    <mergeCell ref="B38:G38"/>
    <mergeCell ref="I38:K38"/>
    <mergeCell ref="L38:P38"/>
    <mergeCell ref="Q35:Q37"/>
    <mergeCell ref="R35:S37"/>
    <mergeCell ref="A32:A126"/>
    <mergeCell ref="B32:G34"/>
    <mergeCell ref="H32:H34"/>
    <mergeCell ref="I32:I34"/>
    <mergeCell ref="J32:K34"/>
    <mergeCell ref="I35:K37"/>
    <mergeCell ref="B39:G41"/>
    <mergeCell ref="H39:H41"/>
    <mergeCell ref="I39:I53"/>
    <mergeCell ref="B54:G54"/>
    <mergeCell ref="I54:K54"/>
    <mergeCell ref="B101:G106"/>
    <mergeCell ref="H101:H106"/>
    <mergeCell ref="B118:G118"/>
    <mergeCell ref="I118:K118"/>
    <mergeCell ref="B55:G56"/>
    <mergeCell ref="B42:G44"/>
    <mergeCell ref="J7:K7"/>
    <mergeCell ref="L7:M7"/>
    <mergeCell ref="N7:O7"/>
    <mergeCell ref="F19:I19"/>
    <mergeCell ref="J19:M19"/>
    <mergeCell ref="N19:Q19"/>
    <mergeCell ref="B23:E23"/>
    <mergeCell ref="F23:Q23"/>
    <mergeCell ref="B15:E15"/>
    <mergeCell ref="F15:Q15"/>
    <mergeCell ref="B16:E16"/>
    <mergeCell ref="F16:Q16"/>
    <mergeCell ref="F17:I18"/>
    <mergeCell ref="J17:M18"/>
    <mergeCell ref="N17:Q18"/>
    <mergeCell ref="F9:I11"/>
    <mergeCell ref="J9:M11"/>
    <mergeCell ref="N9:Q11"/>
    <mergeCell ref="B35:G37"/>
    <mergeCell ref="H35:H37"/>
    <mergeCell ref="B115:G117"/>
    <mergeCell ref="H115:H117"/>
    <mergeCell ref="F5:I5"/>
    <mergeCell ref="J5:M5"/>
    <mergeCell ref="N5:Q5"/>
    <mergeCell ref="F6:G6"/>
    <mergeCell ref="H6:I6"/>
    <mergeCell ref="J6:K6"/>
    <mergeCell ref="L6:M6"/>
    <mergeCell ref="N6:O6"/>
    <mergeCell ref="P6:Q6"/>
    <mergeCell ref="P7:Q7"/>
    <mergeCell ref="B8:E8"/>
    <mergeCell ref="F8:G8"/>
    <mergeCell ref="H8:I8"/>
    <mergeCell ref="J8:K8"/>
    <mergeCell ref="L8:M8"/>
    <mergeCell ref="N8:O8"/>
    <mergeCell ref="P8:Q8"/>
    <mergeCell ref="B7:E7"/>
    <mergeCell ref="F7:G7"/>
    <mergeCell ref="H7:I7"/>
  </mergeCells>
  <conditionalFormatting sqref="AA39">
    <cfRule type="containsText" dxfId="1346" priority="185" operator="containsText" text="Ja">
      <formula>NOT(ISERROR(SEARCH("Ja",AA39)))</formula>
    </cfRule>
  </conditionalFormatting>
  <conditionalFormatting sqref="AA232">
    <cfRule type="containsText" dxfId="1345" priority="177" operator="containsText" text="Ja">
      <formula>NOT(ISERROR(SEARCH("Ja",AA232)))</formula>
    </cfRule>
  </conditionalFormatting>
  <conditionalFormatting sqref="AA55">
    <cfRule type="containsText" dxfId="1344" priority="184" operator="containsText" text="Ja">
      <formula>NOT(ISERROR(SEARCH("Ja",AA55)))</formula>
    </cfRule>
  </conditionalFormatting>
  <conditionalFormatting sqref="AA79">
    <cfRule type="containsText" dxfId="1343" priority="183" operator="containsText" text="Ja">
      <formula>NOT(ISERROR(SEARCH("Ja",AA79)))</formula>
    </cfRule>
  </conditionalFormatting>
  <conditionalFormatting sqref="AA113">
    <cfRule type="containsText" dxfId="1342" priority="182" operator="containsText" text="Ja">
      <formula>NOT(ISERROR(SEARCH("Ja",AA113)))</formula>
    </cfRule>
  </conditionalFormatting>
  <conditionalFormatting sqref="AA125">
    <cfRule type="containsText" dxfId="1341" priority="181" operator="containsText" text="Ja">
      <formula>NOT(ISERROR(SEARCH("Ja",AA125)))</formula>
    </cfRule>
  </conditionalFormatting>
  <conditionalFormatting sqref="AA151">
    <cfRule type="containsText" dxfId="1340" priority="180" operator="containsText" text="Ja">
      <formula>NOT(ISERROR(SEARCH("Ja",AA151)))</formula>
    </cfRule>
  </conditionalFormatting>
  <conditionalFormatting sqref="AA175">
    <cfRule type="containsText" dxfId="1339" priority="179" operator="containsText" text="Ja">
      <formula>NOT(ISERROR(SEARCH("Ja",AA175)))</formula>
    </cfRule>
  </conditionalFormatting>
  <conditionalFormatting sqref="AA190">
    <cfRule type="containsText" dxfId="1338" priority="178" operator="containsText" text="Ja">
      <formula>NOT(ISERROR(SEARCH("Ja",AA190)))</formula>
    </cfRule>
  </conditionalFormatting>
  <conditionalFormatting sqref="B280:B287">
    <cfRule type="cellIs" dxfId="1337" priority="123" operator="greaterThan">
      <formula>0</formula>
    </cfRule>
  </conditionalFormatting>
  <conditionalFormatting sqref="C280:P288">
    <cfRule type="expression" dxfId="1336" priority="122">
      <formula>$B280&gt;=1</formula>
    </cfRule>
  </conditionalFormatting>
  <conditionalFormatting sqref="C281:P281">
    <cfRule type="expression" dxfId="1335" priority="121">
      <formula>$B281&gt;=1</formula>
    </cfRule>
  </conditionalFormatting>
  <conditionalFormatting sqref="C282:P282">
    <cfRule type="expression" dxfId="1334" priority="120">
      <formula>$B282&gt;=1</formula>
    </cfRule>
  </conditionalFormatting>
  <conditionalFormatting sqref="C283:P283">
    <cfRule type="expression" dxfId="1333" priority="119">
      <formula>$B283&gt;=1</formula>
    </cfRule>
  </conditionalFormatting>
  <conditionalFormatting sqref="C284:P284">
    <cfRule type="expression" dxfId="1332" priority="118">
      <formula>$B284&gt;=1</formula>
    </cfRule>
  </conditionalFormatting>
  <conditionalFormatting sqref="C285:P285">
    <cfRule type="expression" dxfId="1331" priority="117">
      <formula>$B285&gt;=1</formula>
    </cfRule>
  </conditionalFormatting>
  <conditionalFormatting sqref="C286:P286">
    <cfRule type="expression" dxfId="1330" priority="116">
      <formula>$B286&gt;=1</formula>
    </cfRule>
  </conditionalFormatting>
  <conditionalFormatting sqref="C287:P288">
    <cfRule type="expression" dxfId="1329" priority="115">
      <formula>$B287&gt;=1</formula>
    </cfRule>
  </conditionalFormatting>
  <conditionalFormatting sqref="C280:P288">
    <cfRule type="cellIs" dxfId="1328" priority="114" operator="greaterThan">
      <formula>0</formula>
    </cfRule>
  </conditionalFormatting>
  <conditionalFormatting sqref="F23">
    <cfRule type="expression" dxfId="1327" priority="113">
      <formula>$H$8+$L$8+$P$8&gt;0</formula>
    </cfRule>
  </conditionalFormatting>
  <conditionalFormatting sqref="R205">
    <cfRule type="expression" dxfId="1326" priority="11">
      <formula>Q205="ja"</formula>
    </cfRule>
  </conditionalFormatting>
  <conditionalFormatting sqref="R208">
    <cfRule type="expression" dxfId="1325" priority="10">
      <formula>Q208="ja"</formula>
    </cfRule>
  </conditionalFormatting>
  <conditionalFormatting sqref="R211">
    <cfRule type="expression" dxfId="1324" priority="9">
      <formula>Q211="ja"</formula>
    </cfRule>
  </conditionalFormatting>
  <conditionalFormatting sqref="R217">
    <cfRule type="expression" dxfId="1323" priority="8">
      <formula>Q217="ja"</formula>
    </cfRule>
  </conditionalFormatting>
  <conditionalFormatting sqref="R226">
    <cfRule type="expression" dxfId="1322" priority="7">
      <formula>Q226="ja"</formula>
    </cfRule>
  </conditionalFormatting>
  <conditionalFormatting sqref="R44">
    <cfRule type="expression" dxfId="1321" priority="46">
      <formula>Q44="ja"</formula>
    </cfRule>
  </conditionalFormatting>
  <conditionalFormatting sqref="R203">
    <cfRule type="expression" dxfId="1320" priority="48">
      <formula>Q203="ja"</formula>
    </cfRule>
  </conditionalFormatting>
  <conditionalFormatting sqref="R39">
    <cfRule type="expression" dxfId="1319" priority="47">
      <formula>Q39="ja"</formula>
    </cfRule>
  </conditionalFormatting>
  <conditionalFormatting sqref="R47">
    <cfRule type="expression" dxfId="1318" priority="45">
      <formula>Q47="ja"</formula>
    </cfRule>
  </conditionalFormatting>
  <conditionalFormatting sqref="R49 R51 R53">
    <cfRule type="expression" dxfId="1317" priority="44">
      <formula>Q49="ja"</formula>
    </cfRule>
  </conditionalFormatting>
  <conditionalFormatting sqref="R50">
    <cfRule type="expression" dxfId="1316" priority="43">
      <formula>Q50="ja"</formula>
    </cfRule>
  </conditionalFormatting>
  <conditionalFormatting sqref="R55">
    <cfRule type="expression" dxfId="1315" priority="42">
      <formula>Q55="ja"</formula>
    </cfRule>
  </conditionalFormatting>
  <conditionalFormatting sqref="R58 R61 R64 R67 R70 R73">
    <cfRule type="expression" dxfId="1314" priority="41">
      <formula>Q58="ja"</formula>
    </cfRule>
  </conditionalFormatting>
  <conditionalFormatting sqref="R76">
    <cfRule type="expression" dxfId="1313" priority="40">
      <formula>Q76="ja"</formula>
    </cfRule>
  </conditionalFormatting>
  <conditionalFormatting sqref="R82 R85 R88 R91 R94:R95 R98 R101 R104 R107 R110">
    <cfRule type="expression" dxfId="1312" priority="39">
      <formula>Q82="ja"</formula>
    </cfRule>
  </conditionalFormatting>
  <conditionalFormatting sqref="R113">
    <cfRule type="expression" dxfId="1311" priority="38">
      <formula>Q113="ja"</formula>
    </cfRule>
  </conditionalFormatting>
  <conditionalFormatting sqref="R119">
    <cfRule type="expression" dxfId="1310" priority="37">
      <formula>Q119="ja"</formula>
    </cfRule>
  </conditionalFormatting>
  <conditionalFormatting sqref="R122">
    <cfRule type="expression" dxfId="1309" priority="36">
      <formula>Q122="ja"</formula>
    </cfRule>
  </conditionalFormatting>
  <conditionalFormatting sqref="R125">
    <cfRule type="expression" dxfId="1308" priority="35">
      <formula>Q125="ja"</formula>
    </cfRule>
  </conditionalFormatting>
  <conditionalFormatting sqref="R128">
    <cfRule type="expression" dxfId="1307" priority="34">
      <formula>Q128="ja"</formula>
    </cfRule>
  </conditionalFormatting>
  <conditionalFormatting sqref="R131">
    <cfRule type="expression" dxfId="1306" priority="33">
      <formula>Q131="ja"</formula>
    </cfRule>
  </conditionalFormatting>
  <conditionalFormatting sqref="R133">
    <cfRule type="expression" dxfId="1305" priority="32">
      <formula>Q133="ja"</formula>
    </cfRule>
  </conditionalFormatting>
  <conditionalFormatting sqref="R136">
    <cfRule type="expression" dxfId="1304" priority="31">
      <formula>Q136="ja"</formula>
    </cfRule>
  </conditionalFormatting>
  <conditionalFormatting sqref="R139">
    <cfRule type="expression" dxfId="1303" priority="30">
      <formula>Q139="ja"</formula>
    </cfRule>
  </conditionalFormatting>
  <conditionalFormatting sqref="R142">
    <cfRule type="expression" dxfId="1302" priority="29">
      <formula>Q142="ja"</formula>
    </cfRule>
  </conditionalFormatting>
  <conditionalFormatting sqref="R143">
    <cfRule type="expression" dxfId="1301" priority="28">
      <formula>Q143="ja"</formula>
    </cfRule>
  </conditionalFormatting>
  <conditionalFormatting sqref="R144">
    <cfRule type="expression" dxfId="1300" priority="27">
      <formula>Q144="ja"</formula>
    </cfRule>
  </conditionalFormatting>
  <conditionalFormatting sqref="R145">
    <cfRule type="expression" dxfId="1299" priority="26">
      <formula>Q145="ja"</formula>
    </cfRule>
  </conditionalFormatting>
  <conditionalFormatting sqref="R148">
    <cfRule type="expression" dxfId="1298" priority="25">
      <formula>Q148="ja"</formula>
    </cfRule>
  </conditionalFormatting>
  <conditionalFormatting sqref="R150">
    <cfRule type="expression" dxfId="1297" priority="24">
      <formula>Q150="ja"</formula>
    </cfRule>
  </conditionalFormatting>
  <conditionalFormatting sqref="R166">
    <cfRule type="expression" dxfId="1296" priority="21">
      <formula>Q166="ja"</formula>
    </cfRule>
  </conditionalFormatting>
  <conditionalFormatting sqref="R193">
    <cfRule type="expression" dxfId="1295" priority="12">
      <formula>Q193="ja"</formula>
    </cfRule>
  </conditionalFormatting>
  <conditionalFormatting sqref="R154">
    <cfRule type="expression" dxfId="1294" priority="23">
      <formula>Q154="ja"</formula>
    </cfRule>
  </conditionalFormatting>
  <conditionalFormatting sqref="R157:R163">
    <cfRule type="expression" dxfId="1293" priority="22">
      <formula>Q157="ja"</formula>
    </cfRule>
  </conditionalFormatting>
  <conditionalFormatting sqref="R169">
    <cfRule type="expression" dxfId="1292" priority="20">
      <formula>Q169="ja"</formula>
    </cfRule>
  </conditionalFormatting>
  <conditionalFormatting sqref="R173">
    <cfRule type="expression" dxfId="1291" priority="19">
      <formula>Q173="ja"</formula>
    </cfRule>
  </conditionalFormatting>
  <conditionalFormatting sqref="R176">
    <cfRule type="expression" dxfId="1290" priority="18">
      <formula>Q176="ja"</formula>
    </cfRule>
  </conditionalFormatting>
  <conditionalFormatting sqref="R178">
    <cfRule type="expression" dxfId="1289" priority="17">
      <formula>Q178="ja"</formula>
    </cfRule>
  </conditionalFormatting>
  <conditionalFormatting sqref="R181">
    <cfRule type="expression" dxfId="1288" priority="16">
      <formula>Q181="ja"</formula>
    </cfRule>
  </conditionalFormatting>
  <conditionalFormatting sqref="R184">
    <cfRule type="expression" dxfId="1287" priority="15">
      <formula>Q184="ja"</formula>
    </cfRule>
  </conditionalFormatting>
  <conditionalFormatting sqref="R187">
    <cfRule type="expression" dxfId="1286" priority="14">
      <formula>Q187="ja"</formula>
    </cfRule>
  </conditionalFormatting>
  <conditionalFormatting sqref="R190">
    <cfRule type="expression" dxfId="1285" priority="13">
      <formula>Q190="ja"</formula>
    </cfRule>
  </conditionalFormatting>
  <conditionalFormatting sqref="B288">
    <cfRule type="cellIs" dxfId="1284" priority="52" operator="greaterThan">
      <formula>0</formula>
    </cfRule>
  </conditionalFormatting>
  <conditionalFormatting sqref="R241">
    <cfRule type="expression" dxfId="1283" priority="3">
      <formula>Q241="ja"</formula>
    </cfRule>
  </conditionalFormatting>
  <conditionalFormatting sqref="R229">
    <cfRule type="expression" dxfId="1282" priority="6">
      <formula>Q229="ja"</formula>
    </cfRule>
  </conditionalFormatting>
  <conditionalFormatting sqref="R235">
    <cfRule type="expression" dxfId="1281" priority="5">
      <formula>Q235="ja"</formula>
    </cfRule>
  </conditionalFormatting>
  <conditionalFormatting sqref="R238">
    <cfRule type="expression" dxfId="1280" priority="4">
      <formula>Q238="ja"</formula>
    </cfRule>
  </conditionalFormatting>
  <conditionalFormatting sqref="T39:T53 T55:T77 T82:T114 T119:T126 T154:T176 T178:T191 T193:T233 T235:T243 T128:T152">
    <cfRule type="cellIs" dxfId="1279" priority="1" operator="equal">
      <formula>"ja"</formula>
    </cfRule>
  </conditionalFormatting>
  <dataValidations count="2">
    <dataValidation type="list" allowBlank="1" showInputMessage="1" showErrorMessage="1" sqref="F15:Q15" xr:uid="{F39E3157-C83B-46E8-B7F0-A89A7F266596}">
      <formula1>$V$15:$V$17</formula1>
    </dataValidation>
    <dataValidation type="list" allowBlank="1" showInputMessage="1" showErrorMessage="1" sqref="Q178:Q191 H154:H176 H128:H152 H119:H126 H235:H243 H82:H114 H55:H77 H193:H233 H178:H191 H39:H53 Q154:Q176 Q128:Q152 Q119:Q126 Q82:Q114 Q55:Q77 Q39:Q53 Q193 Q203 Q226:Q229 Q205:Q211 Q217 Q235:Q243" xr:uid="{99B8FC8D-F3A8-4647-B054-8210D38F0273}">
      <formula1>$T$32:$T$33</formula1>
    </dataValidation>
  </dataValidations>
  <pageMargins left="0.25" right="0.25" top="0.75" bottom="0.75" header="0.3" footer="0.3"/>
  <pageSetup paperSize="9" scale="50" orientation="portrait" r:id="rId1"/>
  <rowBreaks count="3" manualBreakCount="3">
    <brk id="87" max="16383" man="1"/>
    <brk id="187" max="16383" man="1"/>
    <brk id="276" max="16383" man="1"/>
  </rowBreaks>
  <ignoredErrors>
    <ignoredError sqref="F8 J8" unlockedFormula="1"/>
    <ignoredError sqref="Z177"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B35240C-8C44-487A-A47D-18F94BB9C6E7}">
          <x14:formula1>
            <xm:f>'Berechnung - Hochbau'!$H$52:$H$56</xm:f>
          </x14:formula1>
          <xm:sqref>F16</xm:sqref>
        </x14:dataValidation>
        <x14:dataValidation type="list" allowBlank="1" showInputMessage="1" showErrorMessage="1" xr:uid="{1E834710-E336-47D4-8C66-C3C1A26A16FD}">
          <x14:formula1>
            <xm:f>'Berechnung - Hochbau'!$B$109:$B$112</xm:f>
          </x14:formula1>
          <xm:sqref>R5:S6 W5:X6</xm:sqref>
        </x14:dataValidation>
        <x14:dataValidation type="list" allowBlank="1" showInputMessage="1" showErrorMessage="1" xr:uid="{4EF50E43-6FC8-4CEC-B7AA-D8BC7D5DEACF}">
          <x14:formula1>
            <xm:f>'Berechnung - Abwasser'!$B$138:$B$147</xm:f>
          </x14:formula1>
          <xm:sqref>U39:U233 U235:U243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5BB6-D1B6-43C7-BF3F-DCC189383904}">
  <sheetPr codeName="Tabelle18">
    <tabColor rgb="FFFFC000"/>
  </sheetPr>
  <dimension ref="A1:Q156"/>
  <sheetViews>
    <sheetView workbookViewId="0"/>
  </sheetViews>
  <sheetFormatPr baseColWidth="10" defaultColWidth="11.44140625" defaultRowHeight="14.55" x14ac:dyDescent="0.3"/>
  <cols>
    <col min="1" max="1" width="25.21875" style="594" bestFit="1" customWidth="1"/>
    <col min="2" max="2" width="11.5546875" style="594" bestFit="1" customWidth="1"/>
    <col min="3" max="4" width="11.77734375" style="594" bestFit="1" customWidth="1"/>
    <col min="5" max="5" width="11.5546875" style="594" bestFit="1" customWidth="1"/>
    <col min="6" max="7" width="11.77734375" style="594" bestFit="1" customWidth="1"/>
    <col min="8" max="8" width="15" style="594" bestFit="1" customWidth="1"/>
    <col min="9" max="9" width="11.77734375" style="594" bestFit="1" customWidth="1"/>
    <col min="10" max="10" width="12.77734375" style="594" bestFit="1" customWidth="1"/>
    <col min="11" max="12" width="12" style="594" bestFit="1" customWidth="1"/>
    <col min="13" max="17" width="11.5546875" style="594" bestFit="1" customWidth="1"/>
    <col min="18" max="16384" width="11.44140625" style="594"/>
  </cols>
  <sheetData>
    <row r="1" spans="1:13" s="603" customFormat="1" ht="26.25" customHeight="1" thickBot="1" x14ac:dyDescent="0.35">
      <c r="A1" s="599"/>
      <c r="B1" s="600" t="s">
        <v>448</v>
      </c>
      <c r="C1" s="601"/>
      <c r="D1" s="601"/>
      <c r="E1" s="601"/>
      <c r="F1" s="601"/>
      <c r="G1" s="601"/>
      <c r="H1" s="601"/>
      <c r="I1" s="601"/>
      <c r="J1" s="601"/>
      <c r="K1" s="601"/>
      <c r="L1" s="602"/>
      <c r="M1" s="601"/>
    </row>
    <row r="2" spans="1:13" ht="15" customHeight="1" x14ac:dyDescent="0.3">
      <c r="A2" s="1443" t="s">
        <v>300</v>
      </c>
      <c r="B2" s="593"/>
      <c r="C2" s="1448" t="s">
        <v>301</v>
      </c>
      <c r="D2" s="1449"/>
      <c r="E2" s="593"/>
      <c r="F2" s="1448" t="s">
        <v>302</v>
      </c>
      <c r="G2" s="1449"/>
      <c r="H2" s="593"/>
      <c r="I2" s="1448" t="s">
        <v>303</v>
      </c>
      <c r="J2" s="1449"/>
    </row>
    <row r="3" spans="1:13" ht="15" customHeight="1" x14ac:dyDescent="0.3">
      <c r="A3" s="1444"/>
      <c r="B3" s="593"/>
      <c r="C3" s="1450" t="s">
        <v>307</v>
      </c>
      <c r="D3" s="1451"/>
      <c r="E3" s="593"/>
      <c r="F3" s="1450" t="s">
        <v>308</v>
      </c>
      <c r="G3" s="1451"/>
      <c r="H3" s="593"/>
      <c r="I3" s="1450" t="s">
        <v>309</v>
      </c>
      <c r="J3" s="1451"/>
    </row>
    <row r="4" spans="1:13" x14ac:dyDescent="0.3">
      <c r="A4" s="1444"/>
      <c r="B4" s="593"/>
      <c r="C4" s="595" t="s">
        <v>311</v>
      </c>
      <c r="D4" s="596" t="s">
        <v>312</v>
      </c>
      <c r="E4" s="593"/>
      <c r="F4" s="595" t="s">
        <v>311</v>
      </c>
      <c r="G4" s="596" t="s">
        <v>312</v>
      </c>
      <c r="H4" s="593"/>
      <c r="I4" s="595" t="s">
        <v>311</v>
      </c>
      <c r="J4" s="596" t="s">
        <v>312</v>
      </c>
    </row>
    <row r="5" spans="1:13" ht="15.2" thickBot="1" x14ac:dyDescent="0.35">
      <c r="A5" s="1445"/>
      <c r="B5" s="593"/>
      <c r="C5" s="1446" t="s">
        <v>3</v>
      </c>
      <c r="D5" s="1447"/>
      <c r="E5" s="593"/>
      <c r="F5" s="1446" t="s">
        <v>3</v>
      </c>
      <c r="G5" s="1447"/>
      <c r="H5" s="593"/>
      <c r="I5" s="1446" t="s">
        <v>3</v>
      </c>
      <c r="J5" s="1447"/>
    </row>
    <row r="6" spans="1:13" x14ac:dyDescent="0.3">
      <c r="A6" s="604">
        <v>5000</v>
      </c>
      <c r="B6" s="605"/>
      <c r="C6" s="606">
        <v>2132</v>
      </c>
      <c r="D6" s="607">
        <v>2547</v>
      </c>
      <c r="E6" s="605"/>
      <c r="F6" s="606">
        <v>2547</v>
      </c>
      <c r="G6" s="607">
        <v>2990</v>
      </c>
      <c r="H6" s="605"/>
      <c r="I6" s="606">
        <v>2990</v>
      </c>
      <c r="J6" s="607">
        <v>3405</v>
      </c>
    </row>
    <row r="7" spans="1:13" x14ac:dyDescent="0.3">
      <c r="A7" s="610">
        <v>10000</v>
      </c>
      <c r="B7" s="605"/>
      <c r="C7" s="611">
        <v>3689</v>
      </c>
      <c r="D7" s="612">
        <v>4408</v>
      </c>
      <c r="E7" s="605"/>
      <c r="F7" s="611">
        <v>4408</v>
      </c>
      <c r="G7" s="612">
        <v>5174</v>
      </c>
      <c r="H7" s="605"/>
      <c r="I7" s="611">
        <v>5174</v>
      </c>
      <c r="J7" s="612">
        <v>5893</v>
      </c>
    </row>
    <row r="8" spans="1:13" x14ac:dyDescent="0.3">
      <c r="A8" s="610">
        <v>15000</v>
      </c>
      <c r="B8" s="605"/>
      <c r="C8" s="611">
        <v>5084</v>
      </c>
      <c r="D8" s="612">
        <v>6075</v>
      </c>
      <c r="E8" s="605"/>
      <c r="F8" s="611">
        <v>6075</v>
      </c>
      <c r="G8" s="612">
        <v>7131</v>
      </c>
      <c r="H8" s="605"/>
      <c r="I8" s="611">
        <v>7131</v>
      </c>
      <c r="J8" s="612">
        <v>8122</v>
      </c>
    </row>
    <row r="9" spans="1:13" x14ac:dyDescent="0.3">
      <c r="A9" s="610">
        <v>25000</v>
      </c>
      <c r="B9" s="605"/>
      <c r="C9" s="611">
        <v>7615</v>
      </c>
      <c r="D9" s="612">
        <v>9098</v>
      </c>
      <c r="E9" s="605"/>
      <c r="F9" s="611">
        <v>9098</v>
      </c>
      <c r="G9" s="612">
        <v>10681</v>
      </c>
      <c r="H9" s="605"/>
      <c r="I9" s="611">
        <v>10681</v>
      </c>
      <c r="J9" s="612">
        <v>12164</v>
      </c>
    </row>
    <row r="10" spans="1:13" x14ac:dyDescent="0.3">
      <c r="A10" s="610">
        <v>35000</v>
      </c>
      <c r="B10" s="605"/>
      <c r="C10" s="611">
        <v>9934</v>
      </c>
      <c r="D10" s="612">
        <v>11869</v>
      </c>
      <c r="E10" s="605"/>
      <c r="F10" s="611">
        <v>11869</v>
      </c>
      <c r="G10" s="612">
        <v>13934</v>
      </c>
      <c r="H10" s="605"/>
      <c r="I10" s="611">
        <v>13934</v>
      </c>
      <c r="J10" s="612">
        <v>15869</v>
      </c>
    </row>
    <row r="11" spans="1:13" x14ac:dyDescent="0.3">
      <c r="A11" s="610">
        <v>50000</v>
      </c>
      <c r="B11" s="605"/>
      <c r="C11" s="611">
        <v>13165</v>
      </c>
      <c r="D11" s="612">
        <v>15729</v>
      </c>
      <c r="E11" s="605"/>
      <c r="F11" s="611">
        <v>15729</v>
      </c>
      <c r="G11" s="612">
        <v>18465</v>
      </c>
      <c r="H11" s="605"/>
      <c r="I11" s="611">
        <v>18465</v>
      </c>
      <c r="J11" s="612">
        <v>21029</v>
      </c>
    </row>
    <row r="12" spans="1:13" x14ac:dyDescent="0.3">
      <c r="A12" s="610">
        <v>75000</v>
      </c>
      <c r="B12" s="605"/>
      <c r="C12" s="611">
        <v>18122</v>
      </c>
      <c r="D12" s="612">
        <v>21652</v>
      </c>
      <c r="E12" s="605"/>
      <c r="F12" s="611">
        <v>21652</v>
      </c>
      <c r="G12" s="612">
        <v>25418</v>
      </c>
      <c r="H12" s="605"/>
      <c r="I12" s="611">
        <v>25418</v>
      </c>
      <c r="J12" s="612">
        <v>28948</v>
      </c>
    </row>
    <row r="13" spans="1:13" x14ac:dyDescent="0.3">
      <c r="A13" s="610">
        <v>100000</v>
      </c>
      <c r="B13" s="605"/>
      <c r="C13" s="611">
        <v>22723</v>
      </c>
      <c r="D13" s="612">
        <v>27150</v>
      </c>
      <c r="E13" s="605"/>
      <c r="F13" s="611">
        <v>27150</v>
      </c>
      <c r="G13" s="612">
        <v>31872</v>
      </c>
      <c r="H13" s="605"/>
      <c r="I13" s="611">
        <v>31872</v>
      </c>
      <c r="J13" s="612">
        <v>36299</v>
      </c>
    </row>
    <row r="14" spans="1:13" x14ac:dyDescent="0.3">
      <c r="A14" s="610">
        <v>150000</v>
      </c>
      <c r="B14" s="605"/>
      <c r="C14" s="611">
        <v>31228</v>
      </c>
      <c r="D14" s="612">
        <v>37311</v>
      </c>
      <c r="E14" s="605"/>
      <c r="F14" s="611">
        <v>37311</v>
      </c>
      <c r="G14" s="612">
        <v>43800</v>
      </c>
      <c r="H14" s="605"/>
      <c r="I14" s="611">
        <v>43800</v>
      </c>
      <c r="J14" s="612">
        <v>49883</v>
      </c>
    </row>
    <row r="15" spans="1:13" x14ac:dyDescent="0.3">
      <c r="A15" s="610">
        <v>250000</v>
      </c>
      <c r="B15" s="605"/>
      <c r="C15" s="611">
        <v>46640</v>
      </c>
      <c r="D15" s="612">
        <v>55726</v>
      </c>
      <c r="E15" s="605"/>
      <c r="F15" s="611">
        <v>55726</v>
      </c>
      <c r="G15" s="612">
        <v>65418</v>
      </c>
      <c r="H15" s="605"/>
      <c r="I15" s="611">
        <v>65418</v>
      </c>
      <c r="J15" s="612">
        <v>74504</v>
      </c>
    </row>
    <row r="16" spans="1:13" x14ac:dyDescent="0.3">
      <c r="A16" s="610">
        <v>500000</v>
      </c>
      <c r="B16" s="605"/>
      <c r="C16" s="611">
        <v>80684</v>
      </c>
      <c r="D16" s="612">
        <v>96402</v>
      </c>
      <c r="E16" s="605"/>
      <c r="F16" s="611">
        <v>96402</v>
      </c>
      <c r="G16" s="612">
        <v>113168</v>
      </c>
      <c r="H16" s="605"/>
      <c r="I16" s="611">
        <v>113168</v>
      </c>
      <c r="J16" s="612">
        <v>128886</v>
      </c>
    </row>
    <row r="17" spans="1:10" x14ac:dyDescent="0.3">
      <c r="A17" s="610">
        <v>750000</v>
      </c>
      <c r="B17" s="605"/>
      <c r="C17" s="611">
        <v>111105</v>
      </c>
      <c r="D17" s="612">
        <v>132749</v>
      </c>
      <c r="E17" s="605"/>
      <c r="F17" s="611">
        <v>132749</v>
      </c>
      <c r="G17" s="612">
        <v>155836</v>
      </c>
      <c r="H17" s="605"/>
      <c r="I17" s="611">
        <v>155836</v>
      </c>
      <c r="J17" s="612">
        <v>177480</v>
      </c>
    </row>
    <row r="18" spans="1:10" x14ac:dyDescent="0.3">
      <c r="A18" s="610">
        <v>1000000</v>
      </c>
      <c r="B18" s="605"/>
      <c r="C18" s="611">
        <v>139347</v>
      </c>
      <c r="D18" s="612">
        <v>166493</v>
      </c>
      <c r="E18" s="605"/>
      <c r="F18" s="611">
        <v>166493</v>
      </c>
      <c r="G18" s="612">
        <v>195448</v>
      </c>
      <c r="H18" s="605"/>
      <c r="I18" s="611">
        <v>195448</v>
      </c>
      <c r="J18" s="612">
        <v>222594</v>
      </c>
    </row>
    <row r="19" spans="1:10" x14ac:dyDescent="0.3">
      <c r="A19" s="610">
        <v>1250000</v>
      </c>
      <c r="B19" s="605"/>
      <c r="C19" s="611">
        <v>166043</v>
      </c>
      <c r="D19" s="612">
        <v>198389</v>
      </c>
      <c r="E19" s="605"/>
      <c r="F19" s="611">
        <v>198389</v>
      </c>
      <c r="G19" s="612">
        <v>232891</v>
      </c>
      <c r="H19" s="605"/>
      <c r="I19" s="611">
        <v>232891</v>
      </c>
      <c r="J19" s="612">
        <v>265237</v>
      </c>
    </row>
    <row r="20" spans="1:10" x14ac:dyDescent="0.3">
      <c r="A20" s="610">
        <v>1500000</v>
      </c>
      <c r="B20" s="605"/>
      <c r="C20" s="611">
        <v>191545</v>
      </c>
      <c r="D20" s="612">
        <v>228859</v>
      </c>
      <c r="E20" s="605"/>
      <c r="F20" s="611">
        <v>228859</v>
      </c>
      <c r="G20" s="612">
        <v>268660</v>
      </c>
      <c r="H20" s="605"/>
      <c r="I20" s="611">
        <v>268660</v>
      </c>
      <c r="J20" s="612">
        <v>305974</v>
      </c>
    </row>
    <row r="21" spans="1:10" x14ac:dyDescent="0.3">
      <c r="A21" s="610">
        <v>2000000</v>
      </c>
      <c r="B21" s="605"/>
      <c r="C21" s="611">
        <v>239792</v>
      </c>
      <c r="D21" s="612">
        <v>286504</v>
      </c>
      <c r="E21" s="605"/>
      <c r="F21" s="611">
        <v>286504</v>
      </c>
      <c r="G21" s="612">
        <v>336331</v>
      </c>
      <c r="H21" s="605"/>
      <c r="I21" s="611">
        <v>336331</v>
      </c>
      <c r="J21" s="612">
        <v>383044</v>
      </c>
    </row>
    <row r="22" spans="1:10" x14ac:dyDescent="0.3">
      <c r="A22" s="610">
        <v>2500000</v>
      </c>
      <c r="B22" s="605"/>
      <c r="C22" s="611">
        <v>285649</v>
      </c>
      <c r="D22" s="612">
        <v>341295</v>
      </c>
      <c r="E22" s="605"/>
      <c r="F22" s="611">
        <v>341295</v>
      </c>
      <c r="G22" s="612">
        <v>400650</v>
      </c>
      <c r="H22" s="605"/>
      <c r="I22" s="611">
        <v>400650</v>
      </c>
      <c r="J22" s="612">
        <v>456296</v>
      </c>
    </row>
    <row r="23" spans="1:10" x14ac:dyDescent="0.3">
      <c r="A23" s="610">
        <v>3000000</v>
      </c>
      <c r="B23" s="605"/>
      <c r="C23" s="611">
        <v>329420</v>
      </c>
      <c r="D23" s="612">
        <v>393593</v>
      </c>
      <c r="E23" s="605"/>
      <c r="F23" s="611">
        <v>393593</v>
      </c>
      <c r="G23" s="612">
        <v>462044</v>
      </c>
      <c r="H23" s="605"/>
      <c r="I23" s="611">
        <v>462044</v>
      </c>
      <c r="J23" s="612">
        <v>526217</v>
      </c>
    </row>
    <row r="24" spans="1:10" x14ac:dyDescent="0.3">
      <c r="A24" s="610">
        <v>3500000</v>
      </c>
      <c r="B24" s="605"/>
      <c r="C24" s="611">
        <v>371491</v>
      </c>
      <c r="D24" s="612">
        <v>443859</v>
      </c>
      <c r="E24" s="605"/>
      <c r="F24" s="611">
        <v>443859</v>
      </c>
      <c r="G24" s="612">
        <v>521052</v>
      </c>
      <c r="H24" s="605"/>
      <c r="I24" s="611">
        <v>521052</v>
      </c>
      <c r="J24" s="612">
        <v>593420</v>
      </c>
    </row>
    <row r="25" spans="1:10" ht="15.2" thickBot="1" x14ac:dyDescent="0.35">
      <c r="A25" s="610">
        <v>4000000</v>
      </c>
      <c r="B25" s="614"/>
      <c r="C25" s="611">
        <v>412126</v>
      </c>
      <c r="D25" s="612">
        <v>492410</v>
      </c>
      <c r="E25" s="615"/>
      <c r="F25" s="611">
        <v>492410</v>
      </c>
      <c r="G25" s="612">
        <v>578046</v>
      </c>
      <c r="H25" s="605"/>
      <c r="I25" s="611">
        <v>578046</v>
      </c>
      <c r="J25" s="612">
        <v>658331</v>
      </c>
    </row>
    <row r="26" spans="1:10" x14ac:dyDescent="0.3">
      <c r="A26" s="610">
        <v>5000000</v>
      </c>
      <c r="B26" s="1652" t="s">
        <v>313</v>
      </c>
      <c r="C26" s="611">
        <v>491179</v>
      </c>
      <c r="D26" s="612">
        <v>586864</v>
      </c>
      <c r="E26" s="1652" t="s">
        <v>313</v>
      </c>
      <c r="F26" s="611">
        <f>D26</f>
        <v>586864</v>
      </c>
      <c r="G26" s="612">
        <v>688927</v>
      </c>
      <c r="H26" s="1652" t="s">
        <v>313</v>
      </c>
      <c r="I26" s="611">
        <f>G26</f>
        <v>688927</v>
      </c>
      <c r="J26" s="612">
        <v>784611</v>
      </c>
    </row>
    <row r="27" spans="1:10" x14ac:dyDescent="0.3">
      <c r="A27" s="610">
        <v>6000000</v>
      </c>
      <c r="B27" s="1653"/>
      <c r="C27" s="611">
        <v>566898</v>
      </c>
      <c r="D27" s="612">
        <v>677333</v>
      </c>
      <c r="E27" s="1653"/>
      <c r="F27" s="611">
        <f>D27</f>
        <v>677333</v>
      </c>
      <c r="G27" s="612">
        <v>795130</v>
      </c>
      <c r="H27" s="1653"/>
      <c r="I27" s="611">
        <f>G27</f>
        <v>795130</v>
      </c>
      <c r="J27" s="612">
        <v>905564</v>
      </c>
    </row>
    <row r="28" spans="1:10" x14ac:dyDescent="0.3">
      <c r="A28" s="610">
        <v>7000000</v>
      </c>
      <c r="B28" s="1653"/>
      <c r="C28" s="611">
        <v>639950</v>
      </c>
      <c r="D28" s="612">
        <v>764616</v>
      </c>
      <c r="E28" s="1653"/>
      <c r="F28" s="611">
        <f t="shared" ref="F28:F44" si="0">D28</f>
        <v>764616</v>
      </c>
      <c r="G28" s="612">
        <v>897593</v>
      </c>
      <c r="H28" s="1653"/>
      <c r="I28" s="611">
        <f t="shared" ref="I28:I44" si="1">G28</f>
        <v>897593</v>
      </c>
      <c r="J28" s="612">
        <v>1022258</v>
      </c>
    </row>
    <row r="29" spans="1:10" x14ac:dyDescent="0.3">
      <c r="A29" s="610">
        <v>8000000</v>
      </c>
      <c r="B29" s="1653"/>
      <c r="C29" s="611">
        <v>710795</v>
      </c>
      <c r="D29" s="612">
        <v>849261</v>
      </c>
      <c r="E29" s="1653"/>
      <c r="F29" s="611">
        <f t="shared" si="0"/>
        <v>849261</v>
      </c>
      <c r="G29" s="612">
        <v>996959</v>
      </c>
      <c r="H29" s="1653"/>
      <c r="I29" s="611">
        <f t="shared" si="1"/>
        <v>996959</v>
      </c>
      <c r="J29" s="612">
        <v>1135425</v>
      </c>
    </row>
    <row r="30" spans="1:10" x14ac:dyDescent="0.3">
      <c r="A30" s="610">
        <v>9000000</v>
      </c>
      <c r="B30" s="1653"/>
      <c r="C30" s="611">
        <v>779763</v>
      </c>
      <c r="D30" s="612">
        <v>931665</v>
      </c>
      <c r="E30" s="1653"/>
      <c r="F30" s="611">
        <f t="shared" si="0"/>
        <v>931665</v>
      </c>
      <c r="G30" s="612">
        <v>1093694</v>
      </c>
      <c r="H30" s="1653"/>
      <c r="I30" s="611">
        <f t="shared" si="1"/>
        <v>1093694</v>
      </c>
      <c r="J30" s="612">
        <v>1245595</v>
      </c>
    </row>
    <row r="31" spans="1:10" x14ac:dyDescent="0.3">
      <c r="A31" s="610">
        <v>10000000</v>
      </c>
      <c r="B31" s="1653"/>
      <c r="C31" s="611">
        <v>847106</v>
      </c>
      <c r="D31" s="612">
        <v>1012127</v>
      </c>
      <c r="E31" s="1653"/>
      <c r="F31" s="611">
        <f t="shared" si="0"/>
        <v>1012127</v>
      </c>
      <c r="G31" s="612">
        <v>1188149</v>
      </c>
      <c r="H31" s="1653"/>
      <c r="I31" s="611">
        <f t="shared" si="1"/>
        <v>1188149</v>
      </c>
      <c r="J31" s="612">
        <v>1353170</v>
      </c>
    </row>
    <row r="32" spans="1:10" x14ac:dyDescent="0.3">
      <c r="A32" s="610">
        <v>12500000</v>
      </c>
      <c r="B32" s="1653"/>
      <c r="C32" s="611">
        <v>1009545</v>
      </c>
      <c r="D32" s="612">
        <v>1206209</v>
      </c>
      <c r="E32" s="1653"/>
      <c r="F32" s="611">
        <f t="shared" si="0"/>
        <v>1206209</v>
      </c>
      <c r="G32" s="612">
        <v>1415985</v>
      </c>
      <c r="H32" s="1653"/>
      <c r="I32" s="611">
        <f t="shared" si="1"/>
        <v>1415985</v>
      </c>
      <c r="J32" s="612">
        <v>1612649</v>
      </c>
    </row>
    <row r="33" spans="1:17" x14ac:dyDescent="0.3">
      <c r="A33" s="610">
        <v>15000000</v>
      </c>
      <c r="B33" s="1653"/>
      <c r="C33" s="611">
        <v>1165120</v>
      </c>
      <c r="D33" s="612">
        <v>1392092</v>
      </c>
      <c r="E33" s="1653"/>
      <c r="F33" s="611">
        <f t="shared" si="0"/>
        <v>1392092</v>
      </c>
      <c r="G33" s="612">
        <v>1634195</v>
      </c>
      <c r="H33" s="1653"/>
      <c r="I33" s="611">
        <f t="shared" si="1"/>
        <v>1634195</v>
      </c>
      <c r="J33" s="612">
        <v>1861166</v>
      </c>
    </row>
    <row r="34" spans="1:17" x14ac:dyDescent="0.3">
      <c r="A34" s="610">
        <v>17500000</v>
      </c>
      <c r="B34" s="1653"/>
      <c r="C34" s="611">
        <v>1315210</v>
      </c>
      <c r="D34" s="612">
        <v>1571419</v>
      </c>
      <c r="E34" s="1653"/>
      <c r="F34" s="611">
        <f t="shared" si="0"/>
        <v>1571419</v>
      </c>
      <c r="G34" s="612">
        <v>1844710</v>
      </c>
      <c r="H34" s="1653"/>
      <c r="I34" s="611">
        <f t="shared" si="1"/>
        <v>1844710</v>
      </c>
      <c r="J34" s="612">
        <v>2100919</v>
      </c>
    </row>
    <row r="35" spans="1:17" x14ac:dyDescent="0.3">
      <c r="A35" s="610">
        <v>20000000</v>
      </c>
      <c r="B35" s="1653"/>
      <c r="C35" s="611">
        <v>1460755</v>
      </c>
      <c r="D35" s="612">
        <v>1745318</v>
      </c>
      <c r="E35" s="1653"/>
      <c r="F35" s="611">
        <f t="shared" si="0"/>
        <v>1745318</v>
      </c>
      <c r="G35" s="612">
        <v>2048852</v>
      </c>
      <c r="H35" s="1653"/>
      <c r="I35" s="611">
        <f t="shared" si="1"/>
        <v>2048852</v>
      </c>
      <c r="J35" s="612">
        <v>2333414</v>
      </c>
    </row>
    <row r="36" spans="1:17" x14ac:dyDescent="0.3">
      <c r="A36" s="610">
        <v>25000000</v>
      </c>
      <c r="B36" s="1653"/>
      <c r="C36" s="611">
        <v>1740783</v>
      </c>
      <c r="D36" s="612">
        <v>2079896</v>
      </c>
      <c r="E36" s="1653"/>
      <c r="F36" s="611">
        <f t="shared" si="0"/>
        <v>2079896</v>
      </c>
      <c r="G36" s="612">
        <v>2441617</v>
      </c>
      <c r="H36" s="1653"/>
      <c r="I36" s="611">
        <f t="shared" si="1"/>
        <v>2441617</v>
      </c>
      <c r="J36" s="612">
        <v>2780731</v>
      </c>
    </row>
    <row r="37" spans="1:17" x14ac:dyDescent="0.3">
      <c r="A37" s="610">
        <v>30000000</v>
      </c>
      <c r="B37" s="1653"/>
      <c r="C37" s="611">
        <v>2008964</v>
      </c>
      <c r="D37" s="612">
        <v>2400321</v>
      </c>
      <c r="E37" s="1653"/>
      <c r="F37" s="611">
        <f t="shared" si="0"/>
        <v>2400321</v>
      </c>
      <c r="G37" s="612">
        <v>2817768</v>
      </c>
      <c r="H37" s="1653"/>
      <c r="I37" s="611">
        <f t="shared" si="1"/>
        <v>2817768</v>
      </c>
      <c r="J37" s="612">
        <v>3209125</v>
      </c>
    </row>
    <row r="38" spans="1:17" x14ac:dyDescent="0.3">
      <c r="A38" s="610">
        <v>40000000</v>
      </c>
      <c r="B38" s="1653"/>
      <c r="C38" s="611">
        <v>2518545</v>
      </c>
      <c r="D38" s="612">
        <v>3009171</v>
      </c>
      <c r="E38" s="1653"/>
      <c r="F38" s="611">
        <f t="shared" si="0"/>
        <v>3009171</v>
      </c>
      <c r="G38" s="612">
        <v>3532505</v>
      </c>
      <c r="H38" s="1653"/>
      <c r="I38" s="611">
        <f t="shared" si="1"/>
        <v>3532505</v>
      </c>
      <c r="J38" s="612">
        <v>4023130</v>
      </c>
    </row>
    <row r="39" spans="1:17" x14ac:dyDescent="0.3">
      <c r="A39" s="610">
        <v>50000000</v>
      </c>
      <c r="B39" s="1653"/>
      <c r="C39" s="611">
        <v>3001186</v>
      </c>
      <c r="D39" s="612">
        <v>3585832</v>
      </c>
      <c r="E39" s="1653"/>
      <c r="F39" s="611">
        <f t="shared" si="0"/>
        <v>3585832</v>
      </c>
      <c r="G39" s="612">
        <v>4209455</v>
      </c>
      <c r="H39" s="1653"/>
      <c r="I39" s="611">
        <f t="shared" si="1"/>
        <v>4209455</v>
      </c>
      <c r="J39" s="612">
        <v>4794102</v>
      </c>
    </row>
    <row r="40" spans="1:17" x14ac:dyDescent="0.3">
      <c r="A40" s="610">
        <v>75000000</v>
      </c>
      <c r="B40" s="1653"/>
      <c r="C40" s="611">
        <v>4126934</v>
      </c>
      <c r="D40" s="612">
        <v>4930882</v>
      </c>
      <c r="E40" s="1653"/>
      <c r="F40" s="611">
        <f t="shared" si="0"/>
        <v>4930882</v>
      </c>
      <c r="G40" s="612">
        <v>5788426</v>
      </c>
      <c r="H40" s="1653"/>
      <c r="I40" s="611">
        <f t="shared" si="1"/>
        <v>5788426</v>
      </c>
      <c r="J40" s="612">
        <v>6592374</v>
      </c>
    </row>
    <row r="41" spans="1:17" x14ac:dyDescent="0.3">
      <c r="A41" s="610">
        <v>100000000</v>
      </c>
      <c r="B41" s="1653"/>
      <c r="C41" s="611">
        <v>5173197</v>
      </c>
      <c r="D41" s="612">
        <v>6180963</v>
      </c>
      <c r="E41" s="1653"/>
      <c r="F41" s="611">
        <f t="shared" si="0"/>
        <v>6180963</v>
      </c>
      <c r="G41" s="612">
        <v>7255913</v>
      </c>
      <c r="H41" s="1653"/>
      <c r="I41" s="611">
        <f t="shared" si="1"/>
        <v>7255913</v>
      </c>
      <c r="J41" s="612">
        <v>8263678</v>
      </c>
    </row>
    <row r="42" spans="1:17" x14ac:dyDescent="0.3">
      <c r="A42" s="610">
        <v>150000000</v>
      </c>
      <c r="B42" s="1653"/>
      <c r="C42" s="611">
        <v>7112783</v>
      </c>
      <c r="D42" s="612">
        <v>8498390</v>
      </c>
      <c r="E42" s="1653"/>
      <c r="F42" s="611">
        <f t="shared" si="0"/>
        <v>8498390</v>
      </c>
      <c r="G42" s="612">
        <v>9976370</v>
      </c>
      <c r="H42" s="1653"/>
      <c r="I42" s="611">
        <f t="shared" si="1"/>
        <v>9976370</v>
      </c>
      <c r="J42" s="612">
        <v>11361977</v>
      </c>
    </row>
    <row r="43" spans="1:17" x14ac:dyDescent="0.3">
      <c r="A43" s="610">
        <v>200000000</v>
      </c>
      <c r="B43" s="1653"/>
      <c r="C43" s="611">
        <v>8915172</v>
      </c>
      <c r="D43" s="612">
        <v>10651893</v>
      </c>
      <c r="E43" s="1653"/>
      <c r="F43" s="611">
        <f t="shared" si="0"/>
        <v>10651893</v>
      </c>
      <c r="G43" s="612">
        <v>12504397</v>
      </c>
      <c r="H43" s="1653"/>
      <c r="I43" s="611">
        <f t="shared" si="1"/>
        <v>12504397</v>
      </c>
      <c r="J43" s="612">
        <v>14241118</v>
      </c>
    </row>
    <row r="44" spans="1:17" ht="15.2" thickBot="1" x14ac:dyDescent="0.35">
      <c r="A44" s="616">
        <v>250000000</v>
      </c>
      <c r="B44" s="1654"/>
      <c r="C44" s="617">
        <v>10621878</v>
      </c>
      <c r="D44" s="618">
        <v>12691074</v>
      </c>
      <c r="E44" s="1654"/>
      <c r="F44" s="617">
        <f t="shared" si="0"/>
        <v>12691074</v>
      </c>
      <c r="G44" s="618">
        <v>14898218</v>
      </c>
      <c r="H44" s="1654"/>
      <c r="I44" s="617">
        <f t="shared" si="1"/>
        <v>14898218</v>
      </c>
      <c r="J44" s="618">
        <v>16967415</v>
      </c>
    </row>
    <row r="45" spans="1:17" x14ac:dyDescent="0.3">
      <c r="A45" s="619"/>
      <c r="B45" s="614"/>
      <c r="C45" s="619"/>
      <c r="D45" s="619"/>
      <c r="E45" s="614"/>
      <c r="F45" s="619"/>
      <c r="G45" s="619"/>
      <c r="H45" s="614"/>
      <c r="I45" s="619"/>
      <c r="J45" s="619"/>
    </row>
    <row r="46" spans="1:17" s="628" customFormat="1" ht="26.25" customHeight="1" x14ac:dyDescent="0.3">
      <c r="A46" s="620"/>
      <c r="B46" s="621" t="s">
        <v>471</v>
      </c>
      <c r="C46" s="622"/>
      <c r="D46" s="622"/>
      <c r="E46" s="623"/>
      <c r="F46" s="622"/>
      <c r="G46" s="622"/>
      <c r="H46" s="623"/>
      <c r="I46" s="622"/>
      <c r="J46" s="622"/>
      <c r="K46" s="622"/>
      <c r="L46" s="624"/>
      <c r="M46" s="625"/>
      <c r="N46" s="626"/>
      <c r="O46" s="626"/>
      <c r="P46" s="626"/>
      <c r="Q46" s="627"/>
    </row>
    <row r="47" spans="1:17" x14ac:dyDescent="0.3">
      <c r="A47" s="629"/>
      <c r="B47" s="630"/>
      <c r="C47" s="603"/>
      <c r="D47" s="603"/>
      <c r="E47" s="631"/>
      <c r="F47" s="603"/>
      <c r="G47" s="603"/>
      <c r="H47" s="631"/>
      <c r="I47" s="603"/>
      <c r="J47" s="603"/>
      <c r="K47" s="603"/>
      <c r="L47" s="632"/>
      <c r="M47" s="603"/>
      <c r="N47" s="626"/>
      <c r="O47" s="626"/>
      <c r="P47" s="626"/>
      <c r="Q47" s="627"/>
    </row>
    <row r="48" spans="1:17" x14ac:dyDescent="0.3">
      <c r="A48" s="629"/>
      <c r="B48" s="633" t="s">
        <v>450</v>
      </c>
      <c r="C48" s="603"/>
      <c r="D48" s="603"/>
      <c r="E48" s="631"/>
      <c r="F48" s="603"/>
      <c r="G48" s="603"/>
      <c r="H48" s="631"/>
      <c r="I48" s="603"/>
      <c r="J48" s="603"/>
      <c r="K48" s="603"/>
      <c r="L48" s="632"/>
      <c r="M48" s="603"/>
      <c r="N48" s="626"/>
      <c r="O48" s="626"/>
      <c r="P48" s="626"/>
      <c r="Q48" s="627"/>
    </row>
    <row r="49" spans="1:17" x14ac:dyDescent="0.3">
      <c r="A49" s="634"/>
      <c r="C49" s="603"/>
      <c r="D49" s="603"/>
      <c r="E49" s="631"/>
      <c r="F49" s="603"/>
      <c r="G49" s="603"/>
      <c r="H49" s="631"/>
      <c r="I49" s="603"/>
      <c r="J49" s="603"/>
      <c r="K49" s="603"/>
      <c r="L49" s="632"/>
      <c r="M49" s="603"/>
      <c r="N49" s="626"/>
      <c r="O49" s="626"/>
      <c r="P49" s="626"/>
      <c r="Q49" s="627"/>
    </row>
    <row r="50" spans="1:17" x14ac:dyDescent="0.3">
      <c r="A50" s="634"/>
      <c r="C50" s="603"/>
      <c r="D50" s="635"/>
      <c r="E50" s="635"/>
      <c r="F50" s="635"/>
      <c r="G50" s="1452" t="s">
        <v>451</v>
      </c>
      <c r="H50" s="1452"/>
      <c r="I50" s="603"/>
      <c r="J50" s="1452"/>
      <c r="K50" s="1452"/>
      <c r="L50" s="636"/>
      <c r="M50" s="635"/>
      <c r="N50" s="626"/>
      <c r="O50" s="626"/>
      <c r="P50" s="626"/>
      <c r="Q50" s="627"/>
    </row>
    <row r="51" spans="1:17" x14ac:dyDescent="0.3">
      <c r="A51" s="634"/>
      <c r="C51" s="603"/>
      <c r="D51" s="603"/>
      <c r="E51" s="631"/>
      <c r="F51" s="603"/>
      <c r="G51" s="603"/>
      <c r="H51" s="631"/>
      <c r="I51" s="603"/>
      <c r="J51" s="603"/>
      <c r="K51" s="603"/>
      <c r="L51" s="632"/>
      <c r="M51" s="603"/>
      <c r="N51" s="626"/>
      <c r="O51" s="626"/>
      <c r="P51" s="626"/>
      <c r="Q51" s="627"/>
    </row>
    <row r="52" spans="1:17" x14ac:dyDescent="0.3">
      <c r="A52" s="637"/>
      <c r="B52" s="603"/>
      <c r="C52" s="603"/>
      <c r="D52" s="603"/>
      <c r="E52" s="631"/>
      <c r="F52" s="603"/>
      <c r="G52" s="1649" t="s">
        <v>316</v>
      </c>
      <c r="H52" s="597">
        <v>1</v>
      </c>
      <c r="I52" s="603"/>
      <c r="J52" s="603"/>
      <c r="K52" s="638"/>
      <c r="L52" s="632"/>
      <c r="M52" s="603"/>
      <c r="N52" s="626"/>
      <c r="O52" s="626"/>
      <c r="P52" s="626"/>
      <c r="Q52" s="627"/>
    </row>
    <row r="53" spans="1:17" x14ac:dyDescent="0.3">
      <c r="A53" s="637"/>
      <c r="B53" s="603"/>
      <c r="C53" s="603"/>
      <c r="D53" s="603"/>
      <c r="E53" s="631"/>
      <c r="F53" s="603"/>
      <c r="G53" s="1650"/>
      <c r="H53" s="597">
        <v>2</v>
      </c>
      <c r="I53" s="603"/>
      <c r="J53" s="603"/>
      <c r="K53" s="638"/>
      <c r="L53" s="632"/>
      <c r="M53" s="603"/>
      <c r="N53" s="626"/>
      <c r="O53" s="626"/>
      <c r="P53" s="626"/>
      <c r="Q53" s="627"/>
    </row>
    <row r="54" spans="1:17" x14ac:dyDescent="0.3">
      <c r="A54" s="637"/>
      <c r="B54" s="603"/>
      <c r="C54" s="603"/>
      <c r="D54" s="603"/>
      <c r="E54" s="631"/>
      <c r="F54" s="603"/>
      <c r="G54" s="1651"/>
      <c r="H54" s="597">
        <v>3</v>
      </c>
      <c r="I54" s="603"/>
      <c r="J54" s="603"/>
      <c r="K54" s="638"/>
      <c r="L54" s="632"/>
      <c r="M54" s="603"/>
      <c r="N54" s="626"/>
      <c r="O54" s="626"/>
      <c r="P54" s="626"/>
      <c r="Q54" s="627"/>
    </row>
    <row r="55" spans="1:17" x14ac:dyDescent="0.3">
      <c r="A55" s="637"/>
      <c r="B55" s="603"/>
      <c r="C55" s="603"/>
      <c r="D55" s="603"/>
      <c r="E55" s="631"/>
      <c r="F55" s="603"/>
      <c r="G55" s="603"/>
      <c r="H55" s="631"/>
      <c r="I55" s="603"/>
      <c r="J55" s="603"/>
      <c r="K55" s="603"/>
      <c r="L55" s="632"/>
      <c r="M55" s="603"/>
      <c r="N55" s="626"/>
      <c r="O55" s="626"/>
      <c r="P55" s="626"/>
      <c r="Q55" s="627"/>
    </row>
    <row r="56" spans="1:17" x14ac:dyDescent="0.3">
      <c r="A56" s="629"/>
      <c r="B56" s="603"/>
      <c r="C56" s="639"/>
      <c r="D56" s="603"/>
      <c r="E56" s="638"/>
      <c r="F56" s="639"/>
      <c r="G56" s="1417" t="s">
        <v>317</v>
      </c>
      <c r="H56" s="597" t="s">
        <v>135</v>
      </c>
      <c r="I56" s="639"/>
      <c r="J56" s="603"/>
      <c r="K56" s="638"/>
      <c r="L56" s="640"/>
      <c r="M56" s="603"/>
      <c r="N56" s="626"/>
      <c r="O56" s="626"/>
      <c r="P56" s="626"/>
      <c r="Q56" s="627"/>
    </row>
    <row r="57" spans="1:17" x14ac:dyDescent="0.3">
      <c r="A57" s="629"/>
      <c r="B57" s="603"/>
      <c r="C57" s="639"/>
      <c r="D57" s="603"/>
      <c r="E57" s="638"/>
      <c r="F57" s="639"/>
      <c r="G57" s="1417"/>
      <c r="H57" s="597" t="s">
        <v>318</v>
      </c>
      <c r="I57" s="639"/>
      <c r="J57" s="603"/>
      <c r="K57" s="638"/>
      <c r="L57" s="640"/>
      <c r="M57" s="603"/>
      <c r="N57" s="626"/>
      <c r="O57" s="626"/>
      <c r="P57" s="626"/>
      <c r="Q57" s="627"/>
    </row>
    <row r="58" spans="1:17" x14ac:dyDescent="0.3">
      <c r="A58" s="629"/>
      <c r="B58" s="603"/>
      <c r="C58" s="603"/>
      <c r="D58" s="603"/>
      <c r="E58" s="638"/>
      <c r="F58" s="603"/>
      <c r="G58" s="1417"/>
      <c r="H58" s="597" t="s">
        <v>319</v>
      </c>
      <c r="I58" s="603"/>
      <c r="J58" s="603"/>
      <c r="K58" s="638"/>
      <c r="L58" s="632"/>
      <c r="M58" s="603"/>
      <c r="N58" s="626"/>
      <c r="O58" s="626"/>
      <c r="P58" s="626"/>
      <c r="Q58" s="627"/>
    </row>
    <row r="59" spans="1:17" x14ac:dyDescent="0.3">
      <c r="A59" s="629"/>
      <c r="B59" s="603"/>
      <c r="C59" s="603"/>
      <c r="D59" s="603"/>
      <c r="E59" s="638"/>
      <c r="F59" s="603"/>
      <c r="G59" s="1417"/>
      <c r="H59" s="597" t="s">
        <v>320</v>
      </c>
      <c r="I59" s="603"/>
      <c r="J59" s="603"/>
      <c r="K59" s="598"/>
      <c r="L59" s="632"/>
      <c r="M59" s="603"/>
      <c r="N59" s="626"/>
      <c r="O59" s="626"/>
      <c r="P59" s="626"/>
      <c r="Q59" s="627"/>
    </row>
    <row r="60" spans="1:17" x14ac:dyDescent="0.3">
      <c r="A60" s="629"/>
      <c r="B60" s="603"/>
      <c r="C60" s="603"/>
      <c r="D60" s="603"/>
      <c r="E60" s="638"/>
      <c r="F60" s="603"/>
      <c r="G60" s="1417"/>
      <c r="H60" s="597" t="s">
        <v>321</v>
      </c>
      <c r="I60" s="603"/>
      <c r="J60" s="603"/>
      <c r="K60" s="598"/>
      <c r="L60" s="632"/>
      <c r="M60" s="603"/>
      <c r="N60" s="626"/>
      <c r="O60" s="626"/>
      <c r="P60" s="626"/>
      <c r="Q60" s="627"/>
    </row>
    <row r="61" spans="1:17" ht="15.95" customHeight="1" thickBot="1" x14ac:dyDescent="0.35">
      <c r="A61" s="629"/>
      <c r="K61" s="641"/>
      <c r="L61" s="642"/>
      <c r="N61" s="626"/>
      <c r="O61" s="626"/>
      <c r="P61" s="626"/>
      <c r="Q61" s="627"/>
    </row>
    <row r="62" spans="1:17" ht="15.95" customHeight="1" thickBot="1" x14ac:dyDescent="0.35">
      <c r="A62" s="629"/>
      <c r="B62" s="1644" t="s">
        <v>452</v>
      </c>
      <c r="C62" s="1645"/>
      <c r="D62" s="1645"/>
      <c r="E62" s="1646"/>
      <c r="F62" s="643"/>
      <c r="G62" s="1647">
        <f>Wärmeversorgung!H8</f>
        <v>0</v>
      </c>
      <c r="H62" s="1648"/>
      <c r="I62" s="1647">
        <f>Wärmeversorgung!L8</f>
        <v>0</v>
      </c>
      <c r="J62" s="1648"/>
      <c r="K62" s="1647">
        <f>Wärmeversorgung!P8</f>
        <v>0</v>
      </c>
      <c r="L62" s="1648"/>
      <c r="N62" s="626"/>
      <c r="O62" s="626"/>
      <c r="P62" s="626"/>
      <c r="Q62" s="627"/>
    </row>
    <row r="63" spans="1:17" ht="15.95" customHeight="1" x14ac:dyDescent="0.3">
      <c r="A63" s="629"/>
      <c r="K63" s="641"/>
      <c r="L63" s="642"/>
      <c r="N63" s="626"/>
      <c r="O63" s="626"/>
      <c r="P63" s="626"/>
      <c r="Q63" s="627"/>
    </row>
    <row r="64" spans="1:17" x14ac:dyDescent="0.3">
      <c r="A64" s="629"/>
      <c r="B64" s="1422" t="s">
        <v>316</v>
      </c>
      <c r="C64" s="1423"/>
      <c r="D64" s="1423"/>
      <c r="E64" s="1424"/>
      <c r="F64" s="644"/>
      <c r="G64" s="1462">
        <f>Wärmeversorgung!F15</f>
        <v>1</v>
      </c>
      <c r="H64" s="1463"/>
      <c r="J64" s="1643"/>
      <c r="K64" s="1643"/>
      <c r="L64" s="642"/>
      <c r="M64" s="645"/>
      <c r="N64" s="626"/>
      <c r="O64" s="626"/>
      <c r="P64" s="626"/>
      <c r="Q64" s="627"/>
    </row>
    <row r="65" spans="1:17" x14ac:dyDescent="0.3">
      <c r="A65" s="629"/>
      <c r="B65" s="1422" t="s">
        <v>317</v>
      </c>
      <c r="C65" s="1423"/>
      <c r="D65" s="1423"/>
      <c r="E65" s="1424"/>
      <c r="F65" s="644"/>
      <c r="G65" s="1462" t="str">
        <f>Wärmeversorgung!F16</f>
        <v>Basishonorarsatz</v>
      </c>
      <c r="H65" s="1463"/>
      <c r="J65" s="1643"/>
      <c r="K65" s="1643"/>
      <c r="L65" s="642"/>
      <c r="M65" s="645"/>
      <c r="N65" s="626"/>
      <c r="O65" s="626"/>
      <c r="P65" s="626"/>
      <c r="Q65" s="627"/>
    </row>
    <row r="66" spans="1:17" x14ac:dyDescent="0.3">
      <c r="A66" s="629"/>
      <c r="B66" s="603"/>
      <c r="C66" s="603"/>
      <c r="D66" s="603"/>
      <c r="E66" s="603"/>
      <c r="F66" s="603"/>
      <c r="G66" s="603"/>
      <c r="H66" s="603"/>
      <c r="L66" s="642"/>
      <c r="N66" s="626"/>
      <c r="O66" s="626"/>
      <c r="P66" s="626"/>
      <c r="Q66" s="627"/>
    </row>
    <row r="67" spans="1:17" x14ac:dyDescent="0.3">
      <c r="A67" s="629"/>
      <c r="B67" s="633" t="s">
        <v>453</v>
      </c>
      <c r="C67" s="603"/>
      <c r="D67" s="603"/>
      <c r="E67" s="603"/>
      <c r="F67" s="603"/>
      <c r="G67" s="603"/>
      <c r="H67" s="603"/>
      <c r="L67" s="642"/>
      <c r="N67" s="626"/>
      <c r="O67" s="626"/>
      <c r="P67" s="626"/>
      <c r="Q67" s="627"/>
    </row>
    <row r="68" spans="1:17" x14ac:dyDescent="0.3">
      <c r="A68" s="629"/>
      <c r="B68" s="633"/>
      <c r="C68" s="603"/>
      <c r="D68" s="603"/>
      <c r="E68" s="603"/>
      <c r="F68" s="603"/>
      <c r="G68" s="603"/>
      <c r="H68" s="603"/>
      <c r="L68" s="642"/>
      <c r="N68" s="626"/>
      <c r="O68" s="626"/>
      <c r="P68" s="626"/>
      <c r="Q68" s="627"/>
    </row>
    <row r="69" spans="1:17" x14ac:dyDescent="0.3">
      <c r="A69" s="629"/>
      <c r="B69" s="603"/>
      <c r="C69" s="603"/>
      <c r="D69" s="603"/>
      <c r="E69" s="603"/>
      <c r="F69" s="603"/>
      <c r="G69" s="1418" t="s">
        <v>322</v>
      </c>
      <c r="H69" s="1418"/>
      <c r="I69" s="1414" t="s">
        <v>323</v>
      </c>
      <c r="J69" s="1414"/>
      <c r="K69" s="1466" t="s">
        <v>324</v>
      </c>
      <c r="L69" s="1466"/>
      <c r="N69" s="626"/>
      <c r="O69" s="626"/>
      <c r="P69" s="626"/>
      <c r="Q69" s="627"/>
    </row>
    <row r="70" spans="1:17" x14ac:dyDescent="0.3">
      <c r="A70" s="629"/>
      <c r="B70" s="708"/>
      <c r="C70" s="709"/>
      <c r="D70" s="1397" t="s">
        <v>924</v>
      </c>
      <c r="E70" s="1425" t="s">
        <v>316</v>
      </c>
      <c r="F70" s="646"/>
      <c r="G70" s="647" t="s">
        <v>328</v>
      </c>
      <c r="H70" s="648">
        <f>IF(G62&lt;$A$6,0,IF(G62&gt;$A$44,0,VLOOKUP(G62,$A$6:$A$44,1)))</f>
        <v>0</v>
      </c>
      <c r="I70" s="647" t="s">
        <v>328</v>
      </c>
      <c r="J70" s="648">
        <f>IF(I62&lt;$A$6,0,IF(I62&gt;$A$44,0,VLOOKUP(I62,$A$6:$A$44,1)))</f>
        <v>0</v>
      </c>
      <c r="K70" s="647" t="s">
        <v>328</v>
      </c>
      <c r="L70" s="648">
        <f>IF(K62&lt;$A$6,0,IF(K62&gt;$A$44,0,VLOOKUP(K62,$A$6:$A$44,1)))</f>
        <v>0</v>
      </c>
      <c r="M70" s="603"/>
      <c r="N70" s="627"/>
      <c r="O70" s="627"/>
      <c r="P70" s="627"/>
      <c r="Q70" s="627"/>
    </row>
    <row r="71" spans="1:17" x14ac:dyDescent="0.3">
      <c r="A71" s="629"/>
      <c r="B71" s="709"/>
      <c r="C71" s="709"/>
      <c r="D71" s="1398"/>
      <c r="E71" s="1426"/>
      <c r="F71" s="603"/>
      <c r="G71" s="649" t="s">
        <v>135</v>
      </c>
      <c r="H71" s="650" t="s">
        <v>321</v>
      </c>
      <c r="I71" s="649" t="s">
        <v>135</v>
      </c>
      <c r="J71" s="650" t="s">
        <v>321</v>
      </c>
      <c r="K71" s="649" t="s">
        <v>135</v>
      </c>
      <c r="L71" s="650" t="s">
        <v>321</v>
      </c>
      <c r="M71" s="651"/>
      <c r="N71" s="627"/>
      <c r="O71" s="627"/>
      <c r="P71" s="627"/>
      <c r="Q71" s="627"/>
    </row>
    <row r="72" spans="1:17" x14ac:dyDescent="0.3">
      <c r="A72" s="629"/>
      <c r="B72" s="709"/>
      <c r="C72" s="709"/>
      <c r="D72" s="1398"/>
      <c r="E72" s="759">
        <v>1</v>
      </c>
      <c r="F72" s="603"/>
      <c r="G72" s="648">
        <f>IF(G62&lt;$A$6,0,IF(G62&gt;$A$44,0,VLOOKUP(H70,$A$6:$J$44,3)))</f>
        <v>0</v>
      </c>
      <c r="H72" s="648">
        <f>IF(G62&lt;$A$6,0,IF(G62&gt;$A$44,0,VLOOKUP(G72,$C$6:$D$44,2)))</f>
        <v>0</v>
      </c>
      <c r="I72" s="648">
        <f>IF(I62&lt;$A$6,0,IF(I62&gt;$A$44,0,VLOOKUP(J70,$A$6:$J$44,3)))</f>
        <v>0</v>
      </c>
      <c r="J72" s="648">
        <f>IF(I62&lt;$A$6,0,IF(I62&gt;$A$44,0,VLOOKUP(I72,$C$6:$D$44,2)))</f>
        <v>0</v>
      </c>
      <c r="K72" s="648">
        <f>IF(K62&lt;$A$6,0,IF(K62&gt;$A$44,0,VLOOKUP(L70,$A$6:$J$44,3)))</f>
        <v>0</v>
      </c>
      <c r="L72" s="648">
        <f>IF(K62&lt;$A$6,0,IF(K62&gt;$A$44,0,VLOOKUP(K72,$C$6:$D$44,2)))</f>
        <v>0</v>
      </c>
      <c r="M72" s="646"/>
      <c r="N72" s="627"/>
      <c r="O72" s="627"/>
      <c r="P72" s="627"/>
      <c r="Q72" s="627"/>
    </row>
    <row r="73" spans="1:17" x14ac:dyDescent="0.3">
      <c r="A73" s="629"/>
      <c r="B73" s="709"/>
      <c r="C73" s="709"/>
      <c r="D73" s="1398"/>
      <c r="E73" s="759">
        <v>2</v>
      </c>
      <c r="F73" s="603"/>
      <c r="G73" s="648">
        <f>IF(G62&lt;$A$6,0,IF(G62&gt;$A$44,0,VLOOKUP(H70,$A$6:$J$44,6)))</f>
        <v>0</v>
      </c>
      <c r="H73" s="648">
        <f>IF(G62&lt;$A$6,0,IF(G62&gt;$A$44,0,VLOOKUP(G73,$F$6:$G$44,2)))</f>
        <v>0</v>
      </c>
      <c r="I73" s="648">
        <f>IF(I62&lt;$A$6,0,IF(I62&gt;$A$44,0,VLOOKUP(J70,$A$6:$J$44,6)))</f>
        <v>0</v>
      </c>
      <c r="J73" s="648">
        <f>IF(I62&lt;$A$6,0,IF(I62&gt;$A$44,0,VLOOKUP(I73,$F$6:$G$44,2)))</f>
        <v>0</v>
      </c>
      <c r="K73" s="648">
        <f>IF(K62&lt;$A$6,0,IF(K62&gt;$A$44,0,VLOOKUP(L70,$A$6:$J$44,6)))</f>
        <v>0</v>
      </c>
      <c r="L73" s="648">
        <f>IF(K62&lt;$A$6,0,IF(K62&gt;$A$44,0,VLOOKUP(K73,$F$6:$G$44,2)))</f>
        <v>0</v>
      </c>
      <c r="M73" s="646"/>
      <c r="N73" s="627"/>
      <c r="O73" s="627"/>
      <c r="P73" s="627"/>
      <c r="Q73" s="627"/>
    </row>
    <row r="74" spans="1:17" x14ac:dyDescent="0.3">
      <c r="A74" s="629"/>
      <c r="B74" s="709"/>
      <c r="C74" s="709"/>
      <c r="D74" s="1399"/>
      <c r="E74" s="759">
        <v>3</v>
      </c>
      <c r="F74" s="603"/>
      <c r="G74" s="648">
        <f>IF(G62&lt;$A$6,0,IF(G62&gt;$A$44,0,VLOOKUP(H70,$A$6:$J$44,9)))</f>
        <v>0</v>
      </c>
      <c r="H74" s="648">
        <f>IF(G62&lt;$A$6,0,IF(G62&gt;$A$44,0,VLOOKUP(G74,$I$6:$J$44,2)))</f>
        <v>0</v>
      </c>
      <c r="I74" s="648">
        <f>IF(I62&lt;$A$6,0,IF(I62&gt;$A$44,0,VLOOKUP(J70,$A$6:$J$44,9)))</f>
        <v>0</v>
      </c>
      <c r="J74" s="648">
        <f>IF(I62&lt;$A$6,0,IF(I62&gt;$A$44,0,VLOOKUP(I74,$I$6:$J$44,2)))</f>
        <v>0</v>
      </c>
      <c r="K74" s="648">
        <f>IF(K62&lt;$A$6,0,IF(K62&gt;$A$44,0,VLOOKUP(L70,$A$6:$J$44,9)))</f>
        <v>0</v>
      </c>
      <c r="L74" s="648">
        <f>IF(K62&lt;$A$6,0,IF(K62&gt;$A$44,0,VLOOKUP(K74,$I$6:$J$44,2)))</f>
        <v>0</v>
      </c>
      <c r="M74" s="646"/>
      <c r="N74" s="627"/>
      <c r="O74" s="627"/>
      <c r="P74" s="627"/>
      <c r="Q74" s="627"/>
    </row>
    <row r="75" spans="1:17" x14ac:dyDescent="0.3">
      <c r="A75" s="629"/>
      <c r="B75" s="710"/>
      <c r="C75" s="710"/>
      <c r="D75" s="710"/>
      <c r="E75" s="603"/>
      <c r="F75" s="603"/>
      <c r="G75" s="653"/>
      <c r="H75" s="651"/>
      <c r="I75" s="641"/>
      <c r="J75" s="641"/>
      <c r="K75" s="641"/>
      <c r="L75" s="654"/>
      <c r="M75" s="641"/>
      <c r="N75" s="627"/>
      <c r="O75" s="627"/>
      <c r="P75" s="627"/>
      <c r="Q75" s="627"/>
    </row>
    <row r="76" spans="1:17" x14ac:dyDescent="0.3">
      <c r="A76" s="629"/>
      <c r="B76" s="708"/>
      <c r="C76" s="709"/>
      <c r="D76" s="1397" t="s">
        <v>925</v>
      </c>
      <c r="E76" s="1425" t="s">
        <v>316</v>
      </c>
      <c r="F76" s="603"/>
      <c r="G76" s="647" t="s">
        <v>328</v>
      </c>
      <c r="H76" s="648">
        <f>IF(G62&lt;$A$6,0,IF(G62&gt;$A$44,0,INDEX($A$6:$A$44,MATCH(G62,$A$6:$A$44,1)+1,1)))</f>
        <v>0</v>
      </c>
      <c r="I76" s="647" t="s">
        <v>328</v>
      </c>
      <c r="J76" s="648">
        <f>IF(I62&lt;$A$6,0,IF(I62&gt;$A$44,0,INDEX($A$6:$A$44,MATCH(I62,$A$6:$A$44,1)+1,1)))</f>
        <v>0</v>
      </c>
      <c r="K76" s="647" t="s">
        <v>328</v>
      </c>
      <c r="L76" s="648">
        <f>IF(K62&lt;$A$6,0,IF(K62&gt;$A$44,0,INDEX($A$6:$A$44,MATCH(K62,$A$6:$A$44,1)+1,1)))</f>
        <v>0</v>
      </c>
      <c r="M76" s="603"/>
      <c r="N76" s="627"/>
      <c r="O76" s="627"/>
      <c r="P76" s="627"/>
      <c r="Q76" s="627"/>
    </row>
    <row r="77" spans="1:17" x14ac:dyDescent="0.3">
      <c r="A77" s="629"/>
      <c r="B77" s="709"/>
      <c r="C77" s="709"/>
      <c r="D77" s="1398"/>
      <c r="E77" s="1426"/>
      <c r="F77" s="603"/>
      <c r="G77" s="649" t="s">
        <v>135</v>
      </c>
      <c r="H77" s="650" t="s">
        <v>321</v>
      </c>
      <c r="I77" s="649" t="s">
        <v>135</v>
      </c>
      <c r="J77" s="650" t="s">
        <v>321</v>
      </c>
      <c r="K77" s="649" t="s">
        <v>135</v>
      </c>
      <c r="L77" s="650" t="s">
        <v>321</v>
      </c>
      <c r="M77" s="651"/>
      <c r="N77" s="627"/>
      <c r="O77" s="627"/>
      <c r="P77" s="627"/>
      <c r="Q77" s="627"/>
    </row>
    <row r="78" spans="1:17" x14ac:dyDescent="0.3">
      <c r="A78" s="629"/>
      <c r="B78" s="709"/>
      <c r="C78" s="709"/>
      <c r="D78" s="1398"/>
      <c r="E78" s="759">
        <v>1</v>
      </c>
      <c r="F78" s="603"/>
      <c r="G78" s="648">
        <f>IF(G62&lt;$A$6,0,IF(G62&gt;$A$44,0,VLOOKUP(H76,$A$6:$J$44,3)))</f>
        <v>0</v>
      </c>
      <c r="H78" s="648">
        <f>IF(G62&lt;$A$6,0,IF(G62&gt;$A$44,0,VLOOKUP(G78,$C$6:$D$44,2)))</f>
        <v>0</v>
      </c>
      <c r="I78" s="648">
        <f>IF(I62&lt;$A$6,0,IF(I62&gt;$A$44,0,VLOOKUP(J76,$A$6:$J$44,3)))</f>
        <v>0</v>
      </c>
      <c r="J78" s="648">
        <f>IF(I62&lt;$A$6,0,IF(I62&gt;$A$44,0,VLOOKUP(I78,$C$6:$D$44,2)))</f>
        <v>0</v>
      </c>
      <c r="K78" s="648">
        <f>IF(K62&lt;$A$6,0,IF(K62&gt;$A$44,0,VLOOKUP(L76,$A$6:$J$44,3)))</f>
        <v>0</v>
      </c>
      <c r="L78" s="648">
        <f>IF(K62&lt;$A$6,0,IF(K62&gt;$A$44,0,VLOOKUP(K78,$C$6:$D$44,2)))</f>
        <v>0</v>
      </c>
      <c r="M78" s="646"/>
      <c r="N78" s="627"/>
      <c r="O78" s="627"/>
      <c r="P78" s="627"/>
      <c r="Q78" s="627"/>
    </row>
    <row r="79" spans="1:17" x14ac:dyDescent="0.3">
      <c r="A79" s="629"/>
      <c r="B79" s="709"/>
      <c r="C79" s="709"/>
      <c r="D79" s="1398"/>
      <c r="E79" s="759">
        <v>2</v>
      </c>
      <c r="F79" s="603"/>
      <c r="G79" s="648">
        <f>IF(G62&lt;$A$6,0,IF(G62&gt;$A$44,0,VLOOKUP(H76,$A$6:$J$44,6)))</f>
        <v>0</v>
      </c>
      <c r="H79" s="648">
        <f>IF(G62&lt;$A$6,0,IF(G62&gt;$A$44,0,VLOOKUP(G79,$F$6:$G$44,2)))</f>
        <v>0</v>
      </c>
      <c r="I79" s="648">
        <f>IF(I62&lt;$A$6,0,IF(I62&gt;$A$44,0,VLOOKUP(J76,$A$6:$J$44,6)))</f>
        <v>0</v>
      </c>
      <c r="J79" s="648">
        <f>IF(I62&lt;$A$6,0,IF(I62&gt;$A$44,0,VLOOKUP(I79,$F$6:$G$44,2)))</f>
        <v>0</v>
      </c>
      <c r="K79" s="648">
        <f>IF(K62&lt;$A$6,0,IF(K62&gt;$A$44,0,VLOOKUP(L76,$A$6:$J$44,6)))</f>
        <v>0</v>
      </c>
      <c r="L79" s="648">
        <f>IF(K62&lt;$A$6,0,IF(K62&gt;$A$44,0,VLOOKUP(K79,$F$6:$G$44,2)))</f>
        <v>0</v>
      </c>
      <c r="M79" s="646"/>
      <c r="N79" s="627"/>
      <c r="O79" s="627"/>
      <c r="P79" s="627"/>
      <c r="Q79" s="627"/>
    </row>
    <row r="80" spans="1:17" x14ac:dyDescent="0.3">
      <c r="A80" s="629"/>
      <c r="B80" s="709"/>
      <c r="C80" s="709"/>
      <c r="D80" s="1399"/>
      <c r="E80" s="759">
        <v>3</v>
      </c>
      <c r="F80" s="603"/>
      <c r="G80" s="648">
        <f>IF(G62&lt;$A$6,0,IF(G62&gt;$A$44,0,VLOOKUP(H76,$A$6:$J$44,9)))</f>
        <v>0</v>
      </c>
      <c r="H80" s="648">
        <f>IF(G62&lt;$A$6,0,IF(G62&gt;$A$44,0,VLOOKUP(G80,$I$6:$J$44,2)))</f>
        <v>0</v>
      </c>
      <c r="I80" s="648">
        <f>IF(I62&lt;$A$6,0,IF(I62&gt;$A$44,0,VLOOKUP(J76,$A$6:$J$44,9)))</f>
        <v>0</v>
      </c>
      <c r="J80" s="648">
        <f>IF(I62&lt;$A$6,0,IF(I62&gt;$A$44,0,VLOOKUP(I80,$I$6:$J$44,2)))</f>
        <v>0</v>
      </c>
      <c r="K80" s="648">
        <f>IF(K62&lt;$A$6,0,IF(K62&gt;$A$44,0,VLOOKUP(L76,$A$6:$J$44,9)))</f>
        <v>0</v>
      </c>
      <c r="L80" s="648">
        <f>IF(K62&lt;$A$6,0,IF(K62&gt;$A$44,0,VLOOKUP(K80,$I$6:$J$44,2)))</f>
        <v>0</v>
      </c>
      <c r="M80" s="646"/>
      <c r="N80" s="627"/>
      <c r="O80" s="627"/>
      <c r="P80" s="627"/>
      <c r="Q80" s="627"/>
    </row>
    <row r="81" spans="1:17" x14ac:dyDescent="0.3">
      <c r="A81" s="629"/>
      <c r="B81" s="641"/>
      <c r="C81" s="641"/>
      <c r="D81" s="641"/>
      <c r="E81" s="641"/>
      <c r="F81" s="641"/>
      <c r="G81" s="641"/>
      <c r="H81" s="641"/>
      <c r="I81" s="641"/>
      <c r="J81" s="641"/>
      <c r="K81" s="641"/>
      <c r="L81" s="654"/>
      <c r="M81" s="641"/>
      <c r="N81" s="627"/>
      <c r="O81" s="627"/>
      <c r="P81" s="627"/>
      <c r="Q81" s="627"/>
    </row>
    <row r="82" spans="1:17" x14ac:dyDescent="0.3">
      <c r="A82" s="629"/>
      <c r="B82" s="630" t="s">
        <v>454</v>
      </c>
      <c r="C82" s="641"/>
      <c r="D82" s="641"/>
      <c r="E82" s="641"/>
      <c r="F82" s="641"/>
      <c r="G82" s="641"/>
      <c r="H82" s="641"/>
      <c r="I82" s="641"/>
      <c r="J82" s="641"/>
      <c r="K82" s="641"/>
      <c r="L82" s="654"/>
      <c r="M82" s="641"/>
      <c r="N82" s="627"/>
      <c r="O82" s="627"/>
      <c r="P82" s="627"/>
      <c r="Q82" s="627"/>
    </row>
    <row r="83" spans="1:17" x14ac:dyDescent="0.3">
      <c r="A83" s="629"/>
      <c r="B83" s="641"/>
      <c r="C83" s="641"/>
      <c r="D83" s="641"/>
      <c r="E83" s="641"/>
      <c r="F83" s="641"/>
      <c r="G83" s="641"/>
      <c r="H83" s="641"/>
      <c r="I83" s="641"/>
      <c r="J83" s="641"/>
      <c r="K83" s="641"/>
      <c r="L83" s="654"/>
      <c r="M83" s="641"/>
      <c r="N83" s="627"/>
      <c r="O83" s="627"/>
      <c r="P83" s="627"/>
      <c r="Q83" s="627"/>
    </row>
    <row r="84" spans="1:17" x14ac:dyDescent="0.3">
      <c r="A84" s="629"/>
      <c r="B84" s="652"/>
      <c r="C84" s="652"/>
      <c r="D84" s="652"/>
      <c r="E84" s="603"/>
      <c r="F84" s="603"/>
      <c r="G84" s="649" t="s">
        <v>135</v>
      </c>
      <c r="H84" s="650" t="s">
        <v>321</v>
      </c>
      <c r="I84" s="649" t="s">
        <v>135</v>
      </c>
      <c r="J84" s="650" t="s">
        <v>321</v>
      </c>
      <c r="K84" s="649" t="s">
        <v>135</v>
      </c>
      <c r="L84" s="650" t="s">
        <v>321</v>
      </c>
      <c r="M84" s="651"/>
      <c r="N84" s="627"/>
      <c r="O84" s="627"/>
      <c r="P84" s="627"/>
      <c r="Q84" s="627"/>
    </row>
    <row r="85" spans="1:17" x14ac:dyDescent="0.3">
      <c r="A85" s="629"/>
      <c r="B85" s="1416" t="s">
        <v>327</v>
      </c>
      <c r="C85" s="1416"/>
      <c r="D85" s="1416"/>
      <c r="E85" s="1416"/>
      <c r="F85" s="603"/>
      <c r="G85" s="655">
        <f>VLOOKUP(G64,E72:H74,3)</f>
        <v>0</v>
      </c>
      <c r="H85" s="655">
        <f>VLOOKUP(G64,E72:H74,4)</f>
        <v>0</v>
      </c>
      <c r="I85" s="655">
        <f>VLOOKUP(G64,E72:J74,5)</f>
        <v>0</v>
      </c>
      <c r="J85" s="655">
        <f>VLOOKUP(G64,E72:J74,6)</f>
        <v>0</v>
      </c>
      <c r="K85" s="655">
        <f>VLOOKUP(G64,E72:K74,7)</f>
        <v>0</v>
      </c>
      <c r="L85" s="655">
        <f>VLOOKUP(G64,E72:L74,8)</f>
        <v>0</v>
      </c>
      <c r="M85" s="656"/>
      <c r="N85" s="627"/>
      <c r="O85" s="627"/>
      <c r="P85" s="627"/>
      <c r="Q85" s="627"/>
    </row>
    <row r="86" spans="1:17" x14ac:dyDescent="0.3">
      <c r="A86" s="629"/>
      <c r="B86" s="1416" t="s">
        <v>329</v>
      </c>
      <c r="C86" s="1416"/>
      <c r="D86" s="1416"/>
      <c r="E86" s="1416"/>
      <c r="F86" s="603"/>
      <c r="G86" s="655">
        <f>VLOOKUP(G64,E78:H80,3)</f>
        <v>0</v>
      </c>
      <c r="H86" s="655">
        <f>VLOOKUP(G64,E78:H80,4)</f>
        <v>0</v>
      </c>
      <c r="I86" s="655">
        <f>VLOOKUP(G64,E78:J80,5)</f>
        <v>0</v>
      </c>
      <c r="J86" s="655">
        <f>VLOOKUP(G64,E78:J80,6)</f>
        <v>0</v>
      </c>
      <c r="K86" s="655">
        <f>VLOOKUP(G64,E78:K80,7)</f>
        <v>0</v>
      </c>
      <c r="L86" s="655">
        <f>VLOOKUP(G64,E78:L80,8)</f>
        <v>0</v>
      </c>
      <c r="M86" s="656"/>
      <c r="N86" s="627"/>
      <c r="O86" s="627"/>
      <c r="P86" s="627"/>
      <c r="Q86" s="627"/>
    </row>
    <row r="87" spans="1:17" x14ac:dyDescent="0.3">
      <c r="A87" s="629"/>
      <c r="B87" s="1659" t="s">
        <v>331</v>
      </c>
      <c r="C87" s="1660"/>
      <c r="D87" s="1660"/>
      <c r="E87" s="1661"/>
      <c r="F87" s="603"/>
      <c r="G87" s="657">
        <f t="shared" ref="G87:L87" si="2">G86-G85</f>
        <v>0</v>
      </c>
      <c r="H87" s="657">
        <f t="shared" si="2"/>
        <v>0</v>
      </c>
      <c r="I87" s="657">
        <f t="shared" si="2"/>
        <v>0</v>
      </c>
      <c r="J87" s="657">
        <f t="shared" si="2"/>
        <v>0</v>
      </c>
      <c r="K87" s="657">
        <f t="shared" si="2"/>
        <v>0</v>
      </c>
      <c r="L87" s="657">
        <f t="shared" si="2"/>
        <v>0</v>
      </c>
      <c r="M87" s="658"/>
      <c r="N87" s="627"/>
      <c r="O87" s="627"/>
      <c r="P87" s="627"/>
      <c r="Q87" s="627"/>
    </row>
    <row r="88" spans="1:17" x14ac:dyDescent="0.3">
      <c r="A88" s="629"/>
      <c r="B88" s="1416" t="s">
        <v>332</v>
      </c>
      <c r="C88" s="1416"/>
      <c r="D88" s="1416"/>
      <c r="E88" s="1416"/>
      <c r="F88" s="603"/>
      <c r="G88" s="657">
        <f>G62-H70</f>
        <v>0</v>
      </c>
      <c r="H88" s="659">
        <f>G64</f>
        <v>1</v>
      </c>
      <c r="I88" s="657">
        <f>I62-J70</f>
        <v>0</v>
      </c>
      <c r="J88" s="659">
        <f>G64</f>
        <v>1</v>
      </c>
      <c r="K88" s="657">
        <f>K62-L70</f>
        <v>0</v>
      </c>
      <c r="L88" s="659">
        <f>G64</f>
        <v>1</v>
      </c>
      <c r="M88" s="658"/>
    </row>
    <row r="89" spans="1:17" x14ac:dyDescent="0.3">
      <c r="A89" s="629"/>
      <c r="B89" s="641"/>
      <c r="C89" s="641"/>
      <c r="D89" s="641"/>
      <c r="E89" s="641"/>
      <c r="F89" s="641"/>
      <c r="G89" s="641"/>
      <c r="H89" s="641"/>
      <c r="I89" s="641"/>
      <c r="J89" s="641"/>
      <c r="K89" s="641"/>
      <c r="L89" s="654"/>
      <c r="M89" s="641"/>
    </row>
    <row r="90" spans="1:17" x14ac:dyDescent="0.3">
      <c r="A90" s="629"/>
      <c r="B90" s="630" t="s">
        <v>455</v>
      </c>
      <c r="C90" s="641"/>
      <c r="D90" s="641"/>
      <c r="E90" s="641"/>
      <c r="F90" s="641"/>
      <c r="G90" s="641"/>
      <c r="H90" s="641"/>
      <c r="I90" s="641"/>
      <c r="J90" s="641"/>
      <c r="K90" s="641"/>
      <c r="L90" s="654"/>
      <c r="M90" s="641"/>
    </row>
    <row r="91" spans="1:17" x14ac:dyDescent="0.3">
      <c r="A91" s="629"/>
      <c r="B91" s="641"/>
      <c r="C91" s="641"/>
      <c r="D91" s="641"/>
      <c r="E91" s="641"/>
      <c r="F91" s="641"/>
      <c r="G91" s="641"/>
      <c r="H91" s="641"/>
      <c r="I91" s="641"/>
      <c r="J91" s="641"/>
      <c r="K91" s="641"/>
      <c r="L91" s="654"/>
      <c r="M91" s="641"/>
    </row>
    <row r="92" spans="1:17" x14ac:dyDescent="0.3">
      <c r="A92" s="629"/>
      <c r="B92" s="603"/>
      <c r="C92" s="603"/>
      <c r="D92" s="651"/>
      <c r="E92" s="603"/>
      <c r="F92" s="651"/>
      <c r="G92" s="649" t="s">
        <v>135</v>
      </c>
      <c r="H92" s="650" t="s">
        <v>321</v>
      </c>
      <c r="I92" s="649" t="s">
        <v>135</v>
      </c>
      <c r="J92" s="650" t="s">
        <v>321</v>
      </c>
      <c r="K92" s="649" t="s">
        <v>135</v>
      </c>
      <c r="L92" s="650" t="s">
        <v>321</v>
      </c>
      <c r="M92" s="651"/>
    </row>
    <row r="93" spans="1:17" x14ac:dyDescent="0.3">
      <c r="A93" s="629"/>
      <c r="B93" s="1416" t="s">
        <v>334</v>
      </c>
      <c r="C93" s="1416"/>
      <c r="D93" s="1416"/>
      <c r="E93" s="1416"/>
      <c r="F93" s="660"/>
      <c r="G93" s="655">
        <f t="shared" ref="G93:L93" si="3">G85</f>
        <v>0</v>
      </c>
      <c r="H93" s="655">
        <f t="shared" si="3"/>
        <v>0</v>
      </c>
      <c r="I93" s="655">
        <f t="shared" si="3"/>
        <v>0</v>
      </c>
      <c r="J93" s="655">
        <f t="shared" si="3"/>
        <v>0</v>
      </c>
      <c r="K93" s="655">
        <f t="shared" si="3"/>
        <v>0</v>
      </c>
      <c r="L93" s="655">
        <f t="shared" si="3"/>
        <v>0</v>
      </c>
      <c r="M93" s="656"/>
    </row>
    <row r="94" spans="1:17" x14ac:dyDescent="0.3">
      <c r="A94" s="629"/>
      <c r="B94" s="1416" t="s">
        <v>335</v>
      </c>
      <c r="C94" s="1416"/>
      <c r="D94" s="1416"/>
      <c r="E94" s="1416"/>
      <c r="F94" s="660"/>
      <c r="G94" s="655">
        <f>G88</f>
        <v>0</v>
      </c>
      <c r="H94" s="655">
        <f>G88</f>
        <v>0</v>
      </c>
      <c r="I94" s="655">
        <f>I88</f>
        <v>0</v>
      </c>
      <c r="J94" s="655">
        <f>I88</f>
        <v>0</v>
      </c>
      <c r="K94" s="655">
        <f>K88</f>
        <v>0</v>
      </c>
      <c r="L94" s="655">
        <f>K88</f>
        <v>0</v>
      </c>
      <c r="M94" s="656"/>
    </row>
    <row r="95" spans="1:17" x14ac:dyDescent="0.3">
      <c r="A95" s="629"/>
      <c r="B95" s="1416" t="s">
        <v>336</v>
      </c>
      <c r="C95" s="1416"/>
      <c r="D95" s="1416"/>
      <c r="E95" s="1416"/>
      <c r="F95" s="660"/>
      <c r="G95" s="655">
        <f t="shared" ref="G95:L95" si="4">G87</f>
        <v>0</v>
      </c>
      <c r="H95" s="655">
        <f t="shared" si="4"/>
        <v>0</v>
      </c>
      <c r="I95" s="655">
        <f t="shared" si="4"/>
        <v>0</v>
      </c>
      <c r="J95" s="655">
        <f t="shared" si="4"/>
        <v>0</v>
      </c>
      <c r="K95" s="655">
        <f t="shared" si="4"/>
        <v>0</v>
      </c>
      <c r="L95" s="655">
        <f t="shared" si="4"/>
        <v>0</v>
      </c>
      <c r="M95" s="656"/>
    </row>
    <row r="96" spans="1:17" x14ac:dyDescent="0.3">
      <c r="A96" s="629"/>
      <c r="B96" s="1416" t="s">
        <v>337</v>
      </c>
      <c r="C96" s="1416"/>
      <c r="D96" s="1416"/>
      <c r="E96" s="1416"/>
      <c r="F96" s="660"/>
      <c r="G96" s="655">
        <f>H76-H70</f>
        <v>0</v>
      </c>
      <c r="H96" s="655">
        <f>H76-H70</f>
        <v>0</v>
      </c>
      <c r="I96" s="655">
        <f>J76-J70</f>
        <v>0</v>
      </c>
      <c r="J96" s="655">
        <f>J76-J70</f>
        <v>0</v>
      </c>
      <c r="K96" s="655">
        <f>L76-L70</f>
        <v>0</v>
      </c>
      <c r="L96" s="655">
        <f>L76-L70</f>
        <v>0</v>
      </c>
      <c r="M96" s="656"/>
    </row>
    <row r="97" spans="1:13" ht="15.2" thickBot="1" x14ac:dyDescent="0.35">
      <c r="A97" s="629"/>
      <c r="B97" s="603"/>
      <c r="C97" s="603"/>
      <c r="D97" s="603"/>
      <c r="E97" s="646"/>
      <c r="F97" s="646"/>
      <c r="G97" s="661"/>
      <c r="H97" s="603"/>
      <c r="I97" s="661"/>
      <c r="J97" s="603"/>
      <c r="K97" s="661"/>
      <c r="L97" s="603"/>
      <c r="M97" s="641"/>
    </row>
    <row r="98" spans="1:13" x14ac:dyDescent="0.3">
      <c r="A98" s="629"/>
      <c r="B98" s="662"/>
      <c r="C98" s="647"/>
      <c r="D98" s="663" t="s">
        <v>135</v>
      </c>
      <c r="E98" s="664"/>
      <c r="F98" s="656"/>
      <c r="G98" s="603"/>
      <c r="H98" s="665">
        <f>IF(G96=0,0,G93+((G94*G95)/G96))</f>
        <v>0</v>
      </c>
      <c r="I98" s="603"/>
      <c r="J98" s="665">
        <f>IF(I96=0,0,I93+((I94*I95)/I96))</f>
        <v>0</v>
      </c>
      <c r="K98" s="603"/>
      <c r="L98" s="665">
        <f>IF(K96=0,0,K93+((K94*K95)/K96))</f>
        <v>0</v>
      </c>
      <c r="M98" s="641"/>
    </row>
    <row r="99" spans="1:13" x14ac:dyDescent="0.3">
      <c r="A99" s="629"/>
      <c r="B99" s="666" t="s">
        <v>338</v>
      </c>
      <c r="C99" s="647"/>
      <c r="D99" s="663" t="s">
        <v>318</v>
      </c>
      <c r="E99" s="664"/>
      <c r="F99" s="656"/>
      <c r="G99" s="603"/>
      <c r="H99" s="667">
        <f>((H102-H98)*0.25)+H98</f>
        <v>0</v>
      </c>
      <c r="I99" s="603"/>
      <c r="J99" s="667">
        <f>((J102-J98)*0.25)+J98</f>
        <v>0</v>
      </c>
      <c r="K99" s="603"/>
      <c r="L99" s="667">
        <f>((L102-L98)*0.25)+L98</f>
        <v>0</v>
      </c>
      <c r="M99" s="641"/>
    </row>
    <row r="100" spans="1:13" x14ac:dyDescent="0.3">
      <c r="A100" s="629"/>
      <c r="B100" s="666"/>
      <c r="C100" s="647"/>
      <c r="D100" s="663" t="s">
        <v>319</v>
      </c>
      <c r="E100" s="664"/>
      <c r="F100" s="656"/>
      <c r="G100" s="603"/>
      <c r="H100" s="667">
        <f>(H102+H98)/2</f>
        <v>0</v>
      </c>
      <c r="I100" s="603"/>
      <c r="J100" s="667">
        <f>(J102+J98)/2</f>
        <v>0</v>
      </c>
      <c r="K100" s="603"/>
      <c r="L100" s="667">
        <f>(L102+L98)/2</f>
        <v>0</v>
      </c>
      <c r="M100" s="641"/>
    </row>
    <row r="101" spans="1:13" x14ac:dyDescent="0.3">
      <c r="A101" s="629"/>
      <c r="B101" s="666" t="s">
        <v>339</v>
      </c>
      <c r="C101" s="647"/>
      <c r="D101" s="663" t="s">
        <v>320</v>
      </c>
      <c r="E101" s="664"/>
      <c r="F101" s="656"/>
      <c r="G101" s="603"/>
      <c r="H101" s="667">
        <f>((H102-H98)*0.75)+H98</f>
        <v>0</v>
      </c>
      <c r="I101" s="603"/>
      <c r="J101" s="667">
        <f>((J102-J98)*0.75)+J98</f>
        <v>0</v>
      </c>
      <c r="K101" s="603"/>
      <c r="L101" s="667">
        <f>((L102-L98)*0.75)+L98</f>
        <v>0</v>
      </c>
      <c r="M101" s="641"/>
    </row>
    <row r="102" spans="1:13" ht="15.2" thickBot="1" x14ac:dyDescent="0.35">
      <c r="A102" s="629"/>
      <c r="B102" s="668"/>
      <c r="C102" s="647"/>
      <c r="D102" s="663" t="s">
        <v>321</v>
      </c>
      <c r="E102" s="664"/>
      <c r="F102" s="656"/>
      <c r="G102" s="603"/>
      <c r="H102" s="669">
        <f>IF(H96=0,0,H93+((H94*H95)/H96))</f>
        <v>0</v>
      </c>
      <c r="I102" s="603"/>
      <c r="J102" s="669">
        <f>IF(J96=0,0,J93+((J94*J95)/J96))</f>
        <v>0</v>
      </c>
      <c r="K102" s="603"/>
      <c r="L102" s="669">
        <f>IF(L96=0,0,L93+((L94*L95)/L96))</f>
        <v>0</v>
      </c>
      <c r="M102" s="641"/>
    </row>
    <row r="103" spans="1:13" ht="15.2" thickBot="1" x14ac:dyDescent="0.35">
      <c r="A103" s="629"/>
      <c r="B103" s="641"/>
      <c r="C103" s="641"/>
      <c r="D103" s="641"/>
      <c r="E103" s="641"/>
      <c r="F103" s="641"/>
      <c r="G103" s="641"/>
      <c r="H103" s="641"/>
      <c r="I103" s="641"/>
      <c r="J103" s="641"/>
      <c r="K103" s="641"/>
      <c r="L103" s="654"/>
      <c r="M103" s="641"/>
    </row>
    <row r="104" spans="1:13" ht="15.2" thickBot="1" x14ac:dyDescent="0.35">
      <c r="A104" s="629"/>
      <c r="B104" s="603"/>
      <c r="C104" s="603"/>
      <c r="D104" s="603"/>
      <c r="E104" s="603"/>
      <c r="F104" s="603"/>
      <c r="G104" s="1641" t="s">
        <v>456</v>
      </c>
      <c r="H104" s="1642"/>
      <c r="I104" s="1641" t="s">
        <v>456</v>
      </c>
      <c r="J104" s="1642"/>
      <c r="K104" s="1641" t="s">
        <v>456</v>
      </c>
      <c r="L104" s="1642"/>
      <c r="M104" s="633"/>
    </row>
    <row r="105" spans="1:13" ht="15.2" thickBot="1" x14ac:dyDescent="0.35">
      <c r="A105" s="629"/>
      <c r="B105" s="1402" t="s">
        <v>457</v>
      </c>
      <c r="C105" s="1403"/>
      <c r="D105" s="1403"/>
      <c r="E105" s="1404"/>
      <c r="F105" s="603"/>
      <c r="G105" s="670">
        <f>G64</f>
        <v>1</v>
      </c>
      <c r="H105" s="671">
        <f>IF(G65="Basishonorarsatz",H98,IF(G65="Viertelsatz",H99,IF(G65="Mittelsatz",H100,IF(G65="Dreiviertelsatz",H101,H102))))</f>
        <v>0</v>
      </c>
      <c r="I105" s="672">
        <f>G64</f>
        <v>1</v>
      </c>
      <c r="J105" s="671">
        <f>IF(G65="Basishonorarsatz",J98,IF(G65="Viertelsatz",J99,IF(G65="Mittelsatz",J100,IF(G65="Dreiviertelsatz",J101,J102))))</f>
        <v>0</v>
      </c>
      <c r="K105" s="672">
        <f>G64</f>
        <v>1</v>
      </c>
      <c r="L105" s="671">
        <f>IF(G65="Basishonorarsatz",L98,IF(G65="Viertelsatz",L99,IF(G65="Mittelsatz",L100,IF(G65="Dreiviertelsatz",L101,L102))))</f>
        <v>0</v>
      </c>
      <c r="M105" s="673"/>
    </row>
    <row r="106" spans="1:13" ht="15.2" thickBot="1" x14ac:dyDescent="0.35">
      <c r="A106" s="674"/>
      <c r="B106" s="675"/>
      <c r="C106" s="675"/>
      <c r="D106" s="675"/>
      <c r="E106" s="675"/>
      <c r="F106" s="675"/>
      <c r="G106" s="675"/>
      <c r="H106" s="675"/>
      <c r="I106" s="676"/>
      <c r="J106" s="676"/>
      <c r="K106" s="676"/>
      <c r="L106" s="677"/>
      <c r="M106" s="641"/>
    </row>
    <row r="107" spans="1:13" ht="15.2" thickBot="1" x14ac:dyDescent="0.35">
      <c r="B107" s="678"/>
      <c r="C107" s="1633" t="s">
        <v>343</v>
      </c>
      <c r="D107" s="1634"/>
      <c r="E107" s="1634"/>
      <c r="F107" s="1635"/>
    </row>
    <row r="108" spans="1:13" ht="15.2" thickBot="1" x14ac:dyDescent="0.35">
      <c r="B108" s="679"/>
      <c r="C108" s="1636" t="s">
        <v>458</v>
      </c>
      <c r="D108" s="1637"/>
      <c r="E108" s="1467" t="s">
        <v>459</v>
      </c>
      <c r="F108" s="1468"/>
    </row>
    <row r="109" spans="1:13" x14ac:dyDescent="0.3">
      <c r="B109" s="680">
        <v>1</v>
      </c>
      <c r="C109" s="1638">
        <f>IF(Wärmeversorgung!$T39="ja",Wärmeversorgung!J39,0)</f>
        <v>0</v>
      </c>
      <c r="D109" s="1668"/>
      <c r="E109" s="1669">
        <f>IF(Wärmeversorgung!T39="ja",Wärmeversorgung!L54,0)</f>
        <v>0</v>
      </c>
      <c r="F109" s="1639"/>
      <c r="G109" s="681">
        <f>C109*1.1+E109</f>
        <v>0</v>
      </c>
    </row>
    <row r="110" spans="1:13" x14ac:dyDescent="0.3">
      <c r="B110" s="682">
        <v>2</v>
      </c>
      <c r="C110" s="1408">
        <f>IF(Wärmeversorgung!$T55="ja",Wärmeversorgung!J55,0)</f>
        <v>0</v>
      </c>
      <c r="D110" s="1671"/>
      <c r="E110" s="1670">
        <f>IF(Wärmeversorgung!T55="ja",Wärmeversorgung!L78,0)</f>
        <v>0</v>
      </c>
      <c r="F110" s="1409"/>
      <c r="G110" s="681">
        <f t="shared" ref="G110:G122" si="5">C110*1.1+E110</f>
        <v>0</v>
      </c>
    </row>
    <row r="111" spans="1:13" x14ac:dyDescent="0.3">
      <c r="B111" s="682">
        <v>3</v>
      </c>
      <c r="C111" s="1408">
        <f>IF(Wärmeversorgung!$T82="ja",Wärmeversorgung!J82,0)</f>
        <v>0</v>
      </c>
      <c r="D111" s="1671"/>
      <c r="E111" s="1670">
        <f>IF(Wärmeversorgung!T82="ja",Wärmeversorgung!L115,0)</f>
        <v>0</v>
      </c>
      <c r="F111" s="1409"/>
      <c r="G111" s="681">
        <f t="shared" si="5"/>
        <v>0</v>
      </c>
    </row>
    <row r="112" spans="1:13" x14ac:dyDescent="0.3">
      <c r="B112" s="682">
        <v>4</v>
      </c>
      <c r="C112" s="1408">
        <f>IF(Wärmeversorgung!$T119="ja",Wärmeversorgung!J119,0)</f>
        <v>0</v>
      </c>
      <c r="D112" s="1671"/>
      <c r="E112" s="1670">
        <f>IF(Wärmeversorgung!T119="ja",Wärmeversorgung!L127,0)</f>
        <v>0</v>
      </c>
      <c r="F112" s="1409"/>
      <c r="G112" s="681">
        <f t="shared" si="5"/>
        <v>0</v>
      </c>
    </row>
    <row r="113" spans="2:7" x14ac:dyDescent="0.3">
      <c r="B113" s="682" t="s">
        <v>351</v>
      </c>
      <c r="C113" s="1408">
        <f>IF(Wärmeversorgung!$T128="ja",Wärmeversorgung!J128,0)</f>
        <v>0</v>
      </c>
      <c r="D113" s="1671"/>
      <c r="E113" s="1670">
        <f>IF(Wärmeversorgung!T128="ja",Wärmeversorgung!R128+Wärmeversorgung!R131,0)</f>
        <v>0</v>
      </c>
      <c r="F113" s="1409"/>
      <c r="G113" s="681">
        <f t="shared" si="5"/>
        <v>0</v>
      </c>
    </row>
    <row r="114" spans="2:7" x14ac:dyDescent="0.3">
      <c r="B114" s="682" t="s">
        <v>352</v>
      </c>
      <c r="C114" s="1408">
        <f>IF(Wärmeversorgung!$T133="ja",Wärmeversorgung!J133,0)</f>
        <v>0</v>
      </c>
      <c r="D114" s="1671"/>
      <c r="E114" s="1670">
        <f>IF(Wärmeversorgung!T133="ja",Wärmeversorgung!R133+Wärmeversorgung!R136+Wärmeversorgung!R139+Wärmeversorgung!R142,0)</f>
        <v>0</v>
      </c>
      <c r="F114" s="1409"/>
      <c r="G114" s="681">
        <f t="shared" si="5"/>
        <v>0</v>
      </c>
    </row>
    <row r="115" spans="2:7" x14ac:dyDescent="0.3">
      <c r="B115" s="682" t="s">
        <v>353</v>
      </c>
      <c r="C115" s="1408">
        <f>IF(Wärmeversorgung!$T143="ja",Wärmeversorgung!J143,0)</f>
        <v>0</v>
      </c>
      <c r="D115" s="1671"/>
      <c r="E115" s="1670">
        <f>IF(Wärmeversorgung!T143="ja",Wärmeversorgung!R143,0)</f>
        <v>0</v>
      </c>
      <c r="F115" s="1409"/>
      <c r="G115" s="681">
        <f t="shared" si="5"/>
        <v>0</v>
      </c>
    </row>
    <row r="116" spans="2:7" x14ac:dyDescent="0.3">
      <c r="B116" s="682" t="s">
        <v>354</v>
      </c>
      <c r="C116" s="1408">
        <f>IF(Wärmeversorgung!$T144="ja",Wärmeversorgung!J144,0)</f>
        <v>0</v>
      </c>
      <c r="D116" s="1671"/>
      <c r="E116" s="1670">
        <f>IF(Wärmeversorgung!T144="ja",Wärmeversorgung!R144,0)</f>
        <v>0</v>
      </c>
      <c r="F116" s="1409"/>
      <c r="G116" s="681">
        <f t="shared" si="5"/>
        <v>0</v>
      </c>
    </row>
    <row r="117" spans="2:7" x14ac:dyDescent="0.3">
      <c r="B117" s="682" t="s">
        <v>355</v>
      </c>
      <c r="C117" s="1408">
        <f>IF(Wärmeversorgung!$T145="ja",Wärmeversorgung!J145,0)</f>
        <v>0</v>
      </c>
      <c r="D117" s="1671"/>
      <c r="E117" s="1670">
        <f>IF(Wärmeversorgung!T145="ja",Wärmeversorgung!R145+Wärmeversorgung!R148,0)</f>
        <v>0</v>
      </c>
      <c r="F117" s="1409"/>
      <c r="G117" s="681">
        <f t="shared" si="5"/>
        <v>0</v>
      </c>
    </row>
    <row r="118" spans="2:7" x14ac:dyDescent="0.3">
      <c r="B118" s="682" t="s">
        <v>356</v>
      </c>
      <c r="C118" s="1408">
        <f>IF(Wärmeversorgung!$T150="ja",Wärmeversorgung!J150,0)</f>
        <v>0</v>
      </c>
      <c r="D118" s="1671"/>
      <c r="E118" s="1670">
        <f>IF(Wärmeversorgung!T150="ja",Wärmeversorgung!R150,0)</f>
        <v>0</v>
      </c>
      <c r="F118" s="1409"/>
      <c r="G118" s="681">
        <f t="shared" si="5"/>
        <v>0</v>
      </c>
    </row>
    <row r="119" spans="2:7" x14ac:dyDescent="0.3">
      <c r="B119" s="683">
        <v>6</v>
      </c>
      <c r="C119" s="1408">
        <f>IF(Wärmeversorgung!$T154="ja",Wärmeversorgung!J154,0)</f>
        <v>0</v>
      </c>
      <c r="D119" s="1671"/>
      <c r="E119" s="1670">
        <f>IF(Wärmeversorgung!T154="ja",Wärmeversorgung!L177,0)</f>
        <v>0</v>
      </c>
      <c r="F119" s="1409"/>
      <c r="G119" s="681">
        <f t="shared" si="5"/>
        <v>0</v>
      </c>
    </row>
    <row r="120" spans="2:7" x14ac:dyDescent="0.3">
      <c r="B120" s="683">
        <v>7</v>
      </c>
      <c r="C120" s="1408">
        <f>IF(Wärmeversorgung!$T178="ja",Wärmeversorgung!J178,0)</f>
        <v>0</v>
      </c>
      <c r="D120" s="1671"/>
      <c r="E120" s="1670">
        <f>IF(Wärmeversorgung!T178="ja",Wärmeversorgung!L192,0)</f>
        <v>0</v>
      </c>
      <c r="F120" s="1409"/>
      <c r="G120" s="681">
        <f t="shared" si="5"/>
        <v>0</v>
      </c>
    </row>
    <row r="121" spans="2:7" x14ac:dyDescent="0.3">
      <c r="B121" s="683">
        <v>8</v>
      </c>
      <c r="C121" s="1672">
        <f>IF(Wärmeversorgung!$T193="ja",Wärmeversorgung!J193,0)</f>
        <v>0</v>
      </c>
      <c r="D121" s="1673"/>
      <c r="E121" s="1670">
        <f>IF(Wärmeversorgung!T193="ja",Wärmeversorgung!L234,0)</f>
        <v>0</v>
      </c>
      <c r="F121" s="1409"/>
      <c r="G121" s="681">
        <f t="shared" si="5"/>
        <v>0</v>
      </c>
    </row>
    <row r="122" spans="2:7" ht="15.2" thickBot="1" x14ac:dyDescent="0.35">
      <c r="B122" s="684">
        <v>9</v>
      </c>
      <c r="C122" s="1674">
        <f>IF(Wärmeversorgung!$T235="ja",Wärmeversorgung!J235,0)</f>
        <v>0</v>
      </c>
      <c r="D122" s="1675"/>
      <c r="E122" s="1676">
        <f>IF(Wärmeversorgung!T235="ja",Wärmeversorgung!L244,0)</f>
        <v>0</v>
      </c>
      <c r="F122" s="1675"/>
      <c r="G122" s="681">
        <f t="shared" si="5"/>
        <v>0</v>
      </c>
    </row>
    <row r="123" spans="2:7" ht="15.2" thickBot="1" x14ac:dyDescent="0.35">
      <c r="B123" s="685" t="s">
        <v>460</v>
      </c>
      <c r="C123" s="1433">
        <f>SUM(C109:D122)</f>
        <v>0</v>
      </c>
      <c r="D123" s="1434"/>
      <c r="E123" s="1439">
        <f>SUM(E109:F122)</f>
        <v>0</v>
      </c>
      <c r="F123" s="1440"/>
    </row>
    <row r="124" spans="2:7" ht="15.2" thickBot="1" x14ac:dyDescent="0.35"/>
    <row r="125" spans="2:7" ht="15.2" thickBot="1" x14ac:dyDescent="0.35">
      <c r="B125" s="686" t="s">
        <v>360</v>
      </c>
      <c r="C125" s="1657">
        <f>C123*Wärmeversorgung!F23+C123</f>
        <v>0</v>
      </c>
      <c r="D125" s="1658"/>
      <c r="E125" s="1657">
        <f>Wärmeversorgung!R244</f>
        <v>0</v>
      </c>
      <c r="F125" s="1658"/>
    </row>
    <row r="128" spans="2:7" x14ac:dyDescent="0.3">
      <c r="B128" s="594" t="s">
        <v>463</v>
      </c>
      <c r="D128" s="687">
        <f>Überblick!G98</f>
        <v>0.19</v>
      </c>
    </row>
    <row r="130" spans="2:17" ht="15.2" thickBot="1" x14ac:dyDescent="0.35">
      <c r="B130" s="686" t="s">
        <v>462</v>
      </c>
      <c r="C130" s="1657">
        <f>C125*D128+C125</f>
        <v>0</v>
      </c>
      <c r="D130" s="1658"/>
      <c r="E130" s="1657">
        <f>E125*D128+E125</f>
        <v>0</v>
      </c>
      <c r="F130" s="1658"/>
    </row>
    <row r="132" spans="2:17" x14ac:dyDescent="0.3">
      <c r="B132" s="594" t="s">
        <v>464</v>
      </c>
      <c r="E132" s="1655">
        <f>C130+E130</f>
        <v>0</v>
      </c>
      <c r="F132" s="1656"/>
    </row>
    <row r="133" spans="2:17" ht="15.2" thickBot="1" x14ac:dyDescent="0.35"/>
    <row r="134" spans="2:17" ht="15.2" thickBot="1" x14ac:dyDescent="0.35">
      <c r="B134" s="742" t="s">
        <v>105</v>
      </c>
      <c r="C134" s="689" t="s">
        <v>285</v>
      </c>
      <c r="D134" s="690" t="s">
        <v>286</v>
      </c>
      <c r="E134" s="690" t="s">
        <v>287</v>
      </c>
      <c r="F134" s="690" t="s">
        <v>288</v>
      </c>
      <c r="G134" s="690" t="s">
        <v>289</v>
      </c>
      <c r="H134" s="690" t="s">
        <v>290</v>
      </c>
      <c r="I134" s="690" t="s">
        <v>291</v>
      </c>
      <c r="J134" s="690" t="s">
        <v>292</v>
      </c>
      <c r="K134" s="690" t="s">
        <v>293</v>
      </c>
      <c r="L134" s="690" t="s">
        <v>294</v>
      </c>
      <c r="M134" s="690" t="s">
        <v>295</v>
      </c>
      <c r="N134" s="690" t="s">
        <v>296</v>
      </c>
      <c r="O134" s="690" t="s">
        <v>297</v>
      </c>
      <c r="P134" s="690" t="s">
        <v>359</v>
      </c>
      <c r="Q134" s="691" t="s">
        <v>360</v>
      </c>
    </row>
    <row r="135" spans="2:17" x14ac:dyDescent="0.3">
      <c r="B135" s="773">
        <f>IF(Überblick!$H$53&gt;=1,1,"")</f>
        <v>1</v>
      </c>
      <c r="C135" s="698">
        <f>IF($B135=Wärmeversorgung!$U$39,Wärmeversorgung!$J$39*Wärmeversorgung!$F$23+Wärmeversorgung!$J$39+Wärmeversorgung!$L$54,0)</f>
        <v>0</v>
      </c>
      <c r="D135" s="698">
        <f>IF($B135=Wärmeversorgung!$U$55,Wärmeversorgung!$J$55*Wärmeversorgung!$F$23+Wärmeversorgung!$J$55+Wärmeversorgung!$L$78,0)</f>
        <v>0</v>
      </c>
      <c r="E135" s="698">
        <f>IF($B135=Wärmeversorgung!$U$82,Wärmeversorgung!$J$82*Wärmeversorgung!$F$23+Wärmeversorgung!$J$82+Wärmeversorgung!$L$115,0)</f>
        <v>0</v>
      </c>
      <c r="F135" s="698">
        <f>IF($B135=Wärmeversorgung!$U$119,Wärmeversorgung!$J$119*Wärmeversorgung!$F$23+Wärmeversorgung!$J$119+Wärmeversorgung!$L$127,0)</f>
        <v>0</v>
      </c>
      <c r="G135" s="698">
        <f>IF($B135=Wärmeversorgung!$U$128,Wärmeversorgung!$J$128*Wärmeversorgung!$F$23+Wärmeversorgung!$J$128+Wärmeversorgung!$R$128+Wärmeversorgung!$R$131,0)</f>
        <v>0</v>
      </c>
      <c r="H135" s="698">
        <f>IF($B135=Wärmeversorgung!$U$133,Wärmeversorgung!$J$133*Wärmeversorgung!$F$23+Wärmeversorgung!$J$133+Wärmeversorgung!$R$133+Wärmeversorgung!$R$136+Wärmeversorgung!$R$139+Wärmeversorgung!$R$142,0)</f>
        <v>0</v>
      </c>
      <c r="I135" s="698">
        <f>IF($B135=Wärmeversorgung!$U$143,Wärmeversorgung!$J$143*Wärmeversorgung!$F$23+Wärmeversorgung!$J$143+Wärmeversorgung!$R$143,0)</f>
        <v>0</v>
      </c>
      <c r="J135" s="698">
        <f>IF($B135=Wärmeversorgung!$U$144,Wärmeversorgung!$J$144*Wärmeversorgung!$F$23+Wärmeversorgung!$J$144+Wärmeversorgung!$R$144,0)</f>
        <v>0</v>
      </c>
      <c r="K135" s="698">
        <f>IF($B135=Wärmeversorgung!$U$145,Wärmeversorgung!$J$145*Wärmeversorgung!$F$23+Wärmeversorgung!$J$145+Wärmeversorgung!$R$145+Wärmeversorgung!$R$148,0)</f>
        <v>0</v>
      </c>
      <c r="L135" s="698">
        <f>IF($B135=Wärmeversorgung!$U$150,Wärmeversorgung!$J$150*Wärmeversorgung!$F$23+Wärmeversorgung!$J$150+Wärmeversorgung!$R$150,0)</f>
        <v>0</v>
      </c>
      <c r="M135" s="698">
        <f>IF($B135=Wärmeversorgung!$U$154,Wärmeversorgung!$J$154*Wärmeversorgung!$F$23+Wärmeversorgung!$J$154+Wärmeversorgung!$L$177,0)</f>
        <v>0</v>
      </c>
      <c r="N135" s="698">
        <f>IF($B135=Wärmeversorgung!$U$178,Wärmeversorgung!$J$178*Wärmeversorgung!$F$23+Wärmeversorgung!$J$178+Wärmeversorgung!$L$192,0)</f>
        <v>0</v>
      </c>
      <c r="O135" s="698">
        <f>IF($B135=Wärmeversorgung!$U$193,Wärmeversorgung!$J$193*Wärmeversorgung!$F$23+Wärmeversorgung!$J$193+Wärmeversorgung!$L$234,0)</f>
        <v>0</v>
      </c>
      <c r="P135" s="698">
        <f>IF($B135=Wärmeversorgung!$U$235,Wärmeversorgung!$J$235*Wärmeversorgung!$F$23+Wärmeversorgung!$J$235+Wärmeversorgung!$L$244,0)</f>
        <v>0</v>
      </c>
      <c r="Q135" s="774">
        <f>SUM(C135:P135)</f>
        <v>0</v>
      </c>
    </row>
    <row r="136" spans="2:17" x14ac:dyDescent="0.3">
      <c r="B136" s="769">
        <f>IF(Überblick!$H$53&gt;=2,2,"")</f>
        <v>2</v>
      </c>
      <c r="C136" s="698">
        <f>IF($B136=Wärmeversorgung!$U$39,Wärmeversorgung!$J$39*Wärmeversorgung!$F$23+Wärmeversorgung!$J$39+Wärmeversorgung!$L$54,0)</f>
        <v>0</v>
      </c>
      <c r="D136" s="698">
        <f>IF($B136=Wärmeversorgung!$U$55,Wärmeversorgung!$J$55*Wärmeversorgung!$F$23+Wärmeversorgung!$J$55+Wärmeversorgung!$L$78,0)</f>
        <v>0</v>
      </c>
      <c r="E136" s="698">
        <f>IF($B136=Wärmeversorgung!$U$82,Wärmeversorgung!$J$82*Wärmeversorgung!$F$23+Wärmeversorgung!$J$82+Wärmeversorgung!$L$115,0)</f>
        <v>0</v>
      </c>
      <c r="F136" s="698">
        <f>IF($B136=Wärmeversorgung!$U$119,Wärmeversorgung!$J$119*Wärmeversorgung!$F$23+Wärmeversorgung!$J$119+Wärmeversorgung!$L$127,0)</f>
        <v>0</v>
      </c>
      <c r="G136" s="698">
        <f>IF($B136=Wärmeversorgung!$U$128,Wärmeversorgung!$J$128*Wärmeversorgung!$F$23+Wärmeversorgung!$J$128+Wärmeversorgung!$R$128+Wärmeversorgung!$R$131,0)</f>
        <v>0</v>
      </c>
      <c r="H136" s="698">
        <f>IF($B136=Wärmeversorgung!$U$133,Wärmeversorgung!$J$133*Wärmeversorgung!$F$23+Wärmeversorgung!$J$133+Wärmeversorgung!$R$133+Wärmeversorgung!$R$136+Wärmeversorgung!$R$139+Wärmeversorgung!$R$142,0)</f>
        <v>0</v>
      </c>
      <c r="I136" s="698">
        <f>IF($B136=Wärmeversorgung!$U$143,Wärmeversorgung!$J$143*Wärmeversorgung!$F$23+Wärmeversorgung!$J$143+Wärmeversorgung!$R$143,0)</f>
        <v>0</v>
      </c>
      <c r="J136" s="698">
        <f>IF($B136=Wärmeversorgung!$U$144,Wärmeversorgung!$J$144*Wärmeversorgung!$F$23+Wärmeversorgung!$J$144+Wärmeversorgung!$R$144,0)</f>
        <v>0</v>
      </c>
      <c r="K136" s="698">
        <f>IF($B136=Wärmeversorgung!$U$145,Wärmeversorgung!$J$145*Wärmeversorgung!$F$23+Wärmeversorgung!$J$145+Wärmeversorgung!$R$145+Wärmeversorgung!$R$148,0)</f>
        <v>0</v>
      </c>
      <c r="L136" s="698">
        <f>IF($B136=Wärmeversorgung!$U$150,Wärmeversorgung!$J$150*Wärmeversorgung!$F$23+Wärmeversorgung!$J$150+Wärmeversorgung!$R$150,0)</f>
        <v>0</v>
      </c>
      <c r="M136" s="698">
        <f>IF($B136=Wärmeversorgung!$U$154,Wärmeversorgung!$J$154*Wärmeversorgung!$F$23+Wärmeversorgung!$J$154+Wärmeversorgung!$L$177,0)</f>
        <v>0</v>
      </c>
      <c r="N136" s="698">
        <f>IF($B136=Wärmeversorgung!$U$178,Wärmeversorgung!$J$178*Wärmeversorgung!$F$23+Wärmeversorgung!$J$178+Wärmeversorgung!$L$192,0)</f>
        <v>0</v>
      </c>
      <c r="O136" s="698">
        <f>IF($B136=Wärmeversorgung!$U$193,Wärmeversorgung!$J$193*Wärmeversorgung!$F$23+Wärmeversorgung!$J$193+Wärmeversorgung!$L$234,0)</f>
        <v>0</v>
      </c>
      <c r="P136" s="698">
        <f>IF($B136=Wärmeversorgung!$U$235,Wärmeversorgung!$J$235*Wärmeversorgung!$F$23+Wärmeversorgung!$J$235+Wärmeversorgung!$L$244,0)</f>
        <v>0</v>
      </c>
      <c r="Q136" s="774">
        <f t="shared" ref="Q136:Q142" si="6">SUM(C136:P136)</f>
        <v>0</v>
      </c>
    </row>
    <row r="137" spans="2:17" x14ac:dyDescent="0.3">
      <c r="B137" s="769">
        <f>IF(Überblick!$H$53&gt;=3,3,"")</f>
        <v>3</v>
      </c>
      <c r="C137" s="698">
        <f>IF($B137=Wärmeversorgung!$U$39,Wärmeversorgung!$J$39*Wärmeversorgung!$F$23+Wärmeversorgung!$J$39+Wärmeversorgung!$L$54,0)</f>
        <v>0</v>
      </c>
      <c r="D137" s="698">
        <f>IF($B137=Wärmeversorgung!$U$55,Wärmeversorgung!$J$55*Wärmeversorgung!$F$23+Wärmeversorgung!$J$55+Wärmeversorgung!$L$78,0)</f>
        <v>0</v>
      </c>
      <c r="E137" s="698">
        <f>IF($B137=Wärmeversorgung!$U$82,Wärmeversorgung!$J$82*Wärmeversorgung!$F$23+Wärmeversorgung!$J$82+Wärmeversorgung!$L$115,0)</f>
        <v>0</v>
      </c>
      <c r="F137" s="698">
        <f>IF($B137=Wärmeversorgung!$U$119,Wärmeversorgung!$J$119*Wärmeversorgung!$F$23+Wärmeversorgung!$J$119+Wärmeversorgung!$L$127,0)</f>
        <v>0</v>
      </c>
      <c r="G137" s="698">
        <f>IF($B137=Wärmeversorgung!$U$128,Wärmeversorgung!$J$128*Wärmeversorgung!$F$23+Wärmeversorgung!$J$128+Wärmeversorgung!$R$128+Wärmeversorgung!$R$131,0)</f>
        <v>0</v>
      </c>
      <c r="H137" s="698">
        <f>IF($B137=Wärmeversorgung!$U$133,Wärmeversorgung!$J$133*Wärmeversorgung!$F$23+Wärmeversorgung!$J$133+Wärmeversorgung!$R$133+Wärmeversorgung!$R$136+Wärmeversorgung!$R$139+Wärmeversorgung!$R$142,0)</f>
        <v>0</v>
      </c>
      <c r="I137" s="698">
        <f>IF($B137=Wärmeversorgung!$U$143,Wärmeversorgung!$J$143*Wärmeversorgung!$F$23+Wärmeversorgung!$J$143+Wärmeversorgung!$R$143,0)</f>
        <v>0</v>
      </c>
      <c r="J137" s="698">
        <f>IF($B137=Wärmeversorgung!$U$144,Wärmeversorgung!$J$144*Wärmeversorgung!$F$23+Wärmeversorgung!$J$144+Wärmeversorgung!$R$144,0)</f>
        <v>0</v>
      </c>
      <c r="K137" s="698">
        <f>IF($B137=Wärmeversorgung!$U$145,Wärmeversorgung!$J$145*Wärmeversorgung!$F$23+Wärmeversorgung!$J$145+Wärmeversorgung!$R$145+Wärmeversorgung!$R$148,0)</f>
        <v>0</v>
      </c>
      <c r="L137" s="698">
        <f>IF($B137=Wärmeversorgung!$U$150,Wärmeversorgung!$J$150*Wärmeversorgung!$F$23+Wärmeversorgung!$J$150+Wärmeversorgung!$R$150,0)</f>
        <v>0</v>
      </c>
      <c r="M137" s="698">
        <f>IF($B137=Wärmeversorgung!$U$154,Wärmeversorgung!$J$154*Wärmeversorgung!$F$23+Wärmeversorgung!$J$154+Wärmeversorgung!$L$177,0)</f>
        <v>0</v>
      </c>
      <c r="N137" s="698">
        <f>IF($B137=Wärmeversorgung!$U$178,Wärmeversorgung!$J$178*Wärmeversorgung!$F$23+Wärmeversorgung!$J$178+Wärmeversorgung!$L$192,0)</f>
        <v>0</v>
      </c>
      <c r="O137" s="698">
        <f>IF($B137=Wärmeversorgung!$U$193,Wärmeversorgung!$J$193*Wärmeversorgung!$F$23+Wärmeversorgung!$J$193+Wärmeversorgung!$L$234,0)</f>
        <v>0</v>
      </c>
      <c r="P137" s="698">
        <f>IF($B137=Wärmeversorgung!$U$235,Wärmeversorgung!$J$235*Wärmeversorgung!$F$23+Wärmeversorgung!$J$235+Wärmeversorgung!$L$244,0)</f>
        <v>0</v>
      </c>
      <c r="Q137" s="774">
        <f t="shared" si="6"/>
        <v>0</v>
      </c>
    </row>
    <row r="138" spans="2:17" x14ac:dyDescent="0.3">
      <c r="B138" s="769">
        <f>IF(Überblick!$H$53&gt;=4,4,"")</f>
        <v>4</v>
      </c>
      <c r="C138" s="698">
        <f>IF($B138=Wärmeversorgung!$U$39,Wärmeversorgung!$J$39*Wärmeversorgung!$F$23+Wärmeversorgung!$J$39+Wärmeversorgung!$L$54,0)</f>
        <v>0</v>
      </c>
      <c r="D138" s="698">
        <f>IF($B138=Wärmeversorgung!$U$55,Wärmeversorgung!$J$55*Wärmeversorgung!$F$23+Wärmeversorgung!$J$55+Wärmeversorgung!$L$78,0)</f>
        <v>0</v>
      </c>
      <c r="E138" s="698">
        <f>IF($B138=Wärmeversorgung!$U$82,Wärmeversorgung!$J$82*Wärmeversorgung!$F$23+Wärmeversorgung!$J$82+Wärmeversorgung!$L$115,0)</f>
        <v>0</v>
      </c>
      <c r="F138" s="698">
        <f>IF($B138=Wärmeversorgung!$U$119,Wärmeversorgung!$J$119*Wärmeversorgung!$F$23+Wärmeversorgung!$J$119+Wärmeversorgung!$L$127,0)</f>
        <v>0</v>
      </c>
      <c r="G138" s="698">
        <f>IF($B138=Wärmeversorgung!$U$128,Wärmeversorgung!$J$128*Wärmeversorgung!$F$23+Wärmeversorgung!$J$128+Wärmeversorgung!$R$128+Wärmeversorgung!$R$131,0)</f>
        <v>0</v>
      </c>
      <c r="H138" s="698">
        <f>IF($B138=Wärmeversorgung!$U$133,Wärmeversorgung!$J$133*Wärmeversorgung!$F$23+Wärmeversorgung!$J$133+Wärmeversorgung!$R$133+Wärmeversorgung!$R$136+Wärmeversorgung!$R$139+Wärmeversorgung!$R$142,0)</f>
        <v>0</v>
      </c>
      <c r="I138" s="698">
        <f>IF($B138=Wärmeversorgung!$U$143,Wärmeversorgung!$J$143*Wärmeversorgung!$F$23+Wärmeversorgung!$J$143+Wärmeversorgung!$R$143,0)</f>
        <v>0</v>
      </c>
      <c r="J138" s="698">
        <f>IF($B138=Wärmeversorgung!$U$144,Wärmeversorgung!$J$144*Wärmeversorgung!$F$23+Wärmeversorgung!$J$144+Wärmeversorgung!$R$144,0)</f>
        <v>0</v>
      </c>
      <c r="K138" s="698">
        <f>IF($B138=Wärmeversorgung!$U$145,Wärmeversorgung!$J$145*Wärmeversorgung!$F$23+Wärmeversorgung!$J$145+Wärmeversorgung!$R$145+Wärmeversorgung!$R$148,0)</f>
        <v>0</v>
      </c>
      <c r="L138" s="698">
        <f>IF($B138=Wärmeversorgung!$U$150,Wärmeversorgung!$J$150*Wärmeversorgung!$F$23+Wärmeversorgung!$J$150+Wärmeversorgung!$R$150,0)</f>
        <v>0</v>
      </c>
      <c r="M138" s="698">
        <f>IF($B138=Wärmeversorgung!$U$154,Wärmeversorgung!$J$154*Wärmeversorgung!$F$23+Wärmeversorgung!$J$154+Wärmeversorgung!$L$177,0)</f>
        <v>0</v>
      </c>
      <c r="N138" s="698">
        <f>IF($B138=Wärmeversorgung!$U$178,Wärmeversorgung!$J$178*Wärmeversorgung!$F$23+Wärmeversorgung!$J$178+Wärmeversorgung!$L$192,0)</f>
        <v>0</v>
      </c>
      <c r="O138" s="698">
        <f>IF($B138=Wärmeversorgung!$U$193,Wärmeversorgung!$J$193*Wärmeversorgung!$F$23+Wärmeversorgung!$J$193+Wärmeversorgung!$L$234,0)</f>
        <v>0</v>
      </c>
      <c r="P138" s="698">
        <f>IF($B138=Wärmeversorgung!$U$235,Wärmeversorgung!$J$235*Wärmeversorgung!$F$23+Wärmeversorgung!$J$235+Wärmeversorgung!$L$244,0)</f>
        <v>0</v>
      </c>
      <c r="Q138" s="774">
        <f t="shared" si="6"/>
        <v>0</v>
      </c>
    </row>
    <row r="139" spans="2:17" x14ac:dyDescent="0.3">
      <c r="B139" s="769">
        <f>IF(Überblick!$H$53&gt;=5,5,"")</f>
        <v>5</v>
      </c>
      <c r="C139" s="698">
        <f>IF($B139=Wärmeversorgung!$U$39,Wärmeversorgung!$J$39*Wärmeversorgung!$F$23+Wärmeversorgung!$J$39+Wärmeversorgung!$L$54,0)</f>
        <v>0</v>
      </c>
      <c r="D139" s="698">
        <f>IF($B139=Wärmeversorgung!$U$55,Wärmeversorgung!$J$55*Wärmeversorgung!$F$23+Wärmeversorgung!$J$55+Wärmeversorgung!$L$78,0)</f>
        <v>0</v>
      </c>
      <c r="E139" s="698">
        <f>IF($B139=Wärmeversorgung!$U$82,Wärmeversorgung!$J$82*Wärmeversorgung!$F$23+Wärmeversorgung!$J$82+Wärmeversorgung!$L$115,0)</f>
        <v>0</v>
      </c>
      <c r="F139" s="698">
        <f>IF($B139=Wärmeversorgung!$U$119,Wärmeversorgung!$J$119*Wärmeversorgung!$F$23+Wärmeversorgung!$J$119+Wärmeversorgung!$L$127,0)</f>
        <v>0</v>
      </c>
      <c r="G139" s="698">
        <f>IF($B139=Wärmeversorgung!$U$128,Wärmeversorgung!$J$128*Wärmeversorgung!$F$23+Wärmeversorgung!$J$128+Wärmeversorgung!$R$128+Wärmeversorgung!$R$131,0)</f>
        <v>0</v>
      </c>
      <c r="H139" s="698">
        <f>IF($B139=Wärmeversorgung!$U$133,Wärmeversorgung!$J$133*Wärmeversorgung!$F$23+Wärmeversorgung!$J$133+Wärmeversorgung!$R$133+Wärmeversorgung!$R$136+Wärmeversorgung!$R$139+Wärmeversorgung!$R$142,0)</f>
        <v>0</v>
      </c>
      <c r="I139" s="698">
        <f>IF($B139=Wärmeversorgung!$U$143,Wärmeversorgung!$J$143*Wärmeversorgung!$F$23+Wärmeversorgung!$J$143+Wärmeversorgung!$R$143,0)</f>
        <v>0</v>
      </c>
      <c r="J139" s="698">
        <f>IF($B139=Wärmeversorgung!$U$144,Wärmeversorgung!$J$144*Wärmeversorgung!$F$23+Wärmeversorgung!$J$144+Wärmeversorgung!$R$144,0)</f>
        <v>0</v>
      </c>
      <c r="K139" s="698">
        <f>IF($B139=Wärmeversorgung!$U$145,Wärmeversorgung!$J$145*Wärmeversorgung!$F$23+Wärmeversorgung!$J$145+Wärmeversorgung!$R$145+Wärmeversorgung!$R$148,0)</f>
        <v>0</v>
      </c>
      <c r="L139" s="698">
        <f>IF($B139=Wärmeversorgung!$U$150,Wärmeversorgung!$J$150*Wärmeversorgung!$F$23+Wärmeversorgung!$J$150+Wärmeversorgung!$R$150,0)</f>
        <v>0</v>
      </c>
      <c r="M139" s="698">
        <f>IF($B139=Wärmeversorgung!$U$154,Wärmeversorgung!$J$154*Wärmeversorgung!$F$23+Wärmeversorgung!$J$154+Wärmeversorgung!$L$177,0)</f>
        <v>0</v>
      </c>
      <c r="N139" s="698">
        <f>IF($B139=Wärmeversorgung!$U$178,Wärmeversorgung!$J$178*Wärmeversorgung!$F$23+Wärmeversorgung!$J$178+Wärmeversorgung!$L$192,0)</f>
        <v>0</v>
      </c>
      <c r="O139" s="698">
        <f>IF($B139=Wärmeversorgung!$U$193,Wärmeversorgung!$J$193*Wärmeversorgung!$F$23+Wärmeversorgung!$J$193+Wärmeversorgung!$L$234,0)</f>
        <v>0</v>
      </c>
      <c r="P139" s="698">
        <f>IF($B139=Wärmeversorgung!$U$235,Wärmeversorgung!$J$235*Wärmeversorgung!$F$23+Wärmeversorgung!$J$235+Wärmeversorgung!$L$244,0)</f>
        <v>0</v>
      </c>
      <c r="Q139" s="774">
        <f t="shared" si="6"/>
        <v>0</v>
      </c>
    </row>
    <row r="140" spans="2:17" x14ac:dyDescent="0.3">
      <c r="B140" s="769">
        <f>IF(Überblick!$H$53&gt;=6,6,"")</f>
        <v>6</v>
      </c>
      <c r="C140" s="698">
        <f>IF($B140=Wärmeversorgung!$U$39,Wärmeversorgung!$J$39*Wärmeversorgung!$F$23+Wärmeversorgung!$J$39+Wärmeversorgung!$L$54,0)</f>
        <v>0</v>
      </c>
      <c r="D140" s="698">
        <f>IF($B140=Wärmeversorgung!$U$55,Wärmeversorgung!$J$55*Wärmeversorgung!$F$23+Wärmeversorgung!$J$55+Wärmeversorgung!$L$78,0)</f>
        <v>0</v>
      </c>
      <c r="E140" s="698">
        <f>IF($B140=Wärmeversorgung!$U$82,Wärmeversorgung!$J$82*Wärmeversorgung!$F$23+Wärmeversorgung!$J$82+Wärmeversorgung!$L$115,0)</f>
        <v>0</v>
      </c>
      <c r="F140" s="698">
        <f>IF($B140=Wärmeversorgung!$U$119,Wärmeversorgung!$J$119*Wärmeversorgung!$F$23+Wärmeversorgung!$J$119+Wärmeversorgung!$L$127,0)</f>
        <v>0</v>
      </c>
      <c r="G140" s="698">
        <f>IF($B140=Wärmeversorgung!$U$128,Wärmeversorgung!$J$128*Wärmeversorgung!$F$23+Wärmeversorgung!$J$128+Wärmeversorgung!$R$128+Wärmeversorgung!$R$131,0)</f>
        <v>0</v>
      </c>
      <c r="H140" s="698">
        <f>IF($B140=Wärmeversorgung!$U$133,Wärmeversorgung!$J$133*Wärmeversorgung!$F$23+Wärmeversorgung!$J$133+Wärmeversorgung!$R$133+Wärmeversorgung!$R$136+Wärmeversorgung!$R$139+Wärmeversorgung!$R$142,0)</f>
        <v>0</v>
      </c>
      <c r="I140" s="698">
        <f>IF($B140=Wärmeversorgung!$U$143,Wärmeversorgung!$J$143*Wärmeversorgung!$F$23+Wärmeversorgung!$J$143+Wärmeversorgung!$R$143,0)</f>
        <v>0</v>
      </c>
      <c r="J140" s="698">
        <f>IF($B140=Wärmeversorgung!$U$144,Wärmeversorgung!$J$144*Wärmeversorgung!$F$23+Wärmeversorgung!$J$144+Wärmeversorgung!$R$144,0)</f>
        <v>0</v>
      </c>
      <c r="K140" s="698">
        <f>IF($B140=Wärmeversorgung!$U$145,Wärmeversorgung!$J$145*Wärmeversorgung!$F$23+Wärmeversorgung!$J$145+Wärmeversorgung!$R$145+Wärmeversorgung!$R$148,0)</f>
        <v>0</v>
      </c>
      <c r="L140" s="698">
        <f>IF($B140=Wärmeversorgung!$U$150,Wärmeversorgung!$J$150*Wärmeversorgung!$F$23+Wärmeversorgung!$J$150+Wärmeversorgung!$R$150,0)</f>
        <v>0</v>
      </c>
      <c r="M140" s="698">
        <f>IF($B140=Wärmeversorgung!$U$154,Wärmeversorgung!$J$154*Wärmeversorgung!$F$23+Wärmeversorgung!$J$154+Wärmeversorgung!$L$177,0)</f>
        <v>0</v>
      </c>
      <c r="N140" s="698">
        <f>IF($B140=Wärmeversorgung!$U$178,Wärmeversorgung!$J$178*Wärmeversorgung!$F$23+Wärmeversorgung!$J$178+Wärmeversorgung!$L$192,0)</f>
        <v>0</v>
      </c>
      <c r="O140" s="698">
        <f>IF($B140=Wärmeversorgung!$U$193,Wärmeversorgung!$J$193*Wärmeversorgung!$F$23+Wärmeversorgung!$J$193+Wärmeversorgung!$L$234,0)</f>
        <v>0</v>
      </c>
      <c r="P140" s="698">
        <f>IF($B140=Wärmeversorgung!$U$235,Wärmeversorgung!$J$235*Wärmeversorgung!$F$23+Wärmeversorgung!$J$235+Wärmeversorgung!$L$244,0)</f>
        <v>0</v>
      </c>
      <c r="Q140" s="774">
        <f t="shared" si="6"/>
        <v>0</v>
      </c>
    </row>
    <row r="141" spans="2:17" x14ac:dyDescent="0.3">
      <c r="B141" s="769" t="str">
        <f>IF(Überblick!$H$53&gt;=7,7,"")</f>
        <v/>
      </c>
      <c r="C141" s="698">
        <f>IF($B141=Wärmeversorgung!$U$39,Wärmeversorgung!$J$39*Wärmeversorgung!$F$23+Wärmeversorgung!$J$39+Wärmeversorgung!$L$54,0)</f>
        <v>0</v>
      </c>
      <c r="D141" s="698">
        <f>IF($B141=Wärmeversorgung!$U$55,Wärmeversorgung!$J$55*Wärmeversorgung!$F$23+Wärmeversorgung!$J$55+Wärmeversorgung!$L$78,0)</f>
        <v>0</v>
      </c>
      <c r="E141" s="698">
        <f>IF($B141=Wärmeversorgung!$U$82,Wärmeversorgung!$J$82*Wärmeversorgung!$F$23+Wärmeversorgung!$J$82+Wärmeversorgung!$L$115,0)</f>
        <v>0</v>
      </c>
      <c r="F141" s="698">
        <f>IF($B141=Wärmeversorgung!$U$119,Wärmeversorgung!$J$119*Wärmeversorgung!$F$23+Wärmeversorgung!$J$119+Wärmeversorgung!$L$127,0)</f>
        <v>0</v>
      </c>
      <c r="G141" s="698">
        <f>IF($B141=Wärmeversorgung!$U$128,Wärmeversorgung!$J$128*Wärmeversorgung!$F$23+Wärmeversorgung!$J$128+Wärmeversorgung!$R$128+Wärmeversorgung!$R$131,0)</f>
        <v>0</v>
      </c>
      <c r="H141" s="698">
        <f>IF($B141=Wärmeversorgung!$U$133,Wärmeversorgung!$J$133*Wärmeversorgung!$F$23+Wärmeversorgung!$J$133+Wärmeversorgung!$R$133+Wärmeversorgung!$R$136+Wärmeversorgung!$R$139+Wärmeversorgung!$R$142,0)</f>
        <v>0</v>
      </c>
      <c r="I141" s="698">
        <f>IF($B141=Wärmeversorgung!$U$143,Wärmeversorgung!$J$143*Wärmeversorgung!$F$23+Wärmeversorgung!$J$143+Wärmeversorgung!$R$143,0)</f>
        <v>0</v>
      </c>
      <c r="J141" s="698">
        <f>IF($B141=Wärmeversorgung!$U$144,Wärmeversorgung!$J$144*Wärmeversorgung!$F$23+Wärmeversorgung!$J$144+Wärmeversorgung!$R$144,0)</f>
        <v>0</v>
      </c>
      <c r="K141" s="698">
        <f>IF($B141=Wärmeversorgung!$U$145,Wärmeversorgung!$J$145*Wärmeversorgung!$F$23+Wärmeversorgung!$J$145+Wärmeversorgung!$R$145+Wärmeversorgung!$R$148,0)</f>
        <v>0</v>
      </c>
      <c r="L141" s="698">
        <f>IF($B141=Wärmeversorgung!$U$150,Wärmeversorgung!$J$150*Wärmeversorgung!$F$23+Wärmeversorgung!$J$150+Wärmeversorgung!$R$150,0)</f>
        <v>0</v>
      </c>
      <c r="M141" s="698">
        <f>IF($B141=Wärmeversorgung!$U$154,Wärmeversorgung!$J$154*Wärmeversorgung!$F$23+Wärmeversorgung!$J$154+Wärmeversorgung!$L$177,0)</f>
        <v>0</v>
      </c>
      <c r="N141" s="698">
        <f>IF($B141=Wärmeversorgung!$U$178,Wärmeversorgung!$J$178*Wärmeversorgung!$F$23+Wärmeversorgung!$J$178+Wärmeversorgung!$L$192,0)</f>
        <v>0</v>
      </c>
      <c r="O141" s="698">
        <f>IF($B141=Wärmeversorgung!$U$193,Wärmeversorgung!$J$193*Wärmeversorgung!$F$23+Wärmeversorgung!$J$193+Wärmeversorgung!$L$234,0)</f>
        <v>0</v>
      </c>
      <c r="P141" s="698">
        <f>IF($B141=Wärmeversorgung!$U$235,Wärmeversorgung!$J$235*Wärmeversorgung!$F$23+Wärmeversorgung!$J$235+Wärmeversorgung!$L$244,0)</f>
        <v>0</v>
      </c>
      <c r="Q141" s="774">
        <f t="shared" si="6"/>
        <v>0</v>
      </c>
    </row>
    <row r="142" spans="2:17" x14ac:dyDescent="0.3">
      <c r="B142" s="775" t="str">
        <f>IF(Überblick!$H$53&gt;=8,8,"")</f>
        <v/>
      </c>
      <c r="C142" s="698">
        <f>IF($B142=Wärmeversorgung!$U$39,Wärmeversorgung!$J$39*Wärmeversorgung!$F$23+Wärmeversorgung!$J$39+Wärmeversorgung!$L$54,0)</f>
        <v>0</v>
      </c>
      <c r="D142" s="698">
        <f>IF($B142=Wärmeversorgung!$U$55,Wärmeversorgung!$J$55*Wärmeversorgung!$F$23+Wärmeversorgung!$J$55+Wärmeversorgung!$L$78,0)</f>
        <v>0</v>
      </c>
      <c r="E142" s="698">
        <f>IF($B142=Wärmeversorgung!$U$82,Wärmeversorgung!$J$82*Wärmeversorgung!$F$23+Wärmeversorgung!$J$82+Wärmeversorgung!$L$115,0)</f>
        <v>0</v>
      </c>
      <c r="F142" s="698">
        <f>IF($B142=Wärmeversorgung!$U$119,Wärmeversorgung!$J$119*Wärmeversorgung!$F$23+Wärmeversorgung!$J$119+Wärmeversorgung!$L$127,0)</f>
        <v>0</v>
      </c>
      <c r="G142" s="698">
        <f>IF($B142=Wärmeversorgung!$U$128,Wärmeversorgung!$J$128*Wärmeversorgung!$F$23+Wärmeversorgung!$J$128+Wärmeversorgung!$R$128+Wärmeversorgung!$R$131,0)</f>
        <v>0</v>
      </c>
      <c r="H142" s="698">
        <f>IF($B142=Wärmeversorgung!$U$133,Wärmeversorgung!$J$133*Wärmeversorgung!$F$23+Wärmeversorgung!$J$133+Wärmeversorgung!$R$133+Wärmeversorgung!$R$136+Wärmeversorgung!$R$139+Wärmeversorgung!$R$142,0)</f>
        <v>0</v>
      </c>
      <c r="I142" s="698">
        <f>IF($B142=Wärmeversorgung!$U$143,Wärmeversorgung!$J$143*Wärmeversorgung!$F$23+Wärmeversorgung!$J$143+Wärmeversorgung!$R$143,0)</f>
        <v>0</v>
      </c>
      <c r="J142" s="698">
        <f>IF($B142=Wärmeversorgung!$U$144,Wärmeversorgung!$J$144*Wärmeversorgung!$F$23+Wärmeversorgung!$J$144+Wärmeversorgung!$R$144,0)</f>
        <v>0</v>
      </c>
      <c r="K142" s="698">
        <f>IF($B142=Wärmeversorgung!$U$145,Wärmeversorgung!$J$145*Wärmeversorgung!$F$23+Wärmeversorgung!$J$145+Wärmeversorgung!$R$145+Wärmeversorgung!$R$148,0)</f>
        <v>0</v>
      </c>
      <c r="L142" s="698">
        <f>IF($B142=Wärmeversorgung!$U$150,Wärmeversorgung!$J$150*Wärmeversorgung!$F$23+Wärmeversorgung!$J$150+Wärmeversorgung!$R$150,0)</f>
        <v>0</v>
      </c>
      <c r="M142" s="698">
        <f>IF($B142=Wärmeversorgung!$U$154,Wärmeversorgung!$J$154*Wärmeversorgung!$F$23+Wärmeversorgung!$J$154+Wärmeversorgung!$L$177,0)</f>
        <v>0</v>
      </c>
      <c r="N142" s="698">
        <f>IF($B142=Wärmeversorgung!$U$178,Wärmeversorgung!$J$178*Wärmeversorgung!$F$23+Wärmeversorgung!$J$178+Wärmeversorgung!$L$192,0)</f>
        <v>0</v>
      </c>
      <c r="O142" s="698">
        <f>IF($B142=Wärmeversorgung!$U$193,Wärmeversorgung!$J$193*Wärmeversorgung!$F$23+Wärmeversorgung!$J$193+Wärmeversorgung!$L$234,0)</f>
        <v>0</v>
      </c>
      <c r="P142" s="698">
        <f>IF($B142=Wärmeversorgung!$U$235,Wärmeversorgung!$J$235*Wärmeversorgung!$F$23+Wärmeversorgung!$J$235+Wärmeversorgung!$L$244,0)</f>
        <v>0</v>
      </c>
      <c r="Q142" s="774">
        <f t="shared" si="6"/>
        <v>0</v>
      </c>
    </row>
    <row r="143" spans="2:17" ht="15.2" thickBot="1" x14ac:dyDescent="0.35">
      <c r="B143" s="771" t="str">
        <f>IF(Überblick!$H$53&gt;=9,9,"")</f>
        <v/>
      </c>
      <c r="C143" s="698">
        <f>IF($B143=Wärmeversorgung!$U$39,Wärmeversorgung!$J$39*Wärmeversorgung!$F$23+Wärmeversorgung!$J$39+Wärmeversorgung!$L$54,0)</f>
        <v>0</v>
      </c>
      <c r="D143" s="698">
        <f>IF($B143=Wärmeversorgung!$U$55,Wärmeversorgung!$J$55*Wärmeversorgung!$F$23+Wärmeversorgung!$J$55+Wärmeversorgung!$L$78,0)</f>
        <v>0</v>
      </c>
      <c r="E143" s="698">
        <f>IF($B143=Wärmeversorgung!$U$82,Wärmeversorgung!$J$82*Wärmeversorgung!$F$23+Wärmeversorgung!$J$82+Wärmeversorgung!$L$115,0)</f>
        <v>0</v>
      </c>
      <c r="F143" s="698">
        <f>IF($B143=Wärmeversorgung!$U$119,Wärmeversorgung!$J$119*Wärmeversorgung!$F$23+Wärmeversorgung!$J$119+Wärmeversorgung!$L$127,0)</f>
        <v>0</v>
      </c>
      <c r="G143" s="698">
        <f>IF($B143=Wärmeversorgung!$U$128,Wärmeversorgung!$J$128*Wärmeversorgung!$F$23+Wärmeversorgung!$J$128+Wärmeversorgung!$R$128+Wärmeversorgung!$R$131,0)</f>
        <v>0</v>
      </c>
      <c r="H143" s="698">
        <f>IF($B143=Wärmeversorgung!$U$133,Wärmeversorgung!$J$133*Wärmeversorgung!$F$23+Wärmeversorgung!$J$133+Wärmeversorgung!$R$133+Wärmeversorgung!$R$136+Wärmeversorgung!$R$139+Wärmeversorgung!$R$142,0)</f>
        <v>0</v>
      </c>
      <c r="I143" s="698">
        <f>IF($B143=Wärmeversorgung!$U$143,Wärmeversorgung!$J$143*Wärmeversorgung!$F$23+Wärmeversorgung!$J$143+Wärmeversorgung!$R$143,0)</f>
        <v>0</v>
      </c>
      <c r="J143" s="698">
        <f>IF($B143=Wärmeversorgung!$U$144,Wärmeversorgung!$J$144*Wärmeversorgung!$F$23+Wärmeversorgung!$J$144+Wärmeversorgung!$R$144,0)</f>
        <v>0</v>
      </c>
      <c r="K143" s="698">
        <f>IF($B143=Wärmeversorgung!$U$145,Wärmeversorgung!$J$145*Wärmeversorgung!$F$23+Wärmeversorgung!$J$145+Wärmeversorgung!$R$145+Wärmeversorgung!$R$148,0)</f>
        <v>0</v>
      </c>
      <c r="L143" s="698">
        <f>IF($B143=Wärmeversorgung!$U$150,Wärmeversorgung!$J$150*Wärmeversorgung!$F$23+Wärmeversorgung!$J$150+Wärmeversorgung!$R$150,0)</f>
        <v>0</v>
      </c>
      <c r="M143" s="698">
        <f>IF($B143=Wärmeversorgung!$U$154,Wärmeversorgung!$J$154*Wärmeversorgung!$F$23+Wärmeversorgung!$J$154+Wärmeversorgung!$L$177,0)</f>
        <v>0</v>
      </c>
      <c r="N143" s="698">
        <f>IF($B143=Wärmeversorgung!$U$178,Wärmeversorgung!$J$178*Wärmeversorgung!$F$23+Wärmeversorgung!$J$178+Wärmeversorgung!$L$192,0)</f>
        <v>0</v>
      </c>
      <c r="O143" s="698">
        <f>IF($B143=Wärmeversorgung!$U$193,Wärmeversorgung!$J$193*Wärmeversorgung!$F$23+Wärmeversorgung!$J$193+Wärmeversorgung!$L$234,0)</f>
        <v>0</v>
      </c>
      <c r="P143" s="698">
        <f>IF($B143=Wärmeversorgung!$U$235,Wärmeversorgung!$J$235*Wärmeversorgung!$F$23+Wärmeversorgung!$J$235+Wärmeversorgung!$L$244,0)</f>
        <v>0</v>
      </c>
      <c r="Q143" s="774">
        <f t="shared" ref="Q143" si="7">SUM(C143:P143)</f>
        <v>0</v>
      </c>
    </row>
    <row r="144" spans="2:17" x14ac:dyDescent="0.3">
      <c r="Q144" s="704">
        <f>SUM(Q135:Q143)</f>
        <v>0</v>
      </c>
    </row>
    <row r="156" spans="2:4" x14ac:dyDescent="0.3">
      <c r="B156" s="705"/>
      <c r="C156" s="706"/>
      <c r="D156" s="707"/>
    </row>
  </sheetData>
  <mergeCells count="84">
    <mergeCell ref="B26:B44"/>
    <mergeCell ref="E26:E44"/>
    <mergeCell ref="H26:H44"/>
    <mergeCell ref="C130:D130"/>
    <mergeCell ref="E130:F130"/>
    <mergeCell ref="C119:D119"/>
    <mergeCell ref="E119:F119"/>
    <mergeCell ref="C114:D114"/>
    <mergeCell ref="E114:F114"/>
    <mergeCell ref="C115:D115"/>
    <mergeCell ref="E115:F115"/>
    <mergeCell ref="C116:D116"/>
    <mergeCell ref="E116:F116"/>
    <mergeCell ref="C110:D110"/>
    <mergeCell ref="E110:F110"/>
    <mergeCell ref="C117:D117"/>
    <mergeCell ref="E132:F132"/>
    <mergeCell ref="C120:D120"/>
    <mergeCell ref="E120:F120"/>
    <mergeCell ref="C121:D121"/>
    <mergeCell ref="E121:F121"/>
    <mergeCell ref="C122:D122"/>
    <mergeCell ref="E122:F122"/>
    <mergeCell ref="C123:D123"/>
    <mergeCell ref="E123:F123"/>
    <mergeCell ref="C125:D125"/>
    <mergeCell ref="E125:F125"/>
    <mergeCell ref="E117:F117"/>
    <mergeCell ref="C118:D118"/>
    <mergeCell ref="E118:F118"/>
    <mergeCell ref="C111:D111"/>
    <mergeCell ref="E111:F111"/>
    <mergeCell ref="C112:D112"/>
    <mergeCell ref="E112:F112"/>
    <mergeCell ref="C113:D113"/>
    <mergeCell ref="E113:F113"/>
    <mergeCell ref="C107:F107"/>
    <mergeCell ref="C108:D108"/>
    <mergeCell ref="E108:F108"/>
    <mergeCell ref="C109:D109"/>
    <mergeCell ref="E109:F109"/>
    <mergeCell ref="B105:E105"/>
    <mergeCell ref="B85:E85"/>
    <mergeCell ref="B86:E86"/>
    <mergeCell ref="B87:E87"/>
    <mergeCell ref="B88:E88"/>
    <mergeCell ref="B93:E93"/>
    <mergeCell ref="B94:E94"/>
    <mergeCell ref="B95:E95"/>
    <mergeCell ref="B96:E96"/>
    <mergeCell ref="J64:K64"/>
    <mergeCell ref="B65:E65"/>
    <mergeCell ref="G65:H65"/>
    <mergeCell ref="J65:K65"/>
    <mergeCell ref="G104:H104"/>
    <mergeCell ref="I104:J104"/>
    <mergeCell ref="K104:L104"/>
    <mergeCell ref="E76:E77"/>
    <mergeCell ref="D76:D80"/>
    <mergeCell ref="D70:D74"/>
    <mergeCell ref="G69:H69"/>
    <mergeCell ref="I69:J69"/>
    <mergeCell ref="K69:L69"/>
    <mergeCell ref="E70:E71"/>
    <mergeCell ref="B64:E64"/>
    <mergeCell ref="G64:H64"/>
    <mergeCell ref="A2:A5"/>
    <mergeCell ref="C2:D2"/>
    <mergeCell ref="F2:G2"/>
    <mergeCell ref="I2:J2"/>
    <mergeCell ref="C3:D3"/>
    <mergeCell ref="F3:G3"/>
    <mergeCell ref="I3:J3"/>
    <mergeCell ref="C5:D5"/>
    <mergeCell ref="F5:G5"/>
    <mergeCell ref="I5:J5"/>
    <mergeCell ref="G50:H50"/>
    <mergeCell ref="J50:K50"/>
    <mergeCell ref="G52:G54"/>
    <mergeCell ref="G56:G60"/>
    <mergeCell ref="B62:E62"/>
    <mergeCell ref="G62:H62"/>
    <mergeCell ref="I62:J62"/>
    <mergeCell ref="K62:L62"/>
  </mergeCells>
  <conditionalFormatting sqref="A6:A44">
    <cfRule type="colorScale" priority="6">
      <colorScale>
        <cfvo type="min"/>
        <cfvo type="percentile" val="50"/>
        <cfvo type="max"/>
        <color rgb="FF63BE7B"/>
        <color rgb="FFFFEB84"/>
        <color rgb="FFF8696B"/>
      </colorScale>
    </cfRule>
  </conditionalFormatting>
  <conditionalFormatting sqref="C6:C44">
    <cfRule type="colorScale" priority="7">
      <colorScale>
        <cfvo type="min"/>
        <cfvo type="percentile" val="50"/>
        <cfvo type="max"/>
        <color rgb="FF63BE7B"/>
        <color rgb="FFFFEB84"/>
        <color rgb="FFF8696B"/>
      </colorScale>
    </cfRule>
  </conditionalFormatting>
  <conditionalFormatting sqref="D6:D44">
    <cfRule type="colorScale" priority="5">
      <colorScale>
        <cfvo type="min"/>
        <cfvo type="percentile" val="50"/>
        <cfvo type="max"/>
        <color rgb="FF63BE7B"/>
        <color rgb="FFFFEB84"/>
        <color rgb="FFF8696B"/>
      </colorScale>
    </cfRule>
  </conditionalFormatting>
  <conditionalFormatting sqref="F6:F44">
    <cfRule type="colorScale" priority="4">
      <colorScale>
        <cfvo type="min"/>
        <cfvo type="percentile" val="50"/>
        <cfvo type="max"/>
        <color rgb="FF63BE7B"/>
        <color rgb="FFFFEB84"/>
        <color rgb="FFF8696B"/>
      </colorScale>
    </cfRule>
  </conditionalFormatting>
  <conditionalFormatting sqref="G6:G44">
    <cfRule type="colorScale" priority="3">
      <colorScale>
        <cfvo type="min"/>
        <cfvo type="percentile" val="50"/>
        <cfvo type="max"/>
        <color rgb="FF63BE7B"/>
        <color rgb="FFFFEB84"/>
        <color rgb="FFF8696B"/>
      </colorScale>
    </cfRule>
  </conditionalFormatting>
  <conditionalFormatting sqref="I6:I44">
    <cfRule type="colorScale" priority="2">
      <colorScale>
        <cfvo type="min"/>
        <cfvo type="percentile" val="50"/>
        <cfvo type="max"/>
        <color rgb="FF63BE7B"/>
        <color rgb="FFFFEB84"/>
        <color rgb="FFF8696B"/>
      </colorScale>
    </cfRule>
  </conditionalFormatting>
  <conditionalFormatting sqref="J6:J44">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r:id="rId1"/>
  <ignoredErrors>
    <ignoredError sqref="H78 H72:H74 J72:J74 H79:H80 J78:J8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90154-4C4F-4A1A-AEA4-53B69678890D}">
  <sheetPr codeName="Tabelle12">
    <tabColor rgb="FFFFC000"/>
  </sheetPr>
  <dimension ref="A1:AK296"/>
  <sheetViews>
    <sheetView zoomScale="115" zoomScaleNormal="115" workbookViewId="0">
      <selection activeCell="T13" sqref="T13"/>
    </sheetView>
  </sheetViews>
  <sheetFormatPr baseColWidth="10" defaultColWidth="11.44140625" defaultRowHeight="13.9" x14ac:dyDescent="0.25"/>
  <cols>
    <col min="1" max="1" width="9.21875" style="41" customWidth="1"/>
    <col min="2" max="21" width="9.21875" style="39" customWidth="1"/>
    <col min="22" max="22" width="9.21875" style="72" customWidth="1"/>
    <col min="23" max="28" width="11.44140625" style="72"/>
    <col min="29" max="16384" width="11.44140625" style="39"/>
  </cols>
  <sheetData>
    <row r="1" spans="1:34" x14ac:dyDescent="0.25">
      <c r="A1" s="493" t="str">
        <f>Überblick!X103</f>
        <v/>
      </c>
      <c r="B1" s="188" t="str">
        <f>IF(Überblick!B2=Überblick!L4,'Lufttechnische Anlagen'!Q1,'Lufttechnische Anlagen'!Q2)</f>
        <v>Honorarangebot - Lufttechnische Anlagen</v>
      </c>
      <c r="Q1" s="185" t="s">
        <v>472</v>
      </c>
      <c r="T1" s="963" t="str">
        <f>'Hochbauplanung '!T1</f>
        <v>Version: 27.06.2023</v>
      </c>
      <c r="U1" s="963"/>
    </row>
    <row r="2" spans="1:34" x14ac:dyDescent="0.25">
      <c r="A2" s="491"/>
      <c r="Q2" s="185" t="s">
        <v>473</v>
      </c>
      <c r="R2" s="535" t="s">
        <v>110</v>
      </c>
      <c r="S2" s="1389" t="str">
        <f>IF(Überblick!Q2=0,"",Überblick!Q2)</f>
        <v/>
      </c>
      <c r="T2" s="1389"/>
      <c r="U2" s="1389"/>
    </row>
    <row r="3" spans="1:34" x14ac:dyDescent="0.25">
      <c r="A3" s="491" t="s">
        <v>112</v>
      </c>
      <c r="B3" s="40" t="s">
        <v>452</v>
      </c>
      <c r="F3" s="895"/>
      <c r="G3" s="883" t="s">
        <v>998</v>
      </c>
      <c r="H3" s="878"/>
      <c r="I3" s="878"/>
      <c r="J3" s="878"/>
      <c r="K3" s="878"/>
      <c r="R3" s="535" t="s">
        <v>24</v>
      </c>
      <c r="S3" s="1389" t="str">
        <f>IF(Überblick!G29=0,"",Überblick!G29)</f>
        <v>Breite Strasse, 10178 Berlin-Mitte, zw. Neumannsgasse und Scharrenstrasse</v>
      </c>
      <c r="T3" s="1389"/>
      <c r="U3" s="1389"/>
    </row>
    <row r="4" spans="1:34" ht="14.55" thickBot="1" x14ac:dyDescent="0.3">
      <c r="A4" s="491"/>
      <c r="R4" s="535" t="s">
        <v>17</v>
      </c>
      <c r="S4" s="1389" t="str">
        <f>IF(Überblick!D19=0,"",Überblick!D19)</f>
        <v/>
      </c>
      <c r="T4" s="1389"/>
      <c r="U4" s="1389"/>
    </row>
    <row r="5" spans="1:34" ht="33.950000000000003" customHeight="1" thickBot="1" x14ac:dyDescent="0.3">
      <c r="A5" s="491"/>
      <c r="B5" s="45"/>
      <c r="C5" s="46"/>
      <c r="D5" s="46"/>
      <c r="E5" s="46"/>
      <c r="F5" s="1198" t="s">
        <v>116</v>
      </c>
      <c r="G5" s="1199"/>
      <c r="H5" s="1199"/>
      <c r="I5" s="1200"/>
      <c r="J5" s="1198" t="s">
        <v>117</v>
      </c>
      <c r="K5" s="1199"/>
      <c r="L5" s="1199"/>
      <c r="M5" s="1200"/>
      <c r="N5" s="1198" t="s">
        <v>118</v>
      </c>
      <c r="O5" s="1199"/>
      <c r="P5" s="1199"/>
      <c r="Q5" s="1200"/>
      <c r="R5" s="87"/>
      <c r="S5" s="87"/>
      <c r="T5" s="87"/>
      <c r="U5" s="87"/>
      <c r="V5" s="87"/>
      <c r="W5" s="87"/>
      <c r="X5" s="87"/>
    </row>
    <row r="6" spans="1:34" ht="14.55" thickBot="1" x14ac:dyDescent="0.3">
      <c r="A6" s="491"/>
      <c r="B6" s="45"/>
      <c r="C6" s="46"/>
      <c r="D6" s="46"/>
      <c r="E6" s="46"/>
      <c r="F6" s="1215" t="s">
        <v>120</v>
      </c>
      <c r="G6" s="1216"/>
      <c r="H6" s="1217">
        <v>45071</v>
      </c>
      <c r="I6" s="1218"/>
      <c r="J6" s="1213" t="s">
        <v>120</v>
      </c>
      <c r="K6" s="1214"/>
      <c r="L6" s="1217"/>
      <c r="M6" s="1218"/>
      <c r="N6" s="1213" t="s">
        <v>120</v>
      </c>
      <c r="O6" s="1214"/>
      <c r="P6" s="1217"/>
      <c r="Q6" s="1218"/>
      <c r="R6" s="87"/>
      <c r="S6" s="87"/>
      <c r="T6" s="87"/>
      <c r="U6" s="87"/>
      <c r="V6" s="87"/>
      <c r="W6" s="87"/>
      <c r="X6" s="87"/>
    </row>
    <row r="7" spans="1:34" ht="14.55" thickBot="1" x14ac:dyDescent="0.3">
      <c r="A7" s="491"/>
      <c r="B7" s="1115" t="s">
        <v>121</v>
      </c>
      <c r="C7" s="1116"/>
      <c r="D7" s="1116"/>
      <c r="E7" s="1117"/>
      <c r="F7" s="1209" t="s">
        <v>107</v>
      </c>
      <c r="G7" s="1210"/>
      <c r="H7" s="1211" t="s">
        <v>106</v>
      </c>
      <c r="I7" s="1212"/>
      <c r="J7" s="1209" t="s">
        <v>107</v>
      </c>
      <c r="K7" s="1210"/>
      <c r="L7" s="1211" t="s">
        <v>106</v>
      </c>
      <c r="M7" s="1212"/>
      <c r="N7" s="1209" t="s">
        <v>107</v>
      </c>
      <c r="O7" s="1210"/>
      <c r="P7" s="1211" t="s">
        <v>106</v>
      </c>
      <c r="Q7" s="1212"/>
      <c r="R7" s="151"/>
      <c r="S7" s="151"/>
      <c r="T7" s="151"/>
      <c r="U7" s="151"/>
      <c r="V7" s="151"/>
      <c r="W7" s="151"/>
      <c r="X7" s="151"/>
    </row>
    <row r="8" spans="1:34" ht="14.55" thickBot="1" x14ac:dyDescent="0.3">
      <c r="A8" s="491"/>
      <c r="B8" s="1599" t="s">
        <v>366</v>
      </c>
      <c r="C8" s="1600"/>
      <c r="D8" s="1600"/>
      <c r="E8" s="1601"/>
      <c r="F8" s="1602">
        <f>H8*1.19</f>
        <v>0</v>
      </c>
      <c r="G8" s="1603"/>
      <c r="H8" s="1219"/>
      <c r="I8" s="1220"/>
      <c r="J8" s="1602">
        <f>L8*1.19</f>
        <v>0</v>
      </c>
      <c r="K8" s="1604"/>
      <c r="L8" s="1207"/>
      <c r="M8" s="1208"/>
      <c r="N8" s="1602">
        <f>P8*1.19</f>
        <v>0</v>
      </c>
      <c r="O8" s="1604"/>
      <c r="P8" s="1207"/>
      <c r="Q8" s="1208"/>
      <c r="R8" s="96">
        <f>+H8+L8+P8</f>
        <v>0</v>
      </c>
      <c r="S8" s="96">
        <f>IF((R8+AB245)&gt;0,1,0)</f>
        <v>0</v>
      </c>
      <c r="T8" s="181"/>
      <c r="U8" s="96"/>
      <c r="V8" s="96"/>
      <c r="W8" s="96"/>
      <c r="X8" s="96"/>
    </row>
    <row r="9" spans="1:34" x14ac:dyDescent="0.25">
      <c r="A9" s="491"/>
      <c r="B9" s="49"/>
      <c r="C9" s="49"/>
      <c r="D9" s="49"/>
      <c r="E9" s="49"/>
      <c r="F9" s="1138" t="str">
        <f>IF(H8&gt;'Berechnung - Lufttechnik'!$A$25,$R$9,"")</f>
        <v/>
      </c>
      <c r="G9" s="1138"/>
      <c r="H9" s="1138"/>
      <c r="I9" s="1138"/>
      <c r="J9" s="1138" t="str">
        <f>IF(L8&gt;'Berechnung - Lufttechnik'!$A$25,$R$9,"")</f>
        <v/>
      </c>
      <c r="K9" s="1138"/>
      <c r="L9" s="1138"/>
      <c r="M9" s="1138"/>
      <c r="N9" s="1138" t="str">
        <f>IF(P8&gt;'Berechnung - Lufttechnik'!$A$25,$R$9,"")</f>
        <v/>
      </c>
      <c r="O9" s="1138"/>
      <c r="P9" s="1138"/>
      <c r="Q9" s="1138"/>
      <c r="R9" s="96" t="s">
        <v>124</v>
      </c>
      <c r="S9" s="96"/>
      <c r="T9" s="96"/>
      <c r="U9" s="96"/>
      <c r="V9" s="96"/>
      <c r="W9" s="96"/>
      <c r="X9" s="96"/>
      <c r="AC9" s="68"/>
      <c r="AD9" s="68"/>
      <c r="AE9" s="68"/>
      <c r="AF9" s="68"/>
      <c r="AG9" s="68"/>
      <c r="AH9" s="68"/>
    </row>
    <row r="10" spans="1:34" x14ac:dyDescent="0.25">
      <c r="A10" s="491"/>
      <c r="B10" s="56"/>
      <c r="C10" s="56"/>
      <c r="D10" s="56"/>
      <c r="E10" s="56"/>
      <c r="F10" s="1139"/>
      <c r="G10" s="1139"/>
      <c r="H10" s="1139"/>
      <c r="I10" s="1139"/>
      <c r="J10" s="1139"/>
      <c r="K10" s="1139"/>
      <c r="L10" s="1139"/>
      <c r="M10" s="1139"/>
      <c r="N10" s="1139"/>
      <c r="O10" s="1139"/>
      <c r="P10" s="1139"/>
      <c r="Q10" s="1139"/>
      <c r="R10" s="96"/>
      <c r="S10" s="96"/>
      <c r="T10" s="96"/>
      <c r="U10" s="96"/>
      <c r="V10" s="96"/>
      <c r="W10" s="96"/>
      <c r="X10" s="96"/>
      <c r="AC10" s="68"/>
      <c r="AD10" s="68"/>
      <c r="AE10" s="68"/>
      <c r="AF10" s="68"/>
      <c r="AG10" s="68"/>
      <c r="AH10" s="68"/>
    </row>
    <row r="11" spans="1:34" x14ac:dyDescent="0.25">
      <c r="A11" s="491"/>
      <c r="B11" s="56"/>
      <c r="C11" s="56"/>
      <c r="D11" s="56"/>
      <c r="E11" s="56"/>
      <c r="F11" s="1139"/>
      <c r="G11" s="1139"/>
      <c r="H11" s="1139"/>
      <c r="I11" s="1139"/>
      <c r="J11" s="1139"/>
      <c r="K11" s="1139"/>
      <c r="L11" s="1139"/>
      <c r="M11" s="1139"/>
      <c r="N11" s="1139"/>
      <c r="O11" s="1139"/>
      <c r="P11" s="1139"/>
      <c r="Q11" s="1139"/>
      <c r="R11" s="96"/>
      <c r="S11" s="96"/>
      <c r="T11" s="96"/>
      <c r="U11" s="96"/>
      <c r="V11" s="96"/>
      <c r="W11" s="96"/>
      <c r="X11" s="96"/>
      <c r="AC11" s="68"/>
      <c r="AD11" s="68"/>
      <c r="AE11" s="68"/>
      <c r="AF11" s="68"/>
      <c r="AG11" s="68"/>
      <c r="AH11" s="68"/>
    </row>
    <row r="12" spans="1:34" x14ac:dyDescent="0.25">
      <c r="A12" s="491"/>
      <c r="B12" s="39" t="s">
        <v>130</v>
      </c>
      <c r="R12" s="72"/>
      <c r="S12" s="72"/>
      <c r="T12" s="72"/>
      <c r="U12" s="72"/>
    </row>
    <row r="13" spans="1:34" x14ac:dyDescent="0.25">
      <c r="A13" s="491"/>
      <c r="B13" s="39" t="s">
        <v>131</v>
      </c>
      <c r="R13" s="72"/>
      <c r="S13" s="72"/>
      <c r="T13" s="72"/>
      <c r="U13" s="72"/>
    </row>
    <row r="14" spans="1:34" ht="14.55" thickBot="1" x14ac:dyDescent="0.3">
      <c r="A14" s="491"/>
      <c r="B14" s="40"/>
      <c r="G14" s="54"/>
      <c r="H14" s="41"/>
      <c r="I14" s="57"/>
      <c r="J14" s="54"/>
      <c r="K14" s="54"/>
      <c r="L14" s="57"/>
      <c r="M14" s="58"/>
      <c r="N14" s="58"/>
      <c r="O14" s="59"/>
      <c r="R14" s="72"/>
      <c r="S14" s="351"/>
      <c r="T14" s="96"/>
      <c r="U14" s="72"/>
    </row>
    <row r="15" spans="1:34" x14ac:dyDescent="0.25">
      <c r="A15" s="491"/>
      <c r="B15" s="1221" t="s">
        <v>132</v>
      </c>
      <c r="C15" s="1222"/>
      <c r="D15" s="1222"/>
      <c r="E15" s="1223"/>
      <c r="F15" s="1164">
        <v>1</v>
      </c>
      <c r="G15" s="1165"/>
      <c r="H15" s="1165"/>
      <c r="I15" s="1165"/>
      <c r="J15" s="1165"/>
      <c r="K15" s="1165"/>
      <c r="L15" s="1165"/>
      <c r="M15" s="1165"/>
      <c r="N15" s="1165"/>
      <c r="O15" s="1165"/>
      <c r="P15" s="1165"/>
      <c r="Q15" s="1166"/>
      <c r="R15" s="72"/>
      <c r="S15" s="351"/>
      <c r="T15" s="96"/>
      <c r="U15" s="72" t="s">
        <v>133</v>
      </c>
      <c r="V15" s="72">
        <v>1</v>
      </c>
    </row>
    <row r="16" spans="1:34" ht="14.55" thickBot="1" x14ac:dyDescent="0.3">
      <c r="A16" s="491"/>
      <c r="B16" s="1224" t="s">
        <v>134</v>
      </c>
      <c r="C16" s="1225"/>
      <c r="D16" s="1225"/>
      <c r="E16" s="1226"/>
      <c r="F16" s="1167" t="s">
        <v>135</v>
      </c>
      <c r="G16" s="1168"/>
      <c r="H16" s="1168"/>
      <c r="I16" s="1168"/>
      <c r="J16" s="1168"/>
      <c r="K16" s="1168"/>
      <c r="L16" s="1168"/>
      <c r="M16" s="1168"/>
      <c r="N16" s="1168"/>
      <c r="O16" s="1168"/>
      <c r="P16" s="1168"/>
      <c r="Q16" s="1169"/>
      <c r="R16" s="72"/>
      <c r="S16" s="351"/>
      <c r="T16" s="96"/>
      <c r="U16" s="72"/>
      <c r="V16" s="72">
        <v>2</v>
      </c>
    </row>
    <row r="17" spans="1:24" x14ac:dyDescent="0.25">
      <c r="A17" s="491"/>
      <c r="B17" s="60"/>
      <c r="C17" s="60"/>
      <c r="D17" s="60"/>
      <c r="E17" s="60"/>
      <c r="F17" s="1241" t="s">
        <v>136</v>
      </c>
      <c r="G17" s="1241"/>
      <c r="H17" s="1241"/>
      <c r="I17" s="1241"/>
      <c r="J17" s="1241" t="s">
        <v>137</v>
      </c>
      <c r="K17" s="1241"/>
      <c r="L17" s="1241"/>
      <c r="M17" s="1241"/>
      <c r="N17" s="1241" t="s">
        <v>367</v>
      </c>
      <c r="O17" s="1241"/>
      <c r="P17" s="1241"/>
      <c r="Q17" s="1241"/>
      <c r="R17" s="72"/>
      <c r="S17" s="351"/>
      <c r="T17" s="96"/>
      <c r="U17" s="72"/>
      <c r="V17" s="72">
        <v>3</v>
      </c>
    </row>
    <row r="18" spans="1:24" ht="14.55" thickBot="1" x14ac:dyDescent="0.3">
      <c r="A18" s="491"/>
      <c r="B18" s="60"/>
      <c r="C18" s="60"/>
      <c r="D18" s="60"/>
      <c r="E18" s="60"/>
      <c r="F18" s="1242"/>
      <c r="G18" s="1242"/>
      <c r="H18" s="1242"/>
      <c r="I18" s="1242"/>
      <c r="J18" s="1242"/>
      <c r="K18" s="1242"/>
      <c r="L18" s="1242"/>
      <c r="M18" s="1242"/>
      <c r="N18" s="1242"/>
      <c r="O18" s="1242"/>
      <c r="P18" s="1242"/>
      <c r="Q18" s="1242"/>
      <c r="R18" s="72"/>
      <c r="S18" s="351"/>
      <c r="T18" s="96"/>
      <c r="U18" s="72"/>
    </row>
    <row r="19" spans="1:24" ht="14.55" thickBot="1" x14ac:dyDescent="0.3">
      <c r="A19" s="491"/>
      <c r="B19" s="40"/>
      <c r="C19" s="40"/>
      <c r="D19" s="40"/>
      <c r="E19" s="69"/>
      <c r="F19" s="1596">
        <f>'Berechnung - Lufttechnik'!H105</f>
        <v>0</v>
      </c>
      <c r="G19" s="1597"/>
      <c r="H19" s="1597"/>
      <c r="I19" s="1598"/>
      <c r="J19" s="1596" t="str">
        <f>IF('Berechnung - Lufttechnik'!J105=0,"Kostenschätzung liegt noch nicht vor",'Berechnung - Lufttechnik'!J105)</f>
        <v>Kostenschätzung liegt noch nicht vor</v>
      </c>
      <c r="K19" s="1597"/>
      <c r="L19" s="1597"/>
      <c r="M19" s="1598"/>
      <c r="N19" s="1596" t="str">
        <f>IF('Berechnung - Lufttechnik'!L105=0,"Kostenberechnung liegt noch nicht vor",'Berechnung - Lufttechnik'!L105)</f>
        <v>Kostenberechnung liegt noch nicht vor</v>
      </c>
      <c r="O19" s="1597"/>
      <c r="P19" s="1597"/>
      <c r="Q19" s="1598"/>
      <c r="R19" s="72"/>
      <c r="S19" s="351"/>
      <c r="T19" s="96"/>
      <c r="U19" s="72"/>
    </row>
    <row r="20" spans="1:24" x14ac:dyDescent="0.25">
      <c r="A20" s="491"/>
      <c r="B20" s="40"/>
      <c r="G20" s="54"/>
      <c r="H20" s="41"/>
      <c r="I20" s="57"/>
      <c r="J20" s="54"/>
      <c r="K20" s="54"/>
      <c r="L20" s="57"/>
      <c r="M20" s="58"/>
      <c r="N20" s="58"/>
      <c r="O20" s="59"/>
      <c r="R20" s="72"/>
      <c r="S20" s="351"/>
      <c r="T20" s="96"/>
      <c r="U20" s="72"/>
    </row>
    <row r="21" spans="1:24" x14ac:dyDescent="0.25">
      <c r="A21" s="492" t="s">
        <v>139</v>
      </c>
      <c r="B21" s="42" t="s">
        <v>140</v>
      </c>
      <c r="C21" s="43"/>
      <c r="D21" s="43"/>
      <c r="E21" s="61"/>
      <c r="F21" s="43"/>
      <c r="G21" s="43"/>
      <c r="H21" s="44"/>
      <c r="I21" s="44"/>
      <c r="R21" s="72"/>
      <c r="S21" s="72"/>
      <c r="T21" s="72"/>
      <c r="U21" s="72"/>
    </row>
    <row r="22" spans="1:24" ht="14.55" thickBot="1" x14ac:dyDescent="0.3">
      <c r="A22" s="492"/>
      <c r="B22" s="43"/>
      <c r="C22" s="43"/>
      <c r="D22" s="43"/>
      <c r="E22" s="61"/>
      <c r="F22" s="43"/>
      <c r="G22" s="43"/>
      <c r="H22" s="62"/>
      <c r="I22" s="62"/>
      <c r="R22" s="72"/>
      <c r="S22" s="178"/>
      <c r="T22" s="178"/>
      <c r="U22" s="178"/>
    </row>
    <row r="23" spans="1:24" ht="45.35" customHeight="1" thickBot="1" x14ac:dyDescent="0.3">
      <c r="A23" s="492"/>
      <c r="B23" s="1586" t="s">
        <v>474</v>
      </c>
      <c r="C23" s="1587"/>
      <c r="D23" s="1587"/>
      <c r="E23" s="1588"/>
      <c r="F23" s="1589"/>
      <c r="G23" s="1590"/>
      <c r="H23" s="1590"/>
      <c r="I23" s="1590"/>
      <c r="J23" s="1590"/>
      <c r="K23" s="1590"/>
      <c r="L23" s="1590"/>
      <c r="M23" s="1590"/>
      <c r="N23" s="1590"/>
      <c r="O23" s="1590"/>
      <c r="P23" s="1590"/>
      <c r="Q23" s="1591"/>
      <c r="R23" s="189">
        <f>IF(AND(R8&gt;0,F23=""),1,0)</f>
        <v>0</v>
      </c>
      <c r="S23" s="352"/>
      <c r="T23" s="352"/>
      <c r="U23" s="180"/>
      <c r="V23" s="352"/>
      <c r="W23" s="352"/>
      <c r="X23" s="352"/>
    </row>
    <row r="24" spans="1:24" x14ac:dyDescent="0.25">
      <c r="A24" s="492"/>
      <c r="B24" s="833"/>
      <c r="C24" s="834"/>
      <c r="D24" s="834"/>
      <c r="E24" s="834"/>
      <c r="F24" s="835"/>
      <c r="G24" s="835"/>
      <c r="H24" s="835"/>
      <c r="I24" s="835"/>
      <c r="J24" s="835"/>
      <c r="K24" s="835"/>
      <c r="L24" s="835"/>
      <c r="M24" s="835"/>
      <c r="N24" s="835"/>
      <c r="O24" s="835"/>
      <c r="P24" s="835"/>
      <c r="Q24" s="835"/>
      <c r="R24" s="189"/>
      <c r="S24" s="352"/>
      <c r="T24" s="352"/>
      <c r="U24" s="180"/>
      <c r="V24" s="352"/>
      <c r="W24" s="352"/>
      <c r="X24" s="352"/>
    </row>
    <row r="25" spans="1:24" x14ac:dyDescent="0.25">
      <c r="A25" s="492"/>
      <c r="B25" s="39" t="s">
        <v>143</v>
      </c>
      <c r="C25" s="834"/>
      <c r="D25" s="834"/>
      <c r="E25" s="834"/>
      <c r="F25" s="835"/>
      <c r="G25" s="835"/>
      <c r="H25" s="835"/>
      <c r="I25" s="835"/>
      <c r="J25" s="835"/>
      <c r="K25" s="835"/>
      <c r="L25" s="835"/>
      <c r="M25" s="835"/>
      <c r="N25" s="835"/>
      <c r="O25" s="835"/>
      <c r="P25" s="835"/>
      <c r="Q25" s="835"/>
      <c r="R25" s="189"/>
      <c r="S25" s="352"/>
      <c r="T25" s="352"/>
      <c r="U25" s="180"/>
      <c r="V25" s="352"/>
      <c r="W25" s="352"/>
      <c r="X25" s="352"/>
    </row>
    <row r="26" spans="1:24" x14ac:dyDescent="0.25">
      <c r="A26" s="491"/>
      <c r="B26" s="40"/>
      <c r="G26" s="54"/>
      <c r="H26" s="41"/>
      <c r="I26" s="57"/>
      <c r="J26" s="54"/>
      <c r="K26" s="54"/>
      <c r="L26" s="57"/>
      <c r="M26" s="58"/>
      <c r="N26" s="58"/>
      <c r="O26" s="59"/>
      <c r="R26" s="72"/>
      <c r="S26" s="351"/>
      <c r="T26" s="96"/>
      <c r="U26" s="72"/>
    </row>
    <row r="27" spans="1:24" x14ac:dyDescent="0.25">
      <c r="A27" s="491" t="s">
        <v>144</v>
      </c>
      <c r="B27" s="40" t="s">
        <v>368</v>
      </c>
      <c r="R27" s="72"/>
      <c r="S27" s="72"/>
      <c r="T27" s="72"/>
      <c r="U27" s="72"/>
    </row>
    <row r="28" spans="1:24" x14ac:dyDescent="0.25">
      <c r="A28" s="491"/>
      <c r="B28" s="40"/>
      <c r="R28" s="72"/>
      <c r="S28" s="72"/>
      <c r="T28" s="72"/>
      <c r="U28" s="72"/>
    </row>
    <row r="29" spans="1:24" x14ac:dyDescent="0.25">
      <c r="A29" s="491"/>
      <c r="B29" s="39" t="s">
        <v>369</v>
      </c>
      <c r="R29" s="72"/>
      <c r="S29" s="72"/>
      <c r="T29" s="72"/>
      <c r="U29" s="72" t="s">
        <v>115</v>
      </c>
      <c r="V29" s="72" t="s">
        <v>100</v>
      </c>
    </row>
    <row r="30" spans="1:24" x14ac:dyDescent="0.25">
      <c r="A30" s="491"/>
      <c r="B30" s="39" t="s">
        <v>370</v>
      </c>
      <c r="R30" s="72"/>
      <c r="S30" s="72"/>
      <c r="T30" s="72"/>
      <c r="U30" s="72"/>
      <c r="V30" s="72" t="s">
        <v>99</v>
      </c>
    </row>
    <row r="31" spans="1:24" ht="14.55" thickBot="1" x14ac:dyDescent="0.3">
      <c r="A31" s="491"/>
      <c r="B31" s="40"/>
      <c r="R31" s="72"/>
      <c r="S31" s="72"/>
      <c r="T31" s="72"/>
      <c r="U31" s="72"/>
    </row>
    <row r="32" spans="1:24" ht="15.95" customHeight="1" x14ac:dyDescent="0.25">
      <c r="A32" s="1516" t="s">
        <v>475</v>
      </c>
      <c r="B32" s="1125" t="s">
        <v>150</v>
      </c>
      <c r="C32" s="1126"/>
      <c r="D32" s="1126"/>
      <c r="E32" s="1126"/>
      <c r="F32" s="1126"/>
      <c r="G32" s="1126"/>
      <c r="H32" s="1131" t="s">
        <v>151</v>
      </c>
      <c r="I32" s="1134" t="s">
        <v>152</v>
      </c>
      <c r="J32" s="1517" t="s">
        <v>153</v>
      </c>
      <c r="K32" s="1518"/>
      <c r="L32" s="175"/>
      <c r="M32" s="114"/>
      <c r="N32" s="114"/>
      <c r="O32" s="114"/>
      <c r="P32" s="70"/>
      <c r="Q32" s="70"/>
      <c r="R32" s="339"/>
      <c r="S32" s="120" t="s">
        <v>115</v>
      </c>
      <c r="T32" s="73" t="s">
        <v>99</v>
      </c>
      <c r="U32" s="73"/>
    </row>
    <row r="33" spans="1:37" ht="15.95" customHeight="1" x14ac:dyDescent="0.25">
      <c r="A33" s="1516"/>
      <c r="B33" s="1127"/>
      <c r="C33" s="1128"/>
      <c r="D33" s="1128"/>
      <c r="E33" s="1128"/>
      <c r="F33" s="1128"/>
      <c r="G33" s="1128"/>
      <c r="H33" s="1132"/>
      <c r="I33" s="1135"/>
      <c r="J33" s="1519"/>
      <c r="K33" s="1520"/>
      <c r="L33" s="175"/>
      <c r="M33" s="114"/>
      <c r="N33" s="114"/>
      <c r="O33" s="114"/>
      <c r="P33" s="70"/>
      <c r="Q33" s="70"/>
      <c r="R33" s="339"/>
      <c r="S33" s="73"/>
      <c r="T33" s="73" t="s">
        <v>100</v>
      </c>
      <c r="U33" s="81" t="s">
        <v>372</v>
      </c>
      <c r="V33" s="81"/>
      <c r="W33" s="81"/>
    </row>
    <row r="34" spans="1:37" ht="14.55" thickBot="1" x14ac:dyDescent="0.3">
      <c r="A34" s="1516"/>
      <c r="B34" s="1129"/>
      <c r="C34" s="1130"/>
      <c r="D34" s="1130"/>
      <c r="E34" s="1130"/>
      <c r="F34" s="1130"/>
      <c r="G34" s="1130"/>
      <c r="H34" s="1133"/>
      <c r="I34" s="1136"/>
      <c r="J34" s="1521"/>
      <c r="K34" s="1522"/>
      <c r="L34" s="176"/>
      <c r="M34" s="115"/>
      <c r="N34" s="115"/>
      <c r="O34" s="115"/>
      <c r="P34" s="116"/>
      <c r="Q34" s="116"/>
      <c r="R34" s="116"/>
      <c r="S34" s="836"/>
      <c r="T34" s="836"/>
      <c r="U34" s="256"/>
      <c r="V34" s="81"/>
      <c r="W34" s="81"/>
    </row>
    <row r="35" spans="1:37" ht="15" customHeight="1" thickBot="1" x14ac:dyDescent="0.3">
      <c r="A35" s="1516"/>
      <c r="B35" s="1035" t="s">
        <v>154</v>
      </c>
      <c r="C35" s="1036"/>
      <c r="D35" s="1036"/>
      <c r="E35" s="1036"/>
      <c r="F35" s="1036"/>
      <c r="G35" s="1036"/>
      <c r="H35" s="1161"/>
      <c r="I35" s="1344">
        <f>F19</f>
        <v>0</v>
      </c>
      <c r="J35" s="1345"/>
      <c r="K35" s="1346"/>
      <c r="L35" s="1020" t="s">
        <v>373</v>
      </c>
      <c r="M35" s="1020"/>
      <c r="N35" s="1020"/>
      <c r="O35" s="1020"/>
      <c r="P35" s="1629"/>
      <c r="Q35" s="1131" t="s">
        <v>151</v>
      </c>
      <c r="R35" s="1263" t="str">
        <f>IF(B1=Q2,"Honorar für die Besonderen Leistungen","Honorarangebot für die Besonderen Leistungen")</f>
        <v>Honorarangebot für die Besonderen Leistungen</v>
      </c>
      <c r="S35" s="1608"/>
      <c r="T35" s="1605" t="s">
        <v>156</v>
      </c>
      <c r="U35" s="1371" t="s">
        <v>157</v>
      </c>
      <c r="Y35" s="73" t="s">
        <v>5</v>
      </c>
      <c r="Z35" s="72" t="s">
        <v>374</v>
      </c>
      <c r="AA35" s="81"/>
      <c r="AB35" s="81"/>
      <c r="AC35" s="118"/>
      <c r="AD35" s="68"/>
      <c r="AE35" s="68"/>
      <c r="AF35" s="68"/>
      <c r="AG35" s="68"/>
      <c r="AH35" s="68"/>
      <c r="AI35" s="68"/>
      <c r="AJ35" s="68"/>
      <c r="AK35" s="68"/>
    </row>
    <row r="36" spans="1:37" ht="15" customHeight="1" thickBot="1" x14ac:dyDescent="0.3">
      <c r="A36" s="1516"/>
      <c r="B36" s="1038"/>
      <c r="C36" s="1039"/>
      <c r="D36" s="1039"/>
      <c r="E36" s="1039"/>
      <c r="F36" s="1039"/>
      <c r="G36" s="1039"/>
      <c r="H36" s="1162"/>
      <c r="I36" s="1347"/>
      <c r="J36" s="1348"/>
      <c r="K36" s="1349"/>
      <c r="L36" s="1022"/>
      <c r="M36" s="1022"/>
      <c r="N36" s="1022"/>
      <c r="O36" s="1022"/>
      <c r="P36" s="1630"/>
      <c r="Q36" s="1132"/>
      <c r="R36" s="1265"/>
      <c r="S36" s="1609"/>
      <c r="T36" s="1606"/>
      <c r="U36" s="1371"/>
      <c r="Y36" s="73"/>
      <c r="AC36" s="68"/>
      <c r="AD36" s="68"/>
      <c r="AE36" s="68"/>
      <c r="AF36" s="68"/>
      <c r="AG36" s="68"/>
      <c r="AH36" s="68"/>
      <c r="AI36" s="68"/>
      <c r="AJ36" s="68"/>
      <c r="AK36" s="68"/>
    </row>
    <row r="37" spans="1:37" ht="15.95" customHeight="1" thickBot="1" x14ac:dyDescent="0.3">
      <c r="A37" s="1516"/>
      <c r="B37" s="1041"/>
      <c r="C37" s="1042"/>
      <c r="D37" s="1042"/>
      <c r="E37" s="1042"/>
      <c r="F37" s="1042"/>
      <c r="G37" s="1042"/>
      <c r="H37" s="1163"/>
      <c r="I37" s="1350"/>
      <c r="J37" s="1351"/>
      <c r="K37" s="1352"/>
      <c r="L37" s="1024"/>
      <c r="M37" s="1024"/>
      <c r="N37" s="1024"/>
      <c r="O37" s="1024"/>
      <c r="P37" s="1631"/>
      <c r="Q37" s="1133"/>
      <c r="R37" s="1265"/>
      <c r="S37" s="1609"/>
      <c r="T37" s="1607"/>
      <c r="U37" s="1371"/>
      <c r="Y37" s="73"/>
      <c r="AC37" s="68"/>
      <c r="AD37" s="68"/>
      <c r="AE37" s="68"/>
      <c r="AF37" s="68"/>
      <c r="AG37" s="68"/>
      <c r="AH37" s="68"/>
      <c r="AI37" s="68"/>
      <c r="AJ37" s="68"/>
      <c r="AK37" s="68"/>
    </row>
    <row r="38" spans="1:37" ht="14.55" thickBot="1" x14ac:dyDescent="0.3">
      <c r="A38" s="1516"/>
      <c r="B38" s="1082" t="s">
        <v>159</v>
      </c>
      <c r="C38" s="1083"/>
      <c r="D38" s="1083"/>
      <c r="E38" s="1083"/>
      <c r="F38" s="1083"/>
      <c r="G38" s="1084"/>
      <c r="H38" s="190"/>
      <c r="I38" s="1378"/>
      <c r="J38" s="1379"/>
      <c r="K38" s="1632"/>
      <c r="L38" s="1378"/>
      <c r="M38" s="1379"/>
      <c r="N38" s="1379"/>
      <c r="O38" s="1379"/>
      <c r="P38" s="1380"/>
      <c r="Q38" s="209"/>
      <c r="R38" s="1381"/>
      <c r="S38" s="1382"/>
      <c r="T38" s="174"/>
      <c r="U38" s="334"/>
      <c r="Y38" s="73"/>
      <c r="AA38" s="149"/>
      <c r="AB38" s="149"/>
      <c r="AC38" s="119"/>
      <c r="AD38" s="68"/>
      <c r="AE38" s="68"/>
      <c r="AF38" s="68"/>
      <c r="AG38" s="68"/>
      <c r="AH38" s="68"/>
      <c r="AI38" s="68"/>
      <c r="AJ38" s="68"/>
      <c r="AK38" s="68"/>
    </row>
    <row r="39" spans="1:37" ht="15.95" customHeight="1" thickBot="1" x14ac:dyDescent="0.3">
      <c r="A39" s="1516"/>
      <c r="B39" s="1497" t="s">
        <v>375</v>
      </c>
      <c r="C39" s="1498"/>
      <c r="D39" s="1498"/>
      <c r="E39" s="1498"/>
      <c r="F39" s="1498"/>
      <c r="G39" s="1499"/>
      <c r="H39" s="1194" t="s">
        <v>100</v>
      </c>
      <c r="I39" s="1016">
        <f>Z54</f>
        <v>0</v>
      </c>
      <c r="J39" s="1027">
        <f>I35*I39</f>
        <v>0</v>
      </c>
      <c r="K39" s="1028"/>
      <c r="L39" s="1570" t="s">
        <v>376</v>
      </c>
      <c r="M39" s="1571"/>
      <c r="N39" s="1571"/>
      <c r="O39" s="1571"/>
      <c r="P39" s="1571"/>
      <c r="Q39" s="1366" t="s">
        <v>100</v>
      </c>
      <c r="R39" s="1025"/>
      <c r="S39" s="1026"/>
      <c r="T39" s="1543" t="str">
        <f>IFERROR(IF((VLOOKUP(U39,Überblick!$M$125:$N$133,2))="ja","ja","nein"),"")</f>
        <v/>
      </c>
      <c r="U39" s="1337"/>
      <c r="V39" s="72">
        <f>IF(AND(Q39="ja",R39=""),1,0)</f>
        <v>0</v>
      </c>
      <c r="Y39" s="74">
        <v>1.4999999999999999E-2</v>
      </c>
      <c r="Z39" s="77">
        <f>IF(H39="ja",Y39,0)</f>
        <v>0</v>
      </c>
      <c r="AA39" s="78"/>
      <c r="AB39" s="78">
        <f>IF(Q39="ja",1,0)</f>
        <v>0</v>
      </c>
      <c r="AC39" s="68"/>
      <c r="AD39" s="68"/>
      <c r="AE39" s="68"/>
      <c r="AF39" s="68"/>
      <c r="AG39" s="68"/>
      <c r="AH39" s="68"/>
      <c r="AI39" s="68"/>
      <c r="AJ39" s="68"/>
      <c r="AK39" s="68"/>
    </row>
    <row r="40" spans="1:37" ht="15" customHeight="1" thickBot="1" x14ac:dyDescent="0.3">
      <c r="A40" s="1516"/>
      <c r="B40" s="1493"/>
      <c r="C40" s="1317"/>
      <c r="D40" s="1317"/>
      <c r="E40" s="1317"/>
      <c r="F40" s="1317"/>
      <c r="G40" s="1494"/>
      <c r="H40" s="982"/>
      <c r="I40" s="1017"/>
      <c r="J40" s="1029"/>
      <c r="K40" s="1030"/>
      <c r="L40" s="1544"/>
      <c r="M40" s="1545"/>
      <c r="N40" s="1545"/>
      <c r="O40" s="1545"/>
      <c r="P40" s="1545"/>
      <c r="Q40" s="978"/>
      <c r="R40" s="972"/>
      <c r="S40" s="973"/>
      <c r="T40" s="1543"/>
      <c r="U40" s="1337"/>
      <c r="Y40" s="74"/>
      <c r="Z40" s="77"/>
      <c r="AA40" s="78"/>
      <c r="AB40" s="78">
        <f t="shared" ref="AB40:AB103" si="0">IF(Q40="ja",1,0)</f>
        <v>0</v>
      </c>
      <c r="AC40" s="68"/>
      <c r="AD40" s="68"/>
      <c r="AE40" s="68"/>
      <c r="AF40" s="68"/>
      <c r="AG40" s="68"/>
      <c r="AH40" s="68"/>
      <c r="AI40" s="68"/>
      <c r="AJ40" s="68"/>
      <c r="AK40" s="68"/>
    </row>
    <row r="41" spans="1:37" ht="15" customHeight="1" thickBot="1" x14ac:dyDescent="0.3">
      <c r="A41" s="1516"/>
      <c r="B41" s="1490"/>
      <c r="C41" s="1491"/>
      <c r="D41" s="1491"/>
      <c r="E41" s="1491"/>
      <c r="F41" s="1491"/>
      <c r="G41" s="1492"/>
      <c r="H41" s="983"/>
      <c r="I41" s="1017"/>
      <c r="J41" s="1029"/>
      <c r="K41" s="1030"/>
      <c r="L41" s="1544"/>
      <c r="M41" s="1545"/>
      <c r="N41" s="1545"/>
      <c r="O41" s="1545"/>
      <c r="P41" s="1545"/>
      <c r="Q41" s="978"/>
      <c r="R41" s="972"/>
      <c r="S41" s="973"/>
      <c r="T41" s="1543"/>
      <c r="U41" s="1337"/>
      <c r="Y41" s="74"/>
      <c r="Z41" s="77"/>
      <c r="AA41" s="78"/>
      <c r="AB41" s="78">
        <f t="shared" si="0"/>
        <v>0</v>
      </c>
      <c r="AC41" s="68"/>
      <c r="AD41" s="68"/>
      <c r="AE41" s="68"/>
      <c r="AF41" s="68"/>
      <c r="AG41" s="68"/>
      <c r="AH41" s="68"/>
      <c r="AI41" s="68"/>
      <c r="AJ41" s="68"/>
      <c r="AK41" s="68"/>
    </row>
    <row r="42" spans="1:37" ht="15" customHeight="1" thickBot="1" x14ac:dyDescent="0.3">
      <c r="A42" s="1516"/>
      <c r="B42" s="1493" t="s">
        <v>377</v>
      </c>
      <c r="C42" s="1317"/>
      <c r="D42" s="1317"/>
      <c r="E42" s="1317"/>
      <c r="F42" s="1317"/>
      <c r="G42" s="1494"/>
      <c r="H42" s="982" t="s">
        <v>100</v>
      </c>
      <c r="I42" s="1017"/>
      <c r="J42" s="1029"/>
      <c r="K42" s="1030"/>
      <c r="L42" s="1544"/>
      <c r="M42" s="1545"/>
      <c r="N42" s="1545"/>
      <c r="O42" s="1545"/>
      <c r="P42" s="1545"/>
      <c r="Q42" s="978"/>
      <c r="R42" s="972"/>
      <c r="S42" s="973"/>
      <c r="T42" s="1543"/>
      <c r="U42" s="1337"/>
      <c r="Y42" s="74">
        <v>3.0000000000000001E-3</v>
      </c>
      <c r="Z42" s="77">
        <f>IF(H42="ja",Y42,0)</f>
        <v>0</v>
      </c>
      <c r="AA42" s="78"/>
      <c r="AB42" s="78">
        <f t="shared" si="0"/>
        <v>0</v>
      </c>
      <c r="AC42" s="68"/>
      <c r="AD42" s="68"/>
      <c r="AE42" s="68"/>
      <c r="AF42" s="68"/>
      <c r="AG42" s="68"/>
      <c r="AH42" s="68"/>
      <c r="AI42" s="68"/>
      <c r="AJ42" s="68"/>
      <c r="AK42" s="68"/>
    </row>
    <row r="43" spans="1:37" ht="15" customHeight="1" thickBot="1" x14ac:dyDescent="0.3">
      <c r="A43" s="1516"/>
      <c r="B43" s="1493"/>
      <c r="C43" s="1317"/>
      <c r="D43" s="1317"/>
      <c r="E43" s="1317"/>
      <c r="F43" s="1317"/>
      <c r="G43" s="1494"/>
      <c r="H43" s="982"/>
      <c r="I43" s="1017"/>
      <c r="J43" s="1029"/>
      <c r="K43" s="1030"/>
      <c r="L43" s="1544"/>
      <c r="M43" s="1545"/>
      <c r="N43" s="1545"/>
      <c r="O43" s="1545"/>
      <c r="P43" s="1545"/>
      <c r="Q43" s="978"/>
      <c r="R43" s="972"/>
      <c r="S43" s="973"/>
      <c r="T43" s="1543"/>
      <c r="U43" s="1337"/>
      <c r="Y43" s="74"/>
      <c r="Z43" s="77"/>
      <c r="AA43" s="78"/>
      <c r="AB43" s="78">
        <f t="shared" si="0"/>
        <v>0</v>
      </c>
      <c r="AC43" s="68"/>
      <c r="AD43" s="68"/>
      <c r="AE43" s="68"/>
      <c r="AF43" s="68"/>
      <c r="AG43" s="68"/>
      <c r="AH43" s="68"/>
      <c r="AI43" s="68"/>
      <c r="AJ43" s="68"/>
      <c r="AK43" s="68"/>
    </row>
    <row r="44" spans="1:37" ht="15.95" customHeight="1" thickBot="1" x14ac:dyDescent="0.3">
      <c r="A44" s="1516"/>
      <c r="B44" s="1490"/>
      <c r="C44" s="1491"/>
      <c r="D44" s="1491"/>
      <c r="E44" s="1491"/>
      <c r="F44" s="1491"/>
      <c r="G44" s="1492"/>
      <c r="H44" s="983"/>
      <c r="I44" s="1017"/>
      <c r="J44" s="1029"/>
      <c r="K44" s="1030"/>
      <c r="L44" s="1544" t="s">
        <v>378</v>
      </c>
      <c r="M44" s="1545"/>
      <c r="N44" s="1545"/>
      <c r="O44" s="1545"/>
      <c r="P44" s="1545"/>
      <c r="Q44" s="978" t="s">
        <v>100</v>
      </c>
      <c r="R44" s="972"/>
      <c r="S44" s="973"/>
      <c r="T44" s="1543"/>
      <c r="U44" s="1337"/>
      <c r="V44" s="72">
        <f>IF(AND(Q44="ja",R44=""),1,0)</f>
        <v>0</v>
      </c>
      <c r="Y44" s="74"/>
      <c r="Z44" s="77"/>
      <c r="AA44" s="78"/>
      <c r="AB44" s="78">
        <f t="shared" si="0"/>
        <v>0</v>
      </c>
      <c r="AC44" s="68"/>
      <c r="AD44" s="68"/>
      <c r="AE44" s="68"/>
      <c r="AF44" s="68"/>
      <c r="AG44" s="68"/>
      <c r="AH44" s="68"/>
      <c r="AI44" s="68"/>
      <c r="AJ44" s="68"/>
      <c r="AK44" s="68"/>
    </row>
    <row r="45" spans="1:37" ht="15" customHeight="1" thickBot="1" x14ac:dyDescent="0.3">
      <c r="A45" s="1516"/>
      <c r="B45" s="1493" t="s">
        <v>171</v>
      </c>
      <c r="C45" s="1317"/>
      <c r="D45" s="1317"/>
      <c r="E45" s="1317"/>
      <c r="F45" s="1317"/>
      <c r="G45" s="1494"/>
      <c r="H45" s="1191" t="s">
        <v>100</v>
      </c>
      <c r="I45" s="1017"/>
      <c r="J45" s="1029"/>
      <c r="K45" s="1030"/>
      <c r="L45" s="1544"/>
      <c r="M45" s="1545"/>
      <c r="N45" s="1545"/>
      <c r="O45" s="1545"/>
      <c r="P45" s="1545"/>
      <c r="Q45" s="978"/>
      <c r="R45" s="972"/>
      <c r="S45" s="973"/>
      <c r="T45" s="1543"/>
      <c r="U45" s="1337"/>
      <c r="Y45" s="74">
        <v>2E-3</v>
      </c>
      <c r="Z45" s="77">
        <f>IF(H45="ja",Y45,0)</f>
        <v>0</v>
      </c>
      <c r="AA45" s="78"/>
      <c r="AB45" s="78">
        <f t="shared" si="0"/>
        <v>0</v>
      </c>
      <c r="AC45" s="68"/>
      <c r="AD45" s="68"/>
      <c r="AE45" s="68"/>
      <c r="AF45" s="68"/>
      <c r="AG45" s="68"/>
      <c r="AH45" s="68"/>
      <c r="AI45" s="68"/>
      <c r="AJ45" s="68"/>
      <c r="AK45" s="68"/>
    </row>
    <row r="46" spans="1:37" ht="15" customHeight="1" thickBot="1" x14ac:dyDescent="0.3">
      <c r="A46" s="1516"/>
      <c r="B46" s="1493"/>
      <c r="C46" s="1317"/>
      <c r="D46" s="1317"/>
      <c r="E46" s="1317"/>
      <c r="F46" s="1317"/>
      <c r="G46" s="1494"/>
      <c r="H46" s="1191"/>
      <c r="I46" s="1017"/>
      <c r="J46" s="1029"/>
      <c r="K46" s="1030"/>
      <c r="L46" s="1544"/>
      <c r="M46" s="1545"/>
      <c r="N46" s="1545"/>
      <c r="O46" s="1545"/>
      <c r="P46" s="1545"/>
      <c r="Q46" s="978"/>
      <c r="R46" s="972"/>
      <c r="S46" s="973"/>
      <c r="T46" s="1543"/>
      <c r="U46" s="1337"/>
      <c r="Y46" s="74"/>
      <c r="Z46" s="77"/>
      <c r="AA46" s="78"/>
      <c r="AB46" s="78">
        <f t="shared" si="0"/>
        <v>0</v>
      </c>
      <c r="AC46" s="68"/>
      <c r="AD46" s="68"/>
      <c r="AE46" s="68"/>
      <c r="AF46" s="68"/>
      <c r="AG46" s="68"/>
      <c r="AH46" s="68"/>
      <c r="AI46" s="68"/>
      <c r="AJ46" s="68"/>
      <c r="AK46" s="68"/>
    </row>
    <row r="47" spans="1:37" ht="15.95" customHeight="1" thickBot="1" x14ac:dyDescent="0.3">
      <c r="A47" s="1516"/>
      <c r="B47" s="1493"/>
      <c r="C47" s="1317"/>
      <c r="D47" s="1317"/>
      <c r="E47" s="1317"/>
      <c r="F47" s="1317"/>
      <c r="G47" s="1494"/>
      <c r="H47" s="1191"/>
      <c r="I47" s="1017"/>
      <c r="J47" s="1029"/>
      <c r="K47" s="1030"/>
      <c r="L47" s="1544" t="s">
        <v>379</v>
      </c>
      <c r="M47" s="1545"/>
      <c r="N47" s="1545"/>
      <c r="O47" s="1545"/>
      <c r="P47" s="1545"/>
      <c r="Q47" s="978" t="s">
        <v>100</v>
      </c>
      <c r="R47" s="972"/>
      <c r="S47" s="973"/>
      <c r="T47" s="1543"/>
      <c r="U47" s="1337"/>
      <c r="V47" s="72">
        <f>IF(AND(Q47="ja",R47=""),1,0)</f>
        <v>0</v>
      </c>
      <c r="Y47" s="74"/>
      <c r="Z47" s="77"/>
      <c r="AA47" s="78"/>
      <c r="AB47" s="78">
        <f t="shared" si="0"/>
        <v>0</v>
      </c>
      <c r="AC47" s="68"/>
      <c r="AD47" s="68"/>
      <c r="AE47" s="68"/>
      <c r="AF47" s="68"/>
      <c r="AG47" s="68"/>
      <c r="AH47" s="68"/>
      <c r="AI47" s="68"/>
      <c r="AJ47" s="68"/>
      <c r="AK47" s="68"/>
    </row>
    <row r="48" spans="1:37" ht="15" customHeight="1" thickBot="1" x14ac:dyDescent="0.3">
      <c r="A48" s="1516"/>
      <c r="B48" s="1493"/>
      <c r="C48" s="1317"/>
      <c r="D48" s="1317"/>
      <c r="E48" s="1317"/>
      <c r="F48" s="1317"/>
      <c r="G48" s="1494"/>
      <c r="H48" s="1191"/>
      <c r="I48" s="1017"/>
      <c r="J48" s="1029"/>
      <c r="K48" s="1030"/>
      <c r="L48" s="1544"/>
      <c r="M48" s="1545"/>
      <c r="N48" s="1545"/>
      <c r="O48" s="1545"/>
      <c r="P48" s="1545"/>
      <c r="Q48" s="978"/>
      <c r="R48" s="972"/>
      <c r="S48" s="973"/>
      <c r="T48" s="1543"/>
      <c r="U48" s="1337"/>
      <c r="Y48" s="74"/>
      <c r="Z48" s="77"/>
      <c r="AA48" s="78"/>
      <c r="AB48" s="78">
        <f t="shared" si="0"/>
        <v>0</v>
      </c>
      <c r="AC48" s="68"/>
      <c r="AD48" s="68"/>
      <c r="AE48" s="68"/>
      <c r="AF48" s="68"/>
      <c r="AG48" s="68"/>
      <c r="AH48" s="68"/>
      <c r="AI48" s="68"/>
      <c r="AJ48" s="68"/>
      <c r="AK48" s="68"/>
    </row>
    <row r="49" spans="1:37" ht="15" customHeight="1" thickBot="1" x14ac:dyDescent="0.3">
      <c r="A49" s="1516"/>
      <c r="B49" s="1493"/>
      <c r="C49" s="1317"/>
      <c r="D49" s="1317"/>
      <c r="E49" s="1317"/>
      <c r="F49" s="1317"/>
      <c r="G49" s="1494"/>
      <c r="H49" s="1191"/>
      <c r="I49" s="1017"/>
      <c r="J49" s="1029"/>
      <c r="K49" s="1030"/>
      <c r="L49" s="1532" t="s">
        <v>380</v>
      </c>
      <c r="M49" s="1533"/>
      <c r="N49" s="1533"/>
      <c r="O49" s="1533"/>
      <c r="P49" s="1533"/>
      <c r="Q49" s="329" t="s">
        <v>100</v>
      </c>
      <c r="R49" s="972"/>
      <c r="S49" s="973"/>
      <c r="T49" s="1543"/>
      <c r="U49" s="1337"/>
      <c r="V49" s="72">
        <f>IF(AND(Q49="ja",R49=""),1,0)</f>
        <v>0</v>
      </c>
      <c r="Y49" s="74"/>
      <c r="Z49" s="77"/>
      <c r="AA49" s="78"/>
      <c r="AB49" s="78">
        <f t="shared" si="0"/>
        <v>0</v>
      </c>
      <c r="AC49" s="68"/>
      <c r="AD49" s="68"/>
      <c r="AE49" s="68"/>
      <c r="AF49" s="68"/>
      <c r="AG49" s="68"/>
      <c r="AH49" s="68"/>
      <c r="AI49" s="68"/>
      <c r="AJ49" s="68"/>
      <c r="AK49" s="68"/>
    </row>
    <row r="50" spans="1:37" ht="15" customHeight="1" thickBot="1" x14ac:dyDescent="0.3">
      <c r="A50" s="1516"/>
      <c r="B50" s="1493"/>
      <c r="C50" s="1317"/>
      <c r="D50" s="1317"/>
      <c r="E50" s="1317"/>
      <c r="F50" s="1317"/>
      <c r="G50" s="1494"/>
      <c r="H50" s="1191"/>
      <c r="I50" s="1017"/>
      <c r="J50" s="1029"/>
      <c r="K50" s="1030"/>
      <c r="L50" s="1532" t="s">
        <v>381</v>
      </c>
      <c r="M50" s="1533"/>
      <c r="N50" s="1533"/>
      <c r="O50" s="1533"/>
      <c r="P50" s="1533"/>
      <c r="Q50" s="329" t="s">
        <v>100</v>
      </c>
      <c r="R50" s="972"/>
      <c r="S50" s="973"/>
      <c r="T50" s="1543"/>
      <c r="U50" s="1337"/>
      <c r="V50" s="72">
        <f>IF(AND(Q50="ja",R50=""),1,0)</f>
        <v>0</v>
      </c>
      <c r="Y50" s="74"/>
      <c r="Z50" s="77"/>
      <c r="AA50" s="78"/>
      <c r="AB50" s="78">
        <f t="shared" si="0"/>
        <v>0</v>
      </c>
      <c r="AC50" s="68"/>
      <c r="AD50" s="68"/>
      <c r="AE50" s="68"/>
      <c r="AF50" s="68"/>
      <c r="AG50" s="68"/>
      <c r="AH50" s="68"/>
      <c r="AI50" s="68"/>
      <c r="AJ50" s="68"/>
      <c r="AK50" s="68"/>
    </row>
    <row r="51" spans="1:37" ht="15.95" customHeight="1" thickBot="1" x14ac:dyDescent="0.3">
      <c r="A51" s="1516"/>
      <c r="B51" s="1493"/>
      <c r="C51" s="1317"/>
      <c r="D51" s="1317"/>
      <c r="E51" s="1317"/>
      <c r="F51" s="1317"/>
      <c r="G51" s="1494"/>
      <c r="H51" s="1191"/>
      <c r="I51" s="1017"/>
      <c r="J51" s="1029"/>
      <c r="K51" s="1030"/>
      <c r="L51" s="1544" t="s">
        <v>382</v>
      </c>
      <c r="M51" s="1545"/>
      <c r="N51" s="1545"/>
      <c r="O51" s="1545"/>
      <c r="P51" s="1545"/>
      <c r="Q51" s="978" t="s">
        <v>100</v>
      </c>
      <c r="R51" s="972"/>
      <c r="S51" s="973"/>
      <c r="T51" s="1543"/>
      <c r="U51" s="1337"/>
      <c r="V51" s="72">
        <f>IF(AND(Q51="ja",R51=""),1,0)</f>
        <v>0</v>
      </c>
      <c r="Y51" s="74"/>
      <c r="Z51" s="77"/>
      <c r="AA51" s="78"/>
      <c r="AB51" s="78">
        <f t="shared" si="0"/>
        <v>0</v>
      </c>
      <c r="AC51" s="68"/>
      <c r="AD51" s="68"/>
      <c r="AE51" s="68"/>
      <c r="AF51" s="68"/>
      <c r="AG51" s="68"/>
      <c r="AH51" s="68"/>
      <c r="AI51" s="68"/>
      <c r="AJ51" s="68"/>
      <c r="AK51" s="68"/>
    </row>
    <row r="52" spans="1:37" ht="15" customHeight="1" thickBot="1" x14ac:dyDescent="0.3">
      <c r="A52" s="1516"/>
      <c r="B52" s="1493"/>
      <c r="C52" s="1317"/>
      <c r="D52" s="1317"/>
      <c r="E52" s="1317"/>
      <c r="F52" s="1317"/>
      <c r="G52" s="1494"/>
      <c r="H52" s="1191"/>
      <c r="I52" s="1017"/>
      <c r="J52" s="1029"/>
      <c r="K52" s="1030"/>
      <c r="L52" s="1544"/>
      <c r="M52" s="1545"/>
      <c r="N52" s="1545"/>
      <c r="O52" s="1545"/>
      <c r="P52" s="1545"/>
      <c r="Q52" s="978"/>
      <c r="R52" s="972"/>
      <c r="S52" s="973"/>
      <c r="T52" s="1543"/>
      <c r="U52" s="1337"/>
      <c r="Y52" s="74"/>
      <c r="Z52" s="77"/>
      <c r="AA52" s="78"/>
      <c r="AB52" s="78">
        <f t="shared" si="0"/>
        <v>0</v>
      </c>
      <c r="AC52" s="68"/>
      <c r="AD52" s="68"/>
      <c r="AE52" s="68"/>
      <c r="AF52" s="68"/>
      <c r="AG52" s="68"/>
      <c r="AH52" s="68"/>
      <c r="AI52" s="68"/>
      <c r="AJ52" s="68"/>
      <c r="AK52" s="68"/>
    </row>
    <row r="53" spans="1:37" ht="15.95" customHeight="1" thickBot="1" x14ac:dyDescent="0.3">
      <c r="A53" s="1516"/>
      <c r="B53" s="1592"/>
      <c r="C53" s="1593"/>
      <c r="D53" s="1593"/>
      <c r="E53" s="1593"/>
      <c r="F53" s="1593"/>
      <c r="G53" s="1594"/>
      <c r="H53" s="1192"/>
      <c r="I53" s="1018"/>
      <c r="J53" s="1031"/>
      <c r="K53" s="1032"/>
      <c r="L53" s="1546" t="s">
        <v>383</v>
      </c>
      <c r="M53" s="1547"/>
      <c r="N53" s="1547"/>
      <c r="O53" s="1547"/>
      <c r="P53" s="1547"/>
      <c r="Q53" s="330" t="s">
        <v>100</v>
      </c>
      <c r="R53" s="976"/>
      <c r="S53" s="977"/>
      <c r="T53" s="1543"/>
      <c r="U53" s="1337"/>
      <c r="V53" s="72">
        <f>IF(AND(Q53="ja",R53=""),1,0)</f>
        <v>0</v>
      </c>
      <c r="Y53" s="74"/>
      <c r="Z53" s="77"/>
      <c r="AA53" s="78"/>
      <c r="AB53" s="78">
        <f t="shared" si="0"/>
        <v>0</v>
      </c>
      <c r="AC53" s="68"/>
      <c r="AD53" s="68"/>
      <c r="AE53" s="68"/>
      <c r="AF53" s="68"/>
      <c r="AG53" s="68"/>
      <c r="AH53" s="68"/>
      <c r="AI53" s="68"/>
      <c r="AJ53" s="68"/>
      <c r="AK53" s="68"/>
    </row>
    <row r="54" spans="1:37" ht="14.55" thickBot="1" x14ac:dyDescent="0.3">
      <c r="A54" s="1516"/>
      <c r="B54" s="1082" t="s">
        <v>172</v>
      </c>
      <c r="C54" s="1083"/>
      <c r="D54" s="1083"/>
      <c r="E54" s="1083"/>
      <c r="F54" s="1083"/>
      <c r="G54" s="1084"/>
      <c r="H54" s="337"/>
      <c r="I54" s="1361"/>
      <c r="J54" s="1362"/>
      <c r="K54" s="1362"/>
      <c r="L54" s="1534">
        <f>SUM(R39:S53)</f>
        <v>0</v>
      </c>
      <c r="M54" s="1535"/>
      <c r="N54" s="1535"/>
      <c r="O54" s="1535"/>
      <c r="P54" s="1535"/>
      <c r="Q54" s="338"/>
      <c r="R54" s="1495"/>
      <c r="S54" s="1496"/>
      <c r="T54" s="526"/>
      <c r="U54" s="334"/>
      <c r="Y54" s="74"/>
      <c r="Z54" s="152">
        <f>SUM(Z39:Z45)</f>
        <v>0</v>
      </c>
      <c r="AA54" s="77"/>
      <c r="AB54" s="78">
        <f t="shared" si="0"/>
        <v>0</v>
      </c>
      <c r="AC54" s="68"/>
      <c r="AD54" s="68"/>
      <c r="AE54" s="68"/>
      <c r="AF54" s="68"/>
      <c r="AG54" s="68"/>
      <c r="AH54" s="68"/>
      <c r="AI54" s="68"/>
      <c r="AJ54" s="68"/>
      <c r="AK54" s="68"/>
    </row>
    <row r="55" spans="1:37" ht="15.95" customHeight="1" thickBot="1" x14ac:dyDescent="0.3">
      <c r="A55" s="1516"/>
      <c r="B55" s="1497" t="s">
        <v>384</v>
      </c>
      <c r="C55" s="1498"/>
      <c r="D55" s="1498"/>
      <c r="E55" s="1498"/>
      <c r="F55" s="1498"/>
      <c r="G55" s="1498"/>
      <c r="H55" s="1194" t="s">
        <v>100</v>
      </c>
      <c r="I55" s="1016">
        <f>Z78</f>
        <v>0</v>
      </c>
      <c r="J55" s="1027">
        <f>I35*I55</f>
        <v>0</v>
      </c>
      <c r="K55" s="1028"/>
      <c r="L55" s="987"/>
      <c r="M55" s="988"/>
      <c r="N55" s="988"/>
      <c r="O55" s="988"/>
      <c r="P55" s="988"/>
      <c r="Q55" s="1548" t="s">
        <v>100</v>
      </c>
      <c r="R55" s="972"/>
      <c r="S55" s="973"/>
      <c r="T55" s="1543" t="str">
        <f>IFERROR(IF((VLOOKUP(U55,Überblick!$M$125:$N$133,2))="ja","ja","nein"),"")</f>
        <v/>
      </c>
      <c r="U55" s="1337"/>
      <c r="V55" s="72">
        <f>IF(AND(Q55="ja",R55=""),1,0)</f>
        <v>0</v>
      </c>
      <c r="Y55" s="74">
        <v>8.0000000000000002E-3</v>
      </c>
      <c r="Z55" s="77">
        <f>IF(H55="ja",Y55,0)</f>
        <v>0</v>
      </c>
      <c r="AA55" s="78"/>
      <c r="AB55" s="78">
        <f t="shared" si="0"/>
        <v>0</v>
      </c>
      <c r="AC55" s="68"/>
      <c r="AD55" s="68"/>
      <c r="AE55" s="68"/>
      <c r="AF55" s="68"/>
      <c r="AG55" s="68"/>
      <c r="AH55" s="68"/>
      <c r="AI55" s="68"/>
      <c r="AJ55" s="68"/>
      <c r="AK55" s="68"/>
    </row>
    <row r="56" spans="1:37" ht="15" customHeight="1" thickBot="1" x14ac:dyDescent="0.3">
      <c r="A56" s="1516"/>
      <c r="B56" s="1490"/>
      <c r="C56" s="1491"/>
      <c r="D56" s="1491"/>
      <c r="E56" s="1491"/>
      <c r="F56" s="1491"/>
      <c r="G56" s="1491"/>
      <c r="H56" s="983"/>
      <c r="I56" s="1017"/>
      <c r="J56" s="1029"/>
      <c r="K56" s="1030"/>
      <c r="L56" s="984"/>
      <c r="M56" s="985"/>
      <c r="N56" s="985"/>
      <c r="O56" s="985"/>
      <c r="P56" s="985"/>
      <c r="Q56" s="1548"/>
      <c r="R56" s="972"/>
      <c r="S56" s="973"/>
      <c r="T56" s="1543"/>
      <c r="U56" s="1337"/>
      <c r="Y56" s="74"/>
      <c r="Z56" s="77"/>
      <c r="AA56" s="78"/>
      <c r="AB56" s="78">
        <f t="shared" si="0"/>
        <v>0</v>
      </c>
      <c r="AC56" s="68"/>
      <c r="AD56" s="68"/>
      <c r="AE56" s="68"/>
      <c r="AF56" s="68"/>
      <c r="AG56" s="68"/>
      <c r="AH56" s="68"/>
      <c r="AI56" s="68"/>
      <c r="AJ56" s="68"/>
      <c r="AK56" s="68"/>
    </row>
    <row r="57" spans="1:37" s="70" customFormat="1" ht="15" customHeight="1" thickBot="1" x14ac:dyDescent="0.3">
      <c r="A57" s="1516"/>
      <c r="B57" s="1487" t="s">
        <v>385</v>
      </c>
      <c r="C57" s="1488"/>
      <c r="D57" s="1488"/>
      <c r="E57" s="1488"/>
      <c r="F57" s="1488"/>
      <c r="G57" s="1489"/>
      <c r="H57" s="1583" t="s">
        <v>100</v>
      </c>
      <c r="I57" s="1017"/>
      <c r="J57" s="1029"/>
      <c r="K57" s="1030"/>
      <c r="L57" s="984"/>
      <c r="M57" s="985"/>
      <c r="N57" s="985"/>
      <c r="O57" s="985"/>
      <c r="P57" s="985"/>
      <c r="Q57" s="1548"/>
      <c r="R57" s="972"/>
      <c r="S57" s="973"/>
      <c r="T57" s="1543"/>
      <c r="U57" s="1337"/>
      <c r="V57" s="339"/>
      <c r="W57" s="339"/>
      <c r="X57" s="339"/>
      <c r="Y57" s="340">
        <v>5.2499999999999998E-2</v>
      </c>
      <c r="Z57" s="77">
        <f>IF(H57="ja",Y57,0)</f>
        <v>0</v>
      </c>
      <c r="AA57" s="78"/>
      <c r="AB57" s="78">
        <f t="shared" si="0"/>
        <v>0</v>
      </c>
      <c r="AC57" s="341"/>
      <c r="AD57" s="341"/>
      <c r="AE57" s="341"/>
      <c r="AF57" s="341"/>
      <c r="AG57" s="341"/>
      <c r="AH57" s="341"/>
      <c r="AI57" s="341"/>
      <c r="AJ57" s="341"/>
      <c r="AK57" s="341"/>
    </row>
    <row r="58" spans="1:37" s="70" customFormat="1" ht="15" customHeight="1" thickBot="1" x14ac:dyDescent="0.3">
      <c r="A58" s="1516"/>
      <c r="B58" s="1493"/>
      <c r="C58" s="1317"/>
      <c r="D58" s="1317"/>
      <c r="E58" s="1317"/>
      <c r="F58" s="1317"/>
      <c r="G58" s="1494"/>
      <c r="H58" s="1584"/>
      <c r="I58" s="1017"/>
      <c r="J58" s="1029"/>
      <c r="K58" s="1030"/>
      <c r="L58" s="984"/>
      <c r="M58" s="985"/>
      <c r="N58" s="985"/>
      <c r="O58" s="985"/>
      <c r="P58" s="985"/>
      <c r="Q58" s="1548" t="s">
        <v>100</v>
      </c>
      <c r="R58" s="972"/>
      <c r="S58" s="973"/>
      <c r="T58" s="1543"/>
      <c r="U58" s="1337"/>
      <c r="V58" s="72">
        <f>IF(AND(Q58="ja",R58=""),1,0)</f>
        <v>0</v>
      </c>
      <c r="W58" s="339"/>
      <c r="X58" s="339"/>
      <c r="Y58" s="340"/>
      <c r="Z58" s="207"/>
      <c r="AA58" s="78"/>
      <c r="AB58" s="78">
        <f t="shared" si="0"/>
        <v>0</v>
      </c>
      <c r="AC58" s="341"/>
      <c r="AD58" s="341"/>
      <c r="AE58" s="341"/>
      <c r="AF58" s="341"/>
      <c r="AG58" s="341"/>
      <c r="AH58" s="341"/>
      <c r="AI58" s="341"/>
      <c r="AJ58" s="341"/>
      <c r="AK58" s="341"/>
    </row>
    <row r="59" spans="1:37" s="70" customFormat="1" ht="15" customHeight="1" thickBot="1" x14ac:dyDescent="0.3">
      <c r="A59" s="1516"/>
      <c r="B59" s="1493"/>
      <c r="C59" s="1317"/>
      <c r="D59" s="1317"/>
      <c r="E59" s="1317"/>
      <c r="F59" s="1317"/>
      <c r="G59" s="1494"/>
      <c r="H59" s="1584"/>
      <c r="I59" s="1017"/>
      <c r="J59" s="1029"/>
      <c r="K59" s="1030"/>
      <c r="L59" s="984"/>
      <c r="M59" s="985"/>
      <c r="N59" s="985"/>
      <c r="O59" s="985"/>
      <c r="P59" s="985"/>
      <c r="Q59" s="1548"/>
      <c r="R59" s="972"/>
      <c r="S59" s="973"/>
      <c r="T59" s="1543"/>
      <c r="U59" s="1337"/>
      <c r="V59" s="339"/>
      <c r="W59" s="339"/>
      <c r="X59" s="339"/>
      <c r="Y59" s="340"/>
      <c r="Z59" s="207"/>
      <c r="AA59" s="78"/>
      <c r="AB59" s="78">
        <f t="shared" si="0"/>
        <v>0</v>
      </c>
      <c r="AC59" s="341"/>
      <c r="AD59" s="341"/>
      <c r="AE59" s="341"/>
      <c r="AF59" s="341"/>
      <c r="AG59" s="341"/>
      <c r="AH59" s="341"/>
      <c r="AI59" s="341"/>
      <c r="AJ59" s="341"/>
      <c r="AK59" s="341"/>
    </row>
    <row r="60" spans="1:37" s="70" customFormat="1" ht="15" customHeight="1" thickBot="1" x14ac:dyDescent="0.3">
      <c r="A60" s="1516"/>
      <c r="B60" s="1493"/>
      <c r="C60" s="1317"/>
      <c r="D60" s="1317"/>
      <c r="E60" s="1317"/>
      <c r="F60" s="1317"/>
      <c r="G60" s="1494"/>
      <c r="H60" s="1584"/>
      <c r="I60" s="1017"/>
      <c r="J60" s="1029"/>
      <c r="K60" s="1030"/>
      <c r="L60" s="984"/>
      <c r="M60" s="985"/>
      <c r="N60" s="985"/>
      <c r="O60" s="985"/>
      <c r="P60" s="985"/>
      <c r="Q60" s="1548"/>
      <c r="R60" s="972"/>
      <c r="S60" s="973"/>
      <c r="T60" s="1543"/>
      <c r="U60" s="1337"/>
      <c r="V60" s="339"/>
      <c r="W60" s="339"/>
      <c r="X60" s="339"/>
      <c r="Y60" s="340"/>
      <c r="Z60" s="207"/>
      <c r="AA60" s="78"/>
      <c r="AB60" s="78">
        <f t="shared" si="0"/>
        <v>0</v>
      </c>
      <c r="AC60" s="341"/>
      <c r="AD60" s="341"/>
      <c r="AE60" s="341"/>
      <c r="AF60" s="341"/>
      <c r="AG60" s="341"/>
      <c r="AH60" s="341"/>
      <c r="AI60" s="341"/>
      <c r="AJ60" s="341"/>
      <c r="AK60" s="341"/>
    </row>
    <row r="61" spans="1:37" ht="15" customHeight="1" thickBot="1" x14ac:dyDescent="0.3">
      <c r="A61" s="1516"/>
      <c r="B61" s="1493"/>
      <c r="C61" s="1317"/>
      <c r="D61" s="1317"/>
      <c r="E61" s="1317"/>
      <c r="F61" s="1317"/>
      <c r="G61" s="1494"/>
      <c r="H61" s="1584"/>
      <c r="I61" s="1017"/>
      <c r="J61" s="1029"/>
      <c r="K61" s="1030"/>
      <c r="L61" s="984"/>
      <c r="M61" s="985"/>
      <c r="N61" s="985"/>
      <c r="O61" s="985"/>
      <c r="P61" s="985"/>
      <c r="Q61" s="1548" t="s">
        <v>100</v>
      </c>
      <c r="R61" s="972"/>
      <c r="S61" s="973"/>
      <c r="T61" s="1543"/>
      <c r="U61" s="1337"/>
      <c r="V61" s="72">
        <f>IF(AND(Q61="ja",R61=""),1,0)</f>
        <v>0</v>
      </c>
      <c r="Y61" s="340"/>
      <c r="Z61" s="77"/>
      <c r="AA61" s="78"/>
      <c r="AB61" s="78">
        <f t="shared" si="0"/>
        <v>0</v>
      </c>
      <c r="AC61" s="68"/>
      <c r="AD61" s="68"/>
      <c r="AE61" s="68"/>
      <c r="AF61" s="68"/>
      <c r="AG61" s="68"/>
      <c r="AH61" s="68"/>
      <c r="AI61" s="68"/>
      <c r="AJ61" s="68"/>
      <c r="AK61" s="68"/>
    </row>
    <row r="62" spans="1:37" ht="15" customHeight="1" thickBot="1" x14ac:dyDescent="0.3">
      <c r="A62" s="1516"/>
      <c r="B62" s="1493"/>
      <c r="C62" s="1317"/>
      <c r="D62" s="1317"/>
      <c r="E62" s="1317"/>
      <c r="F62" s="1317"/>
      <c r="G62" s="1494"/>
      <c r="H62" s="1584"/>
      <c r="I62" s="1017"/>
      <c r="J62" s="1029"/>
      <c r="K62" s="1030"/>
      <c r="L62" s="984"/>
      <c r="M62" s="985"/>
      <c r="N62" s="985"/>
      <c r="O62" s="985"/>
      <c r="P62" s="985"/>
      <c r="Q62" s="1548"/>
      <c r="R62" s="972"/>
      <c r="S62" s="973"/>
      <c r="T62" s="1543"/>
      <c r="U62" s="1337"/>
      <c r="Y62" s="340"/>
      <c r="Z62" s="77"/>
      <c r="AA62" s="78"/>
      <c r="AB62" s="78">
        <f t="shared" si="0"/>
        <v>0</v>
      </c>
      <c r="AC62" s="68"/>
      <c r="AD62" s="68"/>
      <c r="AE62" s="68"/>
      <c r="AF62" s="68"/>
      <c r="AG62" s="68"/>
      <c r="AH62" s="68"/>
      <c r="AI62" s="68"/>
      <c r="AJ62" s="68"/>
      <c r="AK62" s="68"/>
    </row>
    <row r="63" spans="1:37" ht="15" customHeight="1" thickBot="1" x14ac:dyDescent="0.3">
      <c r="A63" s="1516"/>
      <c r="B63" s="1493"/>
      <c r="C63" s="1317"/>
      <c r="D63" s="1317"/>
      <c r="E63" s="1317"/>
      <c r="F63" s="1317"/>
      <c r="G63" s="1494"/>
      <c r="H63" s="1584"/>
      <c r="I63" s="1017"/>
      <c r="J63" s="1029"/>
      <c r="K63" s="1030"/>
      <c r="L63" s="984"/>
      <c r="M63" s="985"/>
      <c r="N63" s="985"/>
      <c r="O63" s="985"/>
      <c r="P63" s="985"/>
      <c r="Q63" s="1548"/>
      <c r="R63" s="972"/>
      <c r="S63" s="973"/>
      <c r="T63" s="1543"/>
      <c r="U63" s="1337"/>
      <c r="Y63" s="340"/>
      <c r="Z63" s="77"/>
      <c r="AA63" s="78"/>
      <c r="AB63" s="78">
        <f t="shared" si="0"/>
        <v>0</v>
      </c>
      <c r="AC63" s="68"/>
      <c r="AD63" s="68"/>
      <c r="AE63" s="68"/>
      <c r="AF63" s="68"/>
      <c r="AG63" s="68"/>
      <c r="AH63" s="68"/>
      <c r="AI63" s="68"/>
      <c r="AJ63" s="68"/>
      <c r="AK63" s="68"/>
    </row>
    <row r="64" spans="1:37" ht="24.8" customHeight="1" thickBot="1" x14ac:dyDescent="0.3">
      <c r="A64" s="1516"/>
      <c r="B64" s="1490"/>
      <c r="C64" s="1491"/>
      <c r="D64" s="1491"/>
      <c r="E64" s="1491"/>
      <c r="F64" s="1491"/>
      <c r="G64" s="1492"/>
      <c r="H64" s="1585"/>
      <c r="I64" s="1017"/>
      <c r="J64" s="1029"/>
      <c r="K64" s="1030"/>
      <c r="L64" s="984"/>
      <c r="M64" s="985"/>
      <c r="N64" s="985"/>
      <c r="O64" s="985"/>
      <c r="P64" s="985"/>
      <c r="Q64" s="1548" t="s">
        <v>100</v>
      </c>
      <c r="R64" s="972"/>
      <c r="S64" s="973"/>
      <c r="T64" s="1543"/>
      <c r="U64" s="1337"/>
      <c r="V64" s="72">
        <f>IF(AND(Q64="ja",R64=""),1,0)</f>
        <v>0</v>
      </c>
      <c r="Y64" s="340"/>
      <c r="Z64" s="77"/>
      <c r="AA64" s="78"/>
      <c r="AB64" s="78">
        <f t="shared" si="0"/>
        <v>0</v>
      </c>
      <c r="AC64" s="68"/>
      <c r="AD64" s="68"/>
      <c r="AE64" s="68"/>
      <c r="AF64" s="68"/>
      <c r="AG64" s="68"/>
      <c r="AH64" s="68"/>
      <c r="AI64" s="68"/>
      <c r="AJ64" s="68"/>
      <c r="AK64" s="68"/>
    </row>
    <row r="65" spans="1:37" ht="15" customHeight="1" thickBot="1" x14ac:dyDescent="0.3">
      <c r="A65" s="1516"/>
      <c r="B65" s="1487" t="s">
        <v>386</v>
      </c>
      <c r="C65" s="1488"/>
      <c r="D65" s="1488"/>
      <c r="E65" s="1488"/>
      <c r="F65" s="1488"/>
      <c r="G65" s="1489"/>
      <c r="H65" s="981" t="s">
        <v>100</v>
      </c>
      <c r="I65" s="1017"/>
      <c r="J65" s="1029"/>
      <c r="K65" s="1030"/>
      <c r="L65" s="984"/>
      <c r="M65" s="985"/>
      <c r="N65" s="985"/>
      <c r="O65" s="985"/>
      <c r="P65" s="985"/>
      <c r="Q65" s="1548"/>
      <c r="R65" s="972"/>
      <c r="S65" s="973"/>
      <c r="T65" s="1543"/>
      <c r="U65" s="1337"/>
      <c r="V65" s="339"/>
      <c r="Y65" s="74">
        <v>0.01</v>
      </c>
      <c r="Z65" s="77">
        <f>IF(H65="ja",Y65,0)</f>
        <v>0</v>
      </c>
      <c r="AA65" s="78"/>
      <c r="AB65" s="78">
        <f t="shared" si="0"/>
        <v>0</v>
      </c>
      <c r="AC65" s="68"/>
      <c r="AD65" s="68"/>
      <c r="AE65" s="68"/>
      <c r="AF65" s="68"/>
      <c r="AG65" s="68"/>
      <c r="AH65" s="68"/>
      <c r="AI65" s="68"/>
      <c r="AJ65" s="68"/>
      <c r="AK65" s="68"/>
    </row>
    <row r="66" spans="1:37" ht="15" customHeight="1" thickBot="1" x14ac:dyDescent="0.3">
      <c r="A66" s="1516"/>
      <c r="B66" s="1490"/>
      <c r="C66" s="1491"/>
      <c r="D66" s="1491"/>
      <c r="E66" s="1491"/>
      <c r="F66" s="1491"/>
      <c r="G66" s="1492"/>
      <c r="H66" s="983"/>
      <c r="I66" s="1017"/>
      <c r="J66" s="1029"/>
      <c r="K66" s="1030"/>
      <c r="L66" s="984"/>
      <c r="M66" s="985"/>
      <c r="N66" s="985"/>
      <c r="O66" s="985"/>
      <c r="P66" s="985"/>
      <c r="Q66" s="1548"/>
      <c r="R66" s="972"/>
      <c r="S66" s="973"/>
      <c r="T66" s="1543"/>
      <c r="U66" s="1337"/>
      <c r="V66" s="339"/>
      <c r="Y66" s="74"/>
      <c r="Z66" s="77"/>
      <c r="AA66" s="78"/>
      <c r="AB66" s="78">
        <f t="shared" si="0"/>
        <v>0</v>
      </c>
      <c r="AC66" s="68"/>
      <c r="AD66" s="68"/>
      <c r="AE66" s="68"/>
      <c r="AF66" s="68"/>
      <c r="AG66" s="68"/>
      <c r="AH66" s="68"/>
      <c r="AI66" s="68"/>
      <c r="AJ66" s="68"/>
      <c r="AK66" s="68"/>
    </row>
    <row r="67" spans="1:37" ht="15" customHeight="1" thickBot="1" x14ac:dyDescent="0.3">
      <c r="A67" s="1516"/>
      <c r="B67" s="1487" t="s">
        <v>387</v>
      </c>
      <c r="C67" s="1488"/>
      <c r="D67" s="1488"/>
      <c r="E67" s="1488"/>
      <c r="F67" s="1488"/>
      <c r="G67" s="1489"/>
      <c r="H67" s="981" t="s">
        <v>100</v>
      </c>
      <c r="I67" s="1017"/>
      <c r="J67" s="1029"/>
      <c r="K67" s="1030"/>
      <c r="L67" s="984"/>
      <c r="M67" s="985"/>
      <c r="N67" s="985"/>
      <c r="O67" s="985"/>
      <c r="P67" s="985"/>
      <c r="Q67" s="1548" t="s">
        <v>100</v>
      </c>
      <c r="R67" s="972"/>
      <c r="S67" s="973"/>
      <c r="T67" s="1543"/>
      <c r="U67" s="1337"/>
      <c r="V67" s="72">
        <f>IF(AND(Q67="ja",R67=""),1,0)</f>
        <v>0</v>
      </c>
      <c r="Y67" s="74">
        <v>8.0000000000000002E-3</v>
      </c>
      <c r="Z67" s="77">
        <f>IF(H67="ja",Y67,0)</f>
        <v>0</v>
      </c>
      <c r="AA67" s="78"/>
      <c r="AB67" s="78">
        <f t="shared" si="0"/>
        <v>0</v>
      </c>
      <c r="AC67" s="68"/>
      <c r="AD67" s="68"/>
      <c r="AE67" s="68"/>
      <c r="AF67" s="68"/>
      <c r="AG67" s="68"/>
      <c r="AH67" s="68"/>
      <c r="AI67" s="68"/>
      <c r="AJ67" s="68"/>
      <c r="AK67" s="68"/>
    </row>
    <row r="68" spans="1:37" ht="15" customHeight="1" thickBot="1" x14ac:dyDescent="0.3">
      <c r="A68" s="1516"/>
      <c r="B68" s="1493"/>
      <c r="C68" s="1317"/>
      <c r="D68" s="1317"/>
      <c r="E68" s="1317"/>
      <c r="F68" s="1317"/>
      <c r="G68" s="1494"/>
      <c r="H68" s="982"/>
      <c r="I68" s="1017"/>
      <c r="J68" s="1029"/>
      <c r="K68" s="1030"/>
      <c r="L68" s="984"/>
      <c r="M68" s="985"/>
      <c r="N68" s="985"/>
      <c r="O68" s="985"/>
      <c r="P68" s="985"/>
      <c r="Q68" s="1548"/>
      <c r="R68" s="972"/>
      <c r="S68" s="973"/>
      <c r="T68" s="1543"/>
      <c r="U68" s="1337"/>
      <c r="Y68" s="74"/>
      <c r="Z68" s="77"/>
      <c r="AA68" s="78"/>
      <c r="AB68" s="78">
        <f t="shared" si="0"/>
        <v>0</v>
      </c>
      <c r="AC68" s="68"/>
      <c r="AD68" s="68"/>
      <c r="AE68" s="68"/>
      <c r="AF68" s="68"/>
      <c r="AG68" s="68"/>
      <c r="AH68" s="68"/>
      <c r="AI68" s="68"/>
      <c r="AJ68" s="68"/>
      <c r="AK68" s="68"/>
    </row>
    <row r="69" spans="1:37" ht="15" customHeight="1" thickBot="1" x14ac:dyDescent="0.3">
      <c r="A69" s="1516"/>
      <c r="B69" s="1493"/>
      <c r="C69" s="1317"/>
      <c r="D69" s="1317"/>
      <c r="E69" s="1317"/>
      <c r="F69" s="1317"/>
      <c r="G69" s="1494"/>
      <c r="H69" s="982"/>
      <c r="I69" s="1017"/>
      <c r="J69" s="1029"/>
      <c r="K69" s="1030"/>
      <c r="L69" s="984"/>
      <c r="M69" s="985"/>
      <c r="N69" s="985"/>
      <c r="O69" s="985"/>
      <c r="P69" s="985"/>
      <c r="Q69" s="1548"/>
      <c r="R69" s="972"/>
      <c r="S69" s="973"/>
      <c r="T69" s="1543"/>
      <c r="U69" s="1337"/>
      <c r="Y69" s="74"/>
      <c r="Z69" s="77"/>
      <c r="AA69" s="78"/>
      <c r="AB69" s="78">
        <f t="shared" si="0"/>
        <v>0</v>
      </c>
      <c r="AC69" s="68"/>
      <c r="AD69" s="68"/>
      <c r="AE69" s="68"/>
      <c r="AF69" s="68"/>
      <c r="AG69" s="68"/>
      <c r="AH69" s="68"/>
      <c r="AI69" s="68"/>
      <c r="AJ69" s="68"/>
      <c r="AK69" s="68"/>
    </row>
    <row r="70" spans="1:37" ht="15" customHeight="1" thickBot="1" x14ac:dyDescent="0.3">
      <c r="A70" s="1516"/>
      <c r="B70" s="1490"/>
      <c r="C70" s="1491"/>
      <c r="D70" s="1491"/>
      <c r="E70" s="1491"/>
      <c r="F70" s="1491"/>
      <c r="G70" s="1492"/>
      <c r="H70" s="983"/>
      <c r="I70" s="1017"/>
      <c r="J70" s="1029"/>
      <c r="K70" s="1030"/>
      <c r="L70" s="984"/>
      <c r="M70" s="985"/>
      <c r="N70" s="985"/>
      <c r="O70" s="985"/>
      <c r="P70" s="985"/>
      <c r="Q70" s="1548" t="s">
        <v>100</v>
      </c>
      <c r="R70" s="972"/>
      <c r="S70" s="973"/>
      <c r="T70" s="1543"/>
      <c r="U70" s="1337"/>
      <c r="V70" s="72">
        <f>IF(AND(Q70="ja",R70=""),1,0)</f>
        <v>0</v>
      </c>
      <c r="Y70" s="74"/>
      <c r="Z70" s="77"/>
      <c r="AA70" s="78"/>
      <c r="AB70" s="78">
        <f t="shared" si="0"/>
        <v>0</v>
      </c>
      <c r="AC70" s="68"/>
      <c r="AD70" s="68"/>
      <c r="AE70" s="68"/>
      <c r="AF70" s="68"/>
      <c r="AG70" s="68"/>
      <c r="AH70" s="68"/>
      <c r="AI70" s="68"/>
      <c r="AJ70" s="68"/>
      <c r="AK70" s="68"/>
    </row>
    <row r="71" spans="1:37" ht="15" customHeight="1" thickBot="1" x14ac:dyDescent="0.3">
      <c r="A71" s="1516"/>
      <c r="B71" s="1487" t="s">
        <v>388</v>
      </c>
      <c r="C71" s="1488"/>
      <c r="D71" s="1488"/>
      <c r="E71" s="1488"/>
      <c r="F71" s="1488"/>
      <c r="G71" s="1489"/>
      <c r="H71" s="981" t="s">
        <v>100</v>
      </c>
      <c r="I71" s="1017"/>
      <c r="J71" s="1029"/>
      <c r="K71" s="1030"/>
      <c r="L71" s="984"/>
      <c r="M71" s="985"/>
      <c r="N71" s="985"/>
      <c r="O71" s="985"/>
      <c r="P71" s="985"/>
      <c r="Q71" s="1548"/>
      <c r="R71" s="972"/>
      <c r="S71" s="973"/>
      <c r="T71" s="1543"/>
      <c r="U71" s="1337"/>
      <c r="V71" s="339"/>
      <c r="Y71" s="74">
        <v>2E-3</v>
      </c>
      <c r="Z71" s="77">
        <f>IF(H71="ja",Y71,0)</f>
        <v>0</v>
      </c>
      <c r="AA71" s="78"/>
      <c r="AB71" s="78">
        <f t="shared" si="0"/>
        <v>0</v>
      </c>
      <c r="AC71" s="68"/>
      <c r="AD71" s="68"/>
      <c r="AE71" s="68"/>
      <c r="AF71" s="68"/>
      <c r="AG71" s="68"/>
      <c r="AH71" s="68"/>
      <c r="AI71" s="68"/>
      <c r="AJ71" s="68"/>
      <c r="AK71" s="68"/>
    </row>
    <row r="72" spans="1:37" ht="15" customHeight="1" thickBot="1" x14ac:dyDescent="0.3">
      <c r="A72" s="1516"/>
      <c r="B72" s="1493"/>
      <c r="C72" s="1317"/>
      <c r="D72" s="1317"/>
      <c r="E72" s="1317"/>
      <c r="F72" s="1317"/>
      <c r="G72" s="1494"/>
      <c r="H72" s="982"/>
      <c r="I72" s="1017"/>
      <c r="J72" s="1029"/>
      <c r="K72" s="1030"/>
      <c r="L72" s="984"/>
      <c r="M72" s="985"/>
      <c r="N72" s="985"/>
      <c r="O72" s="985"/>
      <c r="P72" s="985"/>
      <c r="Q72" s="1548"/>
      <c r="R72" s="972"/>
      <c r="S72" s="973"/>
      <c r="T72" s="1543"/>
      <c r="U72" s="1337"/>
      <c r="V72" s="339"/>
      <c r="Y72" s="74"/>
      <c r="Z72" s="77"/>
      <c r="AA72" s="78"/>
      <c r="AB72" s="78">
        <f t="shared" si="0"/>
        <v>0</v>
      </c>
      <c r="AC72" s="68"/>
      <c r="AD72" s="68"/>
      <c r="AE72" s="68"/>
      <c r="AF72" s="68"/>
      <c r="AG72" s="68"/>
      <c r="AH72" s="68"/>
      <c r="AI72" s="68"/>
      <c r="AJ72" s="68"/>
      <c r="AK72" s="68"/>
    </row>
    <row r="73" spans="1:37" ht="15" customHeight="1" thickBot="1" x14ac:dyDescent="0.3">
      <c r="A73" s="1516"/>
      <c r="B73" s="1490"/>
      <c r="C73" s="1491"/>
      <c r="D73" s="1491"/>
      <c r="E73" s="1491"/>
      <c r="F73" s="1491"/>
      <c r="G73" s="1492"/>
      <c r="H73" s="983"/>
      <c r="I73" s="1017"/>
      <c r="J73" s="1029"/>
      <c r="K73" s="1030"/>
      <c r="L73" s="984"/>
      <c r="M73" s="985"/>
      <c r="N73" s="985"/>
      <c r="O73" s="985"/>
      <c r="P73" s="985"/>
      <c r="Q73" s="1548" t="s">
        <v>100</v>
      </c>
      <c r="R73" s="972"/>
      <c r="S73" s="973"/>
      <c r="T73" s="1543"/>
      <c r="U73" s="1337"/>
      <c r="V73" s="72">
        <f>IF(AND(Q73="ja",R73=""),1,0)</f>
        <v>0</v>
      </c>
      <c r="Y73" s="74"/>
      <c r="Z73" s="77"/>
      <c r="AA73" s="78"/>
      <c r="AB73" s="78">
        <f t="shared" si="0"/>
        <v>0</v>
      </c>
      <c r="AC73" s="68"/>
      <c r="AD73" s="68"/>
      <c r="AE73" s="68"/>
      <c r="AF73" s="68"/>
      <c r="AG73" s="68"/>
      <c r="AH73" s="68"/>
      <c r="AI73" s="68"/>
      <c r="AJ73" s="68"/>
      <c r="AK73" s="68"/>
    </row>
    <row r="74" spans="1:37" ht="15" customHeight="1" thickBot="1" x14ac:dyDescent="0.3">
      <c r="A74" s="1516"/>
      <c r="B74" s="1487" t="s">
        <v>389</v>
      </c>
      <c r="C74" s="1488"/>
      <c r="D74" s="1488"/>
      <c r="E74" s="1488"/>
      <c r="F74" s="1488"/>
      <c r="G74" s="1489"/>
      <c r="H74" s="981" t="s">
        <v>100</v>
      </c>
      <c r="I74" s="1017"/>
      <c r="J74" s="1029"/>
      <c r="K74" s="1030"/>
      <c r="L74" s="984"/>
      <c r="M74" s="985"/>
      <c r="N74" s="985"/>
      <c r="O74" s="985"/>
      <c r="P74" s="985"/>
      <c r="Q74" s="1548"/>
      <c r="R74" s="972"/>
      <c r="S74" s="973"/>
      <c r="T74" s="1543"/>
      <c r="U74" s="1337"/>
      <c r="Y74" s="74">
        <v>7.0000000000000001E-3</v>
      </c>
      <c r="Z74" s="77">
        <f>IF(H74="ja",Y74,0)</f>
        <v>0</v>
      </c>
      <c r="AA74" s="78"/>
      <c r="AB74" s="78">
        <f t="shared" si="0"/>
        <v>0</v>
      </c>
      <c r="AC74" s="68"/>
      <c r="AD74" s="68"/>
      <c r="AE74" s="68"/>
      <c r="AF74" s="68"/>
      <c r="AG74" s="68"/>
      <c r="AH74" s="68"/>
      <c r="AI74" s="68"/>
      <c r="AJ74" s="68"/>
      <c r="AK74" s="68"/>
    </row>
    <row r="75" spans="1:37" ht="15" customHeight="1" thickBot="1" x14ac:dyDescent="0.3">
      <c r="A75" s="1516"/>
      <c r="B75" s="1490"/>
      <c r="C75" s="1491"/>
      <c r="D75" s="1491"/>
      <c r="E75" s="1491"/>
      <c r="F75" s="1491"/>
      <c r="G75" s="1492"/>
      <c r="H75" s="983"/>
      <c r="I75" s="1017"/>
      <c r="J75" s="1029"/>
      <c r="K75" s="1030"/>
      <c r="L75" s="984"/>
      <c r="M75" s="985"/>
      <c r="N75" s="985"/>
      <c r="O75" s="985"/>
      <c r="P75" s="985"/>
      <c r="Q75" s="1548"/>
      <c r="R75" s="972"/>
      <c r="S75" s="973"/>
      <c r="T75" s="1543"/>
      <c r="U75" s="1337"/>
      <c r="Y75" s="74"/>
      <c r="Z75" s="77"/>
      <c r="AA75" s="78"/>
      <c r="AB75" s="78">
        <f t="shared" si="0"/>
        <v>0</v>
      </c>
      <c r="AC75" s="68"/>
      <c r="AD75" s="68"/>
      <c r="AE75" s="68"/>
      <c r="AF75" s="68"/>
      <c r="AG75" s="68"/>
      <c r="AH75" s="68"/>
      <c r="AI75" s="68"/>
      <c r="AJ75" s="68"/>
      <c r="AK75" s="68"/>
    </row>
    <row r="76" spans="1:37" ht="15" customHeight="1" thickBot="1" x14ac:dyDescent="0.3">
      <c r="A76" s="1516"/>
      <c r="B76" s="1487" t="s">
        <v>171</v>
      </c>
      <c r="C76" s="1488"/>
      <c r="D76" s="1488"/>
      <c r="E76" s="1488"/>
      <c r="F76" s="1488"/>
      <c r="G76" s="1489"/>
      <c r="H76" s="981" t="s">
        <v>100</v>
      </c>
      <c r="I76" s="1017"/>
      <c r="J76" s="1029"/>
      <c r="K76" s="1030"/>
      <c r="L76" s="1539"/>
      <c r="M76" s="1540"/>
      <c r="N76" s="1540"/>
      <c r="O76" s="1540"/>
      <c r="P76" s="1540"/>
      <c r="Q76" s="1548" t="s">
        <v>100</v>
      </c>
      <c r="R76" s="972"/>
      <c r="S76" s="973"/>
      <c r="T76" s="1543"/>
      <c r="U76" s="1337"/>
      <c r="V76" s="72">
        <f>IF(AND(Q76="ja",R76=""),1,0)</f>
        <v>0</v>
      </c>
      <c r="Y76" s="74">
        <v>2.5000000000000001E-3</v>
      </c>
      <c r="Z76" s="77">
        <f>IF(H76="ja",Y76,0)</f>
        <v>0</v>
      </c>
      <c r="AA76" s="78"/>
      <c r="AB76" s="78">
        <f t="shared" si="0"/>
        <v>0</v>
      </c>
      <c r="AC76" s="68"/>
      <c r="AD76" s="68"/>
      <c r="AE76" s="68"/>
      <c r="AF76" s="68"/>
      <c r="AG76" s="68"/>
      <c r="AH76" s="68"/>
      <c r="AI76" s="68"/>
      <c r="AJ76" s="68"/>
      <c r="AK76" s="68"/>
    </row>
    <row r="77" spans="1:37" ht="15" customHeight="1" thickBot="1" x14ac:dyDescent="0.3">
      <c r="A77" s="1516"/>
      <c r="B77" s="1490"/>
      <c r="C77" s="1491"/>
      <c r="D77" s="1491"/>
      <c r="E77" s="1491"/>
      <c r="F77" s="1491"/>
      <c r="G77" s="1492"/>
      <c r="H77" s="983"/>
      <c r="I77" s="1018"/>
      <c r="J77" s="1031"/>
      <c r="K77" s="1032"/>
      <c r="L77" s="1559"/>
      <c r="M77" s="1560"/>
      <c r="N77" s="1560"/>
      <c r="O77" s="1560"/>
      <c r="P77" s="1560"/>
      <c r="Q77" s="1548"/>
      <c r="R77" s="974"/>
      <c r="S77" s="975"/>
      <c r="T77" s="1543"/>
      <c r="U77" s="1337"/>
      <c r="Y77" s="74"/>
      <c r="Z77" s="77"/>
      <c r="AA77" s="78"/>
      <c r="AB77" s="78">
        <f t="shared" si="0"/>
        <v>0</v>
      </c>
      <c r="AC77" s="68"/>
      <c r="AD77" s="68"/>
      <c r="AE77" s="68"/>
      <c r="AF77" s="68"/>
      <c r="AG77" s="68"/>
      <c r="AH77" s="68"/>
      <c r="AI77" s="68"/>
      <c r="AJ77" s="68"/>
      <c r="AK77" s="68"/>
    </row>
    <row r="78" spans="1:37" ht="15.95" customHeight="1" thickBot="1" x14ac:dyDescent="0.3">
      <c r="A78" s="1516"/>
      <c r="B78" s="1035" t="s">
        <v>154</v>
      </c>
      <c r="C78" s="1036"/>
      <c r="D78" s="1036"/>
      <c r="E78" s="1036"/>
      <c r="F78" s="1036"/>
      <c r="G78" s="1036"/>
      <c r="H78" s="1161"/>
      <c r="I78" s="1035">
        <f>IF(J19="Kostenschätzung liegt noch nicht vor",I35,J19)</f>
        <v>0</v>
      </c>
      <c r="J78" s="1036"/>
      <c r="K78" s="1037"/>
      <c r="L78" s="1561">
        <f>SUM(R55:S77)</f>
        <v>0</v>
      </c>
      <c r="M78" s="1562"/>
      <c r="N78" s="1562"/>
      <c r="O78" s="1562"/>
      <c r="P78" s="1562"/>
      <c r="Q78" s="1549"/>
      <c r="R78" s="1612"/>
      <c r="S78" s="1613"/>
      <c r="T78" s="1567"/>
      <c r="U78" s="1610"/>
      <c r="Y78" s="74"/>
      <c r="Z78" s="152">
        <f>SUM(Z55:Z76)</f>
        <v>0</v>
      </c>
      <c r="AA78" s="77"/>
      <c r="AB78" s="78">
        <f t="shared" si="0"/>
        <v>0</v>
      </c>
      <c r="AC78" s="68"/>
      <c r="AD78" s="68"/>
      <c r="AE78" s="68"/>
      <c r="AF78" s="68"/>
      <c r="AG78" s="68"/>
      <c r="AH78" s="68"/>
      <c r="AI78" s="68"/>
      <c r="AJ78" s="68"/>
      <c r="AK78" s="68"/>
    </row>
    <row r="79" spans="1:37" ht="14.55" thickBot="1" x14ac:dyDescent="0.3">
      <c r="A79" s="1516"/>
      <c r="B79" s="1038"/>
      <c r="C79" s="1039"/>
      <c r="D79" s="1039"/>
      <c r="E79" s="1039"/>
      <c r="F79" s="1039"/>
      <c r="G79" s="1039"/>
      <c r="H79" s="1162"/>
      <c r="I79" s="1038"/>
      <c r="J79" s="1039"/>
      <c r="K79" s="1040"/>
      <c r="L79" s="1563"/>
      <c r="M79" s="1564"/>
      <c r="N79" s="1564"/>
      <c r="O79" s="1564"/>
      <c r="P79" s="1564"/>
      <c r="Q79" s="1550"/>
      <c r="R79" s="1614"/>
      <c r="S79" s="1615"/>
      <c r="T79" s="1568"/>
      <c r="U79" s="1610"/>
      <c r="AA79" s="78"/>
      <c r="AB79" s="78">
        <f t="shared" si="0"/>
        <v>0</v>
      </c>
      <c r="AC79" s="68"/>
      <c r="AD79" s="68"/>
      <c r="AE79" s="68"/>
      <c r="AF79" s="68"/>
      <c r="AG79" s="68"/>
      <c r="AH79" s="68"/>
      <c r="AI79" s="68"/>
      <c r="AJ79" s="68"/>
      <c r="AK79" s="68"/>
    </row>
    <row r="80" spans="1:37" ht="14.55" thickBot="1" x14ac:dyDescent="0.3">
      <c r="A80" s="1516"/>
      <c r="B80" s="1041"/>
      <c r="C80" s="1042"/>
      <c r="D80" s="1042"/>
      <c r="E80" s="1042"/>
      <c r="F80" s="1042"/>
      <c r="G80" s="1042"/>
      <c r="H80" s="1163"/>
      <c r="I80" s="1041"/>
      <c r="J80" s="1042"/>
      <c r="K80" s="1043"/>
      <c r="L80" s="1565"/>
      <c r="M80" s="1566"/>
      <c r="N80" s="1566"/>
      <c r="O80" s="1566"/>
      <c r="P80" s="1566"/>
      <c r="Q80" s="1551"/>
      <c r="R80" s="1616"/>
      <c r="S80" s="1617"/>
      <c r="T80" s="1569"/>
      <c r="U80" s="1610"/>
      <c r="AA80" s="78"/>
      <c r="AB80" s="78">
        <f t="shared" si="0"/>
        <v>0</v>
      </c>
      <c r="AC80" s="68"/>
      <c r="AD80" s="68"/>
      <c r="AE80" s="68"/>
      <c r="AF80" s="68"/>
      <c r="AG80" s="68"/>
      <c r="AH80" s="68"/>
      <c r="AI80" s="68"/>
      <c r="AJ80" s="68"/>
      <c r="AK80" s="68"/>
    </row>
    <row r="81" spans="1:37" ht="14.55" thickBot="1" x14ac:dyDescent="0.3">
      <c r="A81" s="1516"/>
      <c r="B81" s="1511" t="s">
        <v>390</v>
      </c>
      <c r="C81" s="1512"/>
      <c r="D81" s="1512"/>
      <c r="E81" s="1512"/>
      <c r="F81" s="1512"/>
      <c r="G81" s="1512"/>
      <c r="H81" s="337"/>
      <c r="I81" s="1536"/>
      <c r="J81" s="1302"/>
      <c r="K81" s="1303"/>
      <c r="L81" s="1558"/>
      <c r="M81" s="1302"/>
      <c r="N81" s="1302"/>
      <c r="O81" s="1302"/>
      <c r="P81" s="1302"/>
      <c r="Q81" s="338"/>
      <c r="R81" s="1495"/>
      <c r="S81" s="1496"/>
      <c r="T81" s="334"/>
      <c r="U81" s="334"/>
      <c r="AA81" s="78"/>
      <c r="AB81" s="78">
        <f t="shared" si="0"/>
        <v>0</v>
      </c>
      <c r="AC81" s="68"/>
      <c r="AD81" s="68"/>
      <c r="AE81" s="68"/>
      <c r="AF81" s="68"/>
      <c r="AG81" s="68"/>
      <c r="AH81" s="68"/>
      <c r="AI81" s="68"/>
      <c r="AJ81" s="68"/>
      <c r="AK81" s="68"/>
    </row>
    <row r="82" spans="1:37" ht="15" customHeight="1" thickBot="1" x14ac:dyDescent="0.3">
      <c r="A82" s="1516"/>
      <c r="B82" s="1497" t="s">
        <v>391</v>
      </c>
      <c r="C82" s="1498"/>
      <c r="D82" s="1498"/>
      <c r="E82" s="1498"/>
      <c r="F82" s="1498"/>
      <c r="G82" s="1499"/>
      <c r="H82" s="1194" t="s">
        <v>100</v>
      </c>
      <c r="I82" s="1016">
        <f>Z115</f>
        <v>0</v>
      </c>
      <c r="J82" s="1027">
        <f>I78*I82</f>
        <v>0</v>
      </c>
      <c r="K82" s="1028"/>
      <c r="L82" s="987" t="s">
        <v>392</v>
      </c>
      <c r="M82" s="988"/>
      <c r="N82" s="988"/>
      <c r="O82" s="988"/>
      <c r="P82" s="988"/>
      <c r="Q82" s="1548" t="s">
        <v>100</v>
      </c>
      <c r="R82" s="972"/>
      <c r="S82" s="973"/>
      <c r="T82" s="1257" t="str">
        <f>IFERROR(IF((VLOOKUP(U82,Überblick!$M$125:$N$133,2))="ja","ja","nein"),"")</f>
        <v/>
      </c>
      <c r="U82" s="1337"/>
      <c r="V82" s="72">
        <f>IF(AND(Q82="ja",R82=""),1,0)</f>
        <v>0</v>
      </c>
      <c r="Y82" s="74">
        <v>5.5E-2</v>
      </c>
      <c r="Z82" s="77">
        <f>IF(H82="ja",Y82,0)</f>
        <v>0</v>
      </c>
      <c r="AA82" s="78"/>
      <c r="AB82" s="78">
        <f t="shared" si="0"/>
        <v>0</v>
      </c>
      <c r="AC82" s="68"/>
      <c r="AD82" s="68"/>
      <c r="AE82" s="68"/>
      <c r="AF82" s="68"/>
      <c r="AG82" s="68"/>
      <c r="AH82" s="68"/>
      <c r="AI82" s="68"/>
      <c r="AJ82" s="68"/>
      <c r="AK82" s="68"/>
    </row>
    <row r="83" spans="1:37" ht="15" customHeight="1" thickBot="1" x14ac:dyDescent="0.3">
      <c r="A83" s="1516"/>
      <c r="B83" s="1493"/>
      <c r="C83" s="1317"/>
      <c r="D83" s="1317"/>
      <c r="E83" s="1317"/>
      <c r="F83" s="1317"/>
      <c r="G83" s="1494"/>
      <c r="H83" s="982"/>
      <c r="I83" s="1017"/>
      <c r="J83" s="1029"/>
      <c r="K83" s="1030"/>
      <c r="L83" s="984"/>
      <c r="M83" s="985"/>
      <c r="N83" s="985"/>
      <c r="O83" s="985"/>
      <c r="P83" s="985"/>
      <c r="Q83" s="1548"/>
      <c r="R83" s="972"/>
      <c r="S83" s="973"/>
      <c r="T83" s="1258"/>
      <c r="U83" s="1337"/>
      <c r="V83" s="339"/>
      <c r="Y83" s="74"/>
      <c r="Z83" s="77"/>
      <c r="AA83" s="78"/>
      <c r="AB83" s="78">
        <f t="shared" si="0"/>
        <v>0</v>
      </c>
      <c r="AC83" s="68"/>
      <c r="AD83" s="68"/>
      <c r="AE83" s="68"/>
      <c r="AF83" s="68"/>
      <c r="AG83" s="68"/>
      <c r="AH83" s="68"/>
      <c r="AI83" s="68"/>
      <c r="AJ83" s="68"/>
      <c r="AK83" s="68"/>
    </row>
    <row r="84" spans="1:37" ht="15" customHeight="1" thickBot="1" x14ac:dyDescent="0.3">
      <c r="A84" s="1516"/>
      <c r="B84" s="1493"/>
      <c r="C84" s="1317"/>
      <c r="D84" s="1317"/>
      <c r="E84" s="1317"/>
      <c r="F84" s="1317"/>
      <c r="G84" s="1494"/>
      <c r="H84" s="982"/>
      <c r="I84" s="1017"/>
      <c r="J84" s="1029"/>
      <c r="K84" s="1030"/>
      <c r="L84" s="984"/>
      <c r="M84" s="985"/>
      <c r="N84" s="985"/>
      <c r="O84" s="985"/>
      <c r="P84" s="985"/>
      <c r="Q84" s="1548"/>
      <c r="R84" s="972"/>
      <c r="S84" s="973"/>
      <c r="T84" s="1258"/>
      <c r="U84" s="1337"/>
      <c r="V84" s="339"/>
      <c r="Y84" s="74"/>
      <c r="Z84" s="77"/>
      <c r="AA84" s="78"/>
      <c r="AB84" s="78">
        <f t="shared" si="0"/>
        <v>0</v>
      </c>
      <c r="AC84" s="68"/>
      <c r="AD84" s="68"/>
      <c r="AE84" s="68"/>
      <c r="AF84" s="68"/>
      <c r="AG84" s="68"/>
      <c r="AH84" s="68"/>
      <c r="AI84" s="68"/>
      <c r="AJ84" s="68"/>
      <c r="AK84" s="68"/>
    </row>
    <row r="85" spans="1:37" ht="15" customHeight="1" thickBot="1" x14ac:dyDescent="0.3">
      <c r="A85" s="1516"/>
      <c r="B85" s="1493"/>
      <c r="C85" s="1317"/>
      <c r="D85" s="1317"/>
      <c r="E85" s="1317"/>
      <c r="F85" s="1317"/>
      <c r="G85" s="1494"/>
      <c r="H85" s="982"/>
      <c r="I85" s="1017"/>
      <c r="J85" s="1029"/>
      <c r="K85" s="1030"/>
      <c r="L85" s="984" t="s">
        <v>393</v>
      </c>
      <c r="M85" s="985"/>
      <c r="N85" s="985"/>
      <c r="O85" s="985"/>
      <c r="P85" s="985"/>
      <c r="Q85" s="1548" t="s">
        <v>100</v>
      </c>
      <c r="R85" s="972"/>
      <c r="S85" s="973"/>
      <c r="T85" s="1258"/>
      <c r="U85" s="1337"/>
      <c r="V85" s="72">
        <f>IF(AND(Q85="ja",R85=""),1,0)</f>
        <v>0</v>
      </c>
      <c r="Y85" s="74"/>
      <c r="Z85" s="77"/>
      <c r="AA85" s="78"/>
      <c r="AB85" s="78">
        <f t="shared" si="0"/>
        <v>0</v>
      </c>
      <c r="AC85" s="68"/>
      <c r="AD85" s="68"/>
      <c r="AE85" s="68"/>
      <c r="AF85" s="68"/>
      <c r="AG85" s="68"/>
      <c r="AH85" s="68"/>
      <c r="AI85" s="68"/>
      <c r="AJ85" s="68"/>
      <c r="AK85" s="68"/>
    </row>
    <row r="86" spans="1:37" ht="15" customHeight="1" thickBot="1" x14ac:dyDescent="0.3">
      <c r="A86" s="1516"/>
      <c r="B86" s="1490"/>
      <c r="C86" s="1491"/>
      <c r="D86" s="1491"/>
      <c r="E86" s="1491"/>
      <c r="F86" s="1491"/>
      <c r="G86" s="1492"/>
      <c r="H86" s="983"/>
      <c r="I86" s="1017"/>
      <c r="J86" s="1029"/>
      <c r="K86" s="1030"/>
      <c r="L86" s="984"/>
      <c r="M86" s="985"/>
      <c r="N86" s="985"/>
      <c r="O86" s="985"/>
      <c r="P86" s="985"/>
      <c r="Q86" s="1548"/>
      <c r="R86" s="972"/>
      <c r="S86" s="973"/>
      <c r="T86" s="1258"/>
      <c r="U86" s="1337"/>
      <c r="Y86" s="74"/>
      <c r="Z86" s="77"/>
      <c r="AA86" s="78"/>
      <c r="AB86" s="78">
        <f t="shared" si="0"/>
        <v>0</v>
      </c>
      <c r="AC86" s="68"/>
      <c r="AD86" s="68"/>
      <c r="AE86" s="68"/>
      <c r="AF86" s="68"/>
      <c r="AG86" s="68"/>
      <c r="AH86" s="68"/>
      <c r="AI86" s="68"/>
      <c r="AJ86" s="68"/>
      <c r="AK86" s="68"/>
    </row>
    <row r="87" spans="1:37" ht="15" customHeight="1" thickBot="1" x14ac:dyDescent="0.3">
      <c r="A87" s="1516"/>
      <c r="B87" s="1103" t="s">
        <v>394</v>
      </c>
      <c r="C87" s="1104"/>
      <c r="D87" s="1104"/>
      <c r="E87" s="1104"/>
      <c r="F87" s="1104"/>
      <c r="G87" s="1105"/>
      <c r="H87" s="314" t="s">
        <v>100</v>
      </c>
      <c r="I87" s="1017"/>
      <c r="J87" s="1029"/>
      <c r="K87" s="1030"/>
      <c r="L87" s="984"/>
      <c r="M87" s="985"/>
      <c r="N87" s="985"/>
      <c r="O87" s="985"/>
      <c r="P87" s="985"/>
      <c r="Q87" s="1548"/>
      <c r="R87" s="972"/>
      <c r="S87" s="973"/>
      <c r="T87" s="1258"/>
      <c r="U87" s="1337"/>
      <c r="Y87" s="74">
        <v>2.5000000000000001E-3</v>
      </c>
      <c r="Z87" s="77">
        <f>IF(H87="ja",Y87,0)</f>
        <v>0</v>
      </c>
      <c r="AA87" s="78"/>
      <c r="AB87" s="78">
        <f t="shared" si="0"/>
        <v>0</v>
      </c>
      <c r="AC87" s="68"/>
      <c r="AD87" s="68"/>
      <c r="AE87" s="68"/>
      <c r="AF87" s="68"/>
      <c r="AG87" s="68"/>
      <c r="AH87" s="68"/>
      <c r="AI87" s="68"/>
      <c r="AJ87" s="68"/>
      <c r="AK87" s="68"/>
    </row>
    <row r="88" spans="1:37" ht="15" customHeight="1" thickBot="1" x14ac:dyDescent="0.3">
      <c r="A88" s="1516"/>
      <c r="B88" s="1487" t="s">
        <v>395</v>
      </c>
      <c r="C88" s="1488"/>
      <c r="D88" s="1488"/>
      <c r="E88" s="1488"/>
      <c r="F88" s="1488"/>
      <c r="G88" s="1489"/>
      <c r="H88" s="981" t="s">
        <v>100</v>
      </c>
      <c r="I88" s="1017"/>
      <c r="J88" s="1029"/>
      <c r="K88" s="1030"/>
      <c r="L88" s="984" t="s">
        <v>396</v>
      </c>
      <c r="M88" s="985"/>
      <c r="N88" s="985"/>
      <c r="O88" s="985"/>
      <c r="P88" s="985"/>
      <c r="Q88" s="1548" t="s">
        <v>100</v>
      </c>
      <c r="R88" s="972"/>
      <c r="S88" s="973"/>
      <c r="T88" s="1258"/>
      <c r="U88" s="1337"/>
      <c r="V88" s="72">
        <f>IF(AND(Q88="ja",R88=""),1,0)</f>
        <v>0</v>
      </c>
      <c r="Y88" s="74">
        <v>9.9500000000000005E-2</v>
      </c>
      <c r="Z88" s="77">
        <f>IF(H88="ja",Y88,0)</f>
        <v>0</v>
      </c>
      <c r="AA88" s="78"/>
      <c r="AB88" s="78">
        <f t="shared" si="0"/>
        <v>0</v>
      </c>
      <c r="AC88" s="68"/>
      <c r="AD88" s="68"/>
      <c r="AE88" s="68"/>
      <c r="AF88" s="68"/>
      <c r="AG88" s="68"/>
      <c r="AH88" s="68"/>
      <c r="AI88" s="68"/>
      <c r="AJ88" s="68"/>
      <c r="AK88" s="68"/>
    </row>
    <row r="89" spans="1:37" ht="15" customHeight="1" thickBot="1" x14ac:dyDescent="0.3">
      <c r="A89" s="1516"/>
      <c r="B89" s="1493"/>
      <c r="C89" s="1317"/>
      <c r="D89" s="1317"/>
      <c r="E89" s="1317"/>
      <c r="F89" s="1317"/>
      <c r="G89" s="1494"/>
      <c r="H89" s="982"/>
      <c r="I89" s="1017"/>
      <c r="J89" s="1029"/>
      <c r="K89" s="1030"/>
      <c r="L89" s="984"/>
      <c r="M89" s="985"/>
      <c r="N89" s="985"/>
      <c r="O89" s="985"/>
      <c r="P89" s="985"/>
      <c r="Q89" s="1548"/>
      <c r="R89" s="972"/>
      <c r="S89" s="973"/>
      <c r="T89" s="1258"/>
      <c r="U89" s="1337"/>
      <c r="V89" s="339"/>
      <c r="Y89" s="74"/>
      <c r="Z89" s="77"/>
      <c r="AA89" s="78"/>
      <c r="AB89" s="78">
        <f t="shared" si="0"/>
        <v>0</v>
      </c>
      <c r="AC89" s="68"/>
      <c r="AD89" s="68"/>
      <c r="AE89" s="68"/>
      <c r="AF89" s="68"/>
      <c r="AG89" s="68"/>
      <c r="AH89" s="68"/>
      <c r="AI89" s="68"/>
      <c r="AJ89" s="68"/>
      <c r="AK89" s="68"/>
    </row>
    <row r="90" spans="1:37" ht="15" customHeight="1" thickBot="1" x14ac:dyDescent="0.3">
      <c r="A90" s="1516"/>
      <c r="B90" s="1493"/>
      <c r="C90" s="1317"/>
      <c r="D90" s="1317"/>
      <c r="E90" s="1317"/>
      <c r="F90" s="1317"/>
      <c r="G90" s="1494"/>
      <c r="H90" s="982"/>
      <c r="I90" s="1017"/>
      <c r="J90" s="1029"/>
      <c r="K90" s="1030"/>
      <c r="L90" s="984"/>
      <c r="M90" s="985"/>
      <c r="N90" s="985"/>
      <c r="O90" s="985"/>
      <c r="P90" s="985"/>
      <c r="Q90" s="1548"/>
      <c r="R90" s="972"/>
      <c r="S90" s="973"/>
      <c r="T90" s="1258"/>
      <c r="U90" s="1337"/>
      <c r="V90" s="339"/>
      <c r="Y90" s="74"/>
      <c r="Z90" s="77"/>
      <c r="AA90" s="78"/>
      <c r="AB90" s="78">
        <f t="shared" si="0"/>
        <v>0</v>
      </c>
      <c r="AC90" s="68"/>
      <c r="AD90" s="68"/>
      <c r="AE90" s="68"/>
      <c r="AF90" s="68"/>
      <c r="AG90" s="68"/>
      <c r="AH90" s="68"/>
      <c r="AI90" s="68"/>
      <c r="AJ90" s="68"/>
      <c r="AK90" s="68"/>
    </row>
    <row r="91" spans="1:37" ht="15" customHeight="1" thickBot="1" x14ac:dyDescent="0.3">
      <c r="A91" s="1516"/>
      <c r="B91" s="1493"/>
      <c r="C91" s="1317"/>
      <c r="D91" s="1317"/>
      <c r="E91" s="1317"/>
      <c r="F91" s="1317"/>
      <c r="G91" s="1494"/>
      <c r="H91" s="982"/>
      <c r="I91" s="1017"/>
      <c r="J91" s="1029"/>
      <c r="K91" s="1030"/>
      <c r="L91" s="984" t="s">
        <v>397</v>
      </c>
      <c r="M91" s="985"/>
      <c r="N91" s="985"/>
      <c r="O91" s="985"/>
      <c r="P91" s="985"/>
      <c r="Q91" s="1548" t="s">
        <v>100</v>
      </c>
      <c r="R91" s="972"/>
      <c r="S91" s="973"/>
      <c r="T91" s="1258"/>
      <c r="U91" s="1337"/>
      <c r="V91" s="72">
        <f>IF(AND(Q91="ja",R91=""),1,0)</f>
        <v>0</v>
      </c>
      <c r="Y91" s="74"/>
      <c r="Z91" s="77"/>
      <c r="AA91" s="78"/>
      <c r="AB91" s="78">
        <f t="shared" si="0"/>
        <v>0</v>
      </c>
      <c r="AC91" s="68"/>
      <c r="AD91" s="68"/>
      <c r="AE91" s="68"/>
      <c r="AF91" s="68"/>
      <c r="AG91" s="68"/>
      <c r="AH91" s="68"/>
      <c r="AI91" s="68"/>
      <c r="AJ91" s="68"/>
      <c r="AK91" s="68"/>
    </row>
    <row r="92" spans="1:37" ht="15" customHeight="1" thickBot="1" x14ac:dyDescent="0.3">
      <c r="A92" s="1516"/>
      <c r="B92" s="1493"/>
      <c r="C92" s="1317"/>
      <c r="D92" s="1317"/>
      <c r="E92" s="1317"/>
      <c r="F92" s="1317"/>
      <c r="G92" s="1494"/>
      <c r="H92" s="982"/>
      <c r="I92" s="1017"/>
      <c r="J92" s="1029"/>
      <c r="K92" s="1030"/>
      <c r="L92" s="984"/>
      <c r="M92" s="985"/>
      <c r="N92" s="985"/>
      <c r="O92" s="985"/>
      <c r="P92" s="985"/>
      <c r="Q92" s="1548"/>
      <c r="R92" s="972"/>
      <c r="S92" s="973"/>
      <c r="T92" s="1258"/>
      <c r="U92" s="1337"/>
      <c r="Y92" s="74"/>
      <c r="Z92" s="77"/>
      <c r="AA92" s="78"/>
      <c r="AB92" s="78">
        <f t="shared" si="0"/>
        <v>0</v>
      </c>
      <c r="AC92" s="68"/>
      <c r="AD92" s="68"/>
      <c r="AE92" s="68"/>
      <c r="AF92" s="68"/>
      <c r="AG92" s="68"/>
      <c r="AH92" s="68"/>
      <c r="AI92" s="68"/>
      <c r="AJ92" s="68"/>
      <c r="AK92" s="68"/>
    </row>
    <row r="93" spans="1:37" ht="15" customHeight="1" thickBot="1" x14ac:dyDescent="0.3">
      <c r="A93" s="1516"/>
      <c r="B93" s="1493"/>
      <c r="C93" s="1317"/>
      <c r="D93" s="1317"/>
      <c r="E93" s="1317"/>
      <c r="F93" s="1317"/>
      <c r="G93" s="1494"/>
      <c r="H93" s="982"/>
      <c r="I93" s="1017"/>
      <c r="J93" s="1029"/>
      <c r="K93" s="1030"/>
      <c r="L93" s="984"/>
      <c r="M93" s="985"/>
      <c r="N93" s="985"/>
      <c r="O93" s="985"/>
      <c r="P93" s="985"/>
      <c r="Q93" s="1548"/>
      <c r="R93" s="972"/>
      <c r="S93" s="973"/>
      <c r="T93" s="1258"/>
      <c r="U93" s="1337"/>
      <c r="Y93" s="74"/>
      <c r="Z93" s="77"/>
      <c r="AA93" s="78"/>
      <c r="AB93" s="78">
        <f t="shared" si="0"/>
        <v>0</v>
      </c>
      <c r="AC93" s="68"/>
      <c r="AD93" s="68"/>
      <c r="AE93" s="68"/>
      <c r="AF93" s="68"/>
      <c r="AG93" s="68"/>
      <c r="AH93" s="68"/>
      <c r="AI93" s="68"/>
      <c r="AJ93" s="68"/>
      <c r="AK93" s="68"/>
    </row>
    <row r="94" spans="1:37" ht="15" customHeight="1" thickBot="1" x14ac:dyDescent="0.3">
      <c r="A94" s="1516"/>
      <c r="B94" s="1493"/>
      <c r="C94" s="1317"/>
      <c r="D94" s="1317"/>
      <c r="E94" s="1317"/>
      <c r="F94" s="1317"/>
      <c r="G94" s="1494"/>
      <c r="H94" s="982"/>
      <c r="I94" s="1017"/>
      <c r="J94" s="1029"/>
      <c r="K94" s="1030"/>
      <c r="L94" s="984" t="s">
        <v>192</v>
      </c>
      <c r="M94" s="985"/>
      <c r="N94" s="985"/>
      <c r="O94" s="985"/>
      <c r="P94" s="985"/>
      <c r="Q94" s="1548" t="s">
        <v>100</v>
      </c>
      <c r="R94" s="972"/>
      <c r="S94" s="973"/>
      <c r="T94" s="1258"/>
      <c r="U94" s="1337"/>
      <c r="V94" s="72">
        <f>IF(AND(Q94="ja",R94=""),1,0)</f>
        <v>0</v>
      </c>
      <c r="Y94" s="74"/>
      <c r="Z94" s="77"/>
      <c r="AA94" s="78"/>
      <c r="AB94" s="78">
        <f t="shared" si="0"/>
        <v>0</v>
      </c>
      <c r="AC94" s="68"/>
      <c r="AD94" s="68"/>
      <c r="AE94" s="68"/>
      <c r="AF94" s="68"/>
      <c r="AG94" s="68"/>
      <c r="AH94" s="68"/>
      <c r="AI94" s="68"/>
      <c r="AJ94" s="68"/>
      <c r="AK94" s="68"/>
    </row>
    <row r="95" spans="1:37" ht="15" customHeight="1" thickBot="1" x14ac:dyDescent="0.3">
      <c r="A95" s="1516"/>
      <c r="B95" s="1493"/>
      <c r="C95" s="1317"/>
      <c r="D95" s="1317"/>
      <c r="E95" s="1317"/>
      <c r="F95" s="1317"/>
      <c r="G95" s="1494"/>
      <c r="H95" s="982"/>
      <c r="I95" s="1017"/>
      <c r="J95" s="1029"/>
      <c r="K95" s="1030"/>
      <c r="L95" s="984"/>
      <c r="M95" s="985"/>
      <c r="N95" s="985"/>
      <c r="O95" s="985"/>
      <c r="P95" s="985"/>
      <c r="Q95" s="1548"/>
      <c r="R95" s="972"/>
      <c r="S95" s="973"/>
      <c r="T95" s="1258"/>
      <c r="U95" s="1337"/>
      <c r="Y95" s="74"/>
      <c r="Z95" s="77"/>
      <c r="AA95" s="78"/>
      <c r="AB95" s="78">
        <f t="shared" si="0"/>
        <v>0</v>
      </c>
      <c r="AC95" s="68"/>
      <c r="AD95" s="68"/>
      <c r="AE95" s="68"/>
      <c r="AF95" s="68"/>
      <c r="AG95" s="68"/>
      <c r="AH95" s="68"/>
      <c r="AI95" s="68"/>
      <c r="AJ95" s="68"/>
      <c r="AK95" s="68"/>
    </row>
    <row r="96" spans="1:37" ht="15" customHeight="1" thickBot="1" x14ac:dyDescent="0.3">
      <c r="A96" s="1516"/>
      <c r="B96" s="1493"/>
      <c r="C96" s="1317"/>
      <c r="D96" s="1317"/>
      <c r="E96" s="1317"/>
      <c r="F96" s="1317"/>
      <c r="G96" s="1494"/>
      <c r="H96" s="982"/>
      <c r="I96" s="1017"/>
      <c r="J96" s="1029"/>
      <c r="K96" s="1030"/>
      <c r="L96" s="984"/>
      <c r="M96" s="985"/>
      <c r="N96" s="985"/>
      <c r="O96" s="985"/>
      <c r="P96" s="985"/>
      <c r="Q96" s="1548"/>
      <c r="R96" s="972"/>
      <c r="S96" s="973"/>
      <c r="T96" s="1258"/>
      <c r="U96" s="1337"/>
      <c r="V96" s="339"/>
      <c r="Y96" s="74"/>
      <c r="Z96" s="77"/>
      <c r="AA96" s="78"/>
      <c r="AB96" s="78">
        <f t="shared" si="0"/>
        <v>0</v>
      </c>
      <c r="AC96" s="68"/>
      <c r="AD96" s="68"/>
      <c r="AE96" s="68"/>
      <c r="AF96" s="68"/>
      <c r="AG96" s="68"/>
      <c r="AH96" s="68"/>
      <c r="AI96" s="68"/>
      <c r="AJ96" s="68"/>
      <c r="AK96" s="68"/>
    </row>
    <row r="97" spans="1:37" ht="15" customHeight="1" thickBot="1" x14ac:dyDescent="0.3">
      <c r="A97" s="1516"/>
      <c r="B97" s="1493"/>
      <c r="C97" s="1317"/>
      <c r="D97" s="1317"/>
      <c r="E97" s="1317"/>
      <c r="F97" s="1317"/>
      <c r="G97" s="1494"/>
      <c r="H97" s="982"/>
      <c r="I97" s="1017"/>
      <c r="J97" s="1029"/>
      <c r="K97" s="1030"/>
      <c r="L97" s="984"/>
      <c r="M97" s="985"/>
      <c r="N97" s="985"/>
      <c r="O97" s="985"/>
      <c r="P97" s="985"/>
      <c r="Q97" s="1548"/>
      <c r="R97" s="972"/>
      <c r="S97" s="973"/>
      <c r="T97" s="1258"/>
      <c r="U97" s="1337"/>
      <c r="V97" s="339"/>
      <c r="Y97" s="74"/>
      <c r="Z97" s="77"/>
      <c r="AA97" s="78"/>
      <c r="AB97" s="78">
        <f t="shared" si="0"/>
        <v>0</v>
      </c>
      <c r="AC97" s="68"/>
      <c r="AD97" s="68"/>
      <c r="AE97" s="68"/>
      <c r="AF97" s="68"/>
      <c r="AG97" s="68"/>
      <c r="AH97" s="68"/>
      <c r="AI97" s="68"/>
      <c r="AJ97" s="68"/>
      <c r="AK97" s="68"/>
    </row>
    <row r="98" spans="1:37" ht="15" customHeight="1" thickBot="1" x14ac:dyDescent="0.3">
      <c r="A98" s="1516"/>
      <c r="B98" s="1493"/>
      <c r="C98" s="1317"/>
      <c r="D98" s="1317"/>
      <c r="E98" s="1317"/>
      <c r="F98" s="1317"/>
      <c r="G98" s="1494"/>
      <c r="H98" s="982"/>
      <c r="I98" s="1017"/>
      <c r="J98" s="1029"/>
      <c r="K98" s="1030"/>
      <c r="L98" s="984"/>
      <c r="M98" s="985"/>
      <c r="N98" s="985"/>
      <c r="O98" s="985"/>
      <c r="P98" s="985"/>
      <c r="Q98" s="1548" t="s">
        <v>100</v>
      </c>
      <c r="R98" s="972"/>
      <c r="S98" s="973"/>
      <c r="T98" s="1258"/>
      <c r="U98" s="1337"/>
      <c r="V98" s="72">
        <f>IF(AND(Q98="ja",R98=""),1,0)</f>
        <v>0</v>
      </c>
      <c r="Y98" s="74"/>
      <c r="Z98" s="77"/>
      <c r="AA98" s="78"/>
      <c r="AB98" s="78">
        <f t="shared" si="0"/>
        <v>0</v>
      </c>
      <c r="AC98" s="68"/>
      <c r="AD98" s="68"/>
      <c r="AE98" s="68"/>
      <c r="AF98" s="68"/>
      <c r="AG98" s="68"/>
      <c r="AH98" s="68"/>
      <c r="AI98" s="68"/>
      <c r="AJ98" s="68"/>
      <c r="AK98" s="68"/>
    </row>
    <row r="99" spans="1:37" ht="15" customHeight="1" thickBot="1" x14ac:dyDescent="0.3">
      <c r="A99" s="1516"/>
      <c r="B99" s="1493"/>
      <c r="C99" s="1317"/>
      <c r="D99" s="1317"/>
      <c r="E99" s="1317"/>
      <c r="F99" s="1317"/>
      <c r="G99" s="1494"/>
      <c r="H99" s="982"/>
      <c r="I99" s="1017"/>
      <c r="J99" s="1029"/>
      <c r="K99" s="1030"/>
      <c r="L99" s="984"/>
      <c r="M99" s="985"/>
      <c r="N99" s="985"/>
      <c r="O99" s="985"/>
      <c r="P99" s="985"/>
      <c r="Q99" s="1548"/>
      <c r="R99" s="972"/>
      <c r="S99" s="973"/>
      <c r="T99" s="1258"/>
      <c r="U99" s="1337"/>
      <c r="Y99" s="74"/>
      <c r="Z99" s="77"/>
      <c r="AA99" s="78"/>
      <c r="AB99" s="78">
        <f t="shared" si="0"/>
        <v>0</v>
      </c>
      <c r="AC99" s="68"/>
      <c r="AD99" s="68"/>
      <c r="AE99" s="68"/>
      <c r="AF99" s="68"/>
      <c r="AG99" s="68"/>
      <c r="AH99" s="68"/>
      <c r="AI99" s="68"/>
      <c r="AJ99" s="68"/>
      <c r="AK99" s="68"/>
    </row>
    <row r="100" spans="1:37" ht="15" customHeight="1" thickBot="1" x14ac:dyDescent="0.3">
      <c r="A100" s="1516"/>
      <c r="B100" s="1490"/>
      <c r="C100" s="1491"/>
      <c r="D100" s="1491"/>
      <c r="E100" s="1491"/>
      <c r="F100" s="1491"/>
      <c r="G100" s="1492"/>
      <c r="H100" s="983"/>
      <c r="I100" s="1017"/>
      <c r="J100" s="1029"/>
      <c r="K100" s="1030"/>
      <c r="L100" s="984"/>
      <c r="M100" s="985"/>
      <c r="N100" s="985"/>
      <c r="O100" s="985"/>
      <c r="P100" s="985"/>
      <c r="Q100" s="1548"/>
      <c r="R100" s="972"/>
      <c r="S100" s="973"/>
      <c r="T100" s="1258"/>
      <c r="U100" s="1337"/>
      <c r="Y100" s="74"/>
      <c r="Z100" s="77"/>
      <c r="AA100" s="78"/>
      <c r="AB100" s="78">
        <f t="shared" si="0"/>
        <v>0</v>
      </c>
      <c r="AC100" s="68"/>
      <c r="AD100" s="68"/>
      <c r="AE100" s="68"/>
      <c r="AF100" s="68"/>
      <c r="AG100" s="68"/>
      <c r="AH100" s="68"/>
      <c r="AI100" s="68"/>
      <c r="AJ100" s="68"/>
      <c r="AK100" s="68"/>
    </row>
    <row r="101" spans="1:37" ht="15" customHeight="1" thickBot="1" x14ac:dyDescent="0.3">
      <c r="A101" s="1516"/>
      <c r="B101" s="1487" t="s">
        <v>398</v>
      </c>
      <c r="C101" s="1488"/>
      <c r="D101" s="1488"/>
      <c r="E101" s="1488"/>
      <c r="F101" s="1488"/>
      <c r="G101" s="1489"/>
      <c r="H101" s="981" t="s">
        <v>100</v>
      </c>
      <c r="I101" s="1017"/>
      <c r="J101" s="1029"/>
      <c r="K101" s="1030"/>
      <c r="L101" s="984"/>
      <c r="M101" s="985"/>
      <c r="N101" s="985"/>
      <c r="O101" s="985"/>
      <c r="P101" s="985"/>
      <c r="Q101" s="1548" t="s">
        <v>100</v>
      </c>
      <c r="R101" s="972"/>
      <c r="S101" s="973"/>
      <c r="T101" s="1258"/>
      <c r="U101" s="1337"/>
      <c r="V101" s="72">
        <f>IF(AND(Q101="ja",R101=""),1,0)</f>
        <v>0</v>
      </c>
      <c r="Y101" s="74">
        <v>2.5000000000000001E-3</v>
      </c>
      <c r="Z101" s="77">
        <f>IF(H101="ja",Y101,0)</f>
        <v>0</v>
      </c>
      <c r="AA101" s="78"/>
      <c r="AB101" s="78">
        <f t="shared" si="0"/>
        <v>0</v>
      </c>
      <c r="AC101" s="68"/>
      <c r="AD101" s="68"/>
      <c r="AE101" s="68"/>
      <c r="AF101" s="68"/>
      <c r="AG101" s="68"/>
      <c r="AH101" s="68"/>
      <c r="AI101" s="68"/>
      <c r="AJ101" s="68"/>
      <c r="AK101" s="68"/>
    </row>
    <row r="102" spans="1:37" ht="15" customHeight="1" thickBot="1" x14ac:dyDescent="0.3">
      <c r="A102" s="1516"/>
      <c r="B102" s="1493"/>
      <c r="C102" s="1317"/>
      <c r="D102" s="1317"/>
      <c r="E102" s="1317"/>
      <c r="F102" s="1317"/>
      <c r="G102" s="1494"/>
      <c r="H102" s="982"/>
      <c r="I102" s="1017"/>
      <c r="J102" s="1029"/>
      <c r="K102" s="1030"/>
      <c r="L102" s="984"/>
      <c r="M102" s="985"/>
      <c r="N102" s="985"/>
      <c r="O102" s="985"/>
      <c r="P102" s="985"/>
      <c r="Q102" s="1548"/>
      <c r="R102" s="972"/>
      <c r="S102" s="973"/>
      <c r="T102" s="1258"/>
      <c r="U102" s="1337"/>
      <c r="V102" s="339"/>
      <c r="Y102" s="74"/>
      <c r="Z102" s="77"/>
      <c r="AA102" s="78"/>
      <c r="AB102" s="78">
        <f t="shared" si="0"/>
        <v>0</v>
      </c>
      <c r="AC102" s="68"/>
      <c r="AD102" s="68"/>
      <c r="AE102" s="68"/>
      <c r="AF102" s="68"/>
      <c r="AG102" s="68"/>
      <c r="AH102" s="68"/>
      <c r="AI102" s="68"/>
      <c r="AJ102" s="68"/>
      <c r="AK102" s="68"/>
    </row>
    <row r="103" spans="1:37" ht="15" customHeight="1" thickBot="1" x14ac:dyDescent="0.3">
      <c r="A103" s="1516"/>
      <c r="B103" s="1493"/>
      <c r="C103" s="1317"/>
      <c r="D103" s="1317"/>
      <c r="E103" s="1317"/>
      <c r="F103" s="1317"/>
      <c r="G103" s="1494"/>
      <c r="H103" s="982"/>
      <c r="I103" s="1017"/>
      <c r="J103" s="1029"/>
      <c r="K103" s="1030"/>
      <c r="L103" s="984"/>
      <c r="M103" s="985"/>
      <c r="N103" s="985"/>
      <c r="O103" s="985"/>
      <c r="P103" s="985"/>
      <c r="Q103" s="1548"/>
      <c r="R103" s="972"/>
      <c r="S103" s="973"/>
      <c r="T103" s="1258"/>
      <c r="U103" s="1337"/>
      <c r="V103" s="339"/>
      <c r="Y103" s="74"/>
      <c r="Z103" s="77"/>
      <c r="AA103" s="78"/>
      <c r="AB103" s="78">
        <f t="shared" si="0"/>
        <v>0</v>
      </c>
      <c r="AC103" s="68"/>
      <c r="AD103" s="68"/>
      <c r="AE103" s="68"/>
      <c r="AF103" s="68"/>
      <c r="AG103" s="68"/>
      <c r="AH103" s="68"/>
      <c r="AI103" s="68"/>
      <c r="AJ103" s="68"/>
      <c r="AK103" s="68"/>
    </row>
    <row r="104" spans="1:37" ht="15" customHeight="1" thickBot="1" x14ac:dyDescent="0.3">
      <c r="A104" s="1516"/>
      <c r="B104" s="1493"/>
      <c r="C104" s="1317"/>
      <c r="D104" s="1317"/>
      <c r="E104" s="1317"/>
      <c r="F104" s="1317"/>
      <c r="G104" s="1494"/>
      <c r="H104" s="982"/>
      <c r="I104" s="1017"/>
      <c r="J104" s="1029"/>
      <c r="K104" s="1030"/>
      <c r="L104" s="984"/>
      <c r="M104" s="985"/>
      <c r="N104" s="985"/>
      <c r="O104" s="985"/>
      <c r="P104" s="985"/>
      <c r="Q104" s="1548" t="s">
        <v>100</v>
      </c>
      <c r="R104" s="972"/>
      <c r="S104" s="973"/>
      <c r="T104" s="1258"/>
      <c r="U104" s="1337"/>
      <c r="V104" s="72">
        <f>IF(AND(Q104="ja",R104=""),1,0)</f>
        <v>0</v>
      </c>
      <c r="Y104" s="74"/>
      <c r="Z104" s="77"/>
      <c r="AA104" s="78"/>
      <c r="AB104" s="78">
        <f t="shared" ref="AB104:AB167" si="1">IF(Q104="ja",1,0)</f>
        <v>0</v>
      </c>
      <c r="AC104" s="68"/>
      <c r="AD104" s="68"/>
      <c r="AE104" s="68"/>
      <c r="AF104" s="68"/>
      <c r="AG104" s="68"/>
      <c r="AH104" s="68"/>
      <c r="AI104" s="68"/>
      <c r="AJ104" s="68"/>
      <c r="AK104" s="68"/>
    </row>
    <row r="105" spans="1:37" ht="15" customHeight="1" thickBot="1" x14ac:dyDescent="0.3">
      <c r="A105" s="1516"/>
      <c r="B105" s="1493"/>
      <c r="C105" s="1317"/>
      <c r="D105" s="1317"/>
      <c r="E105" s="1317"/>
      <c r="F105" s="1317"/>
      <c r="G105" s="1494"/>
      <c r="H105" s="982"/>
      <c r="I105" s="1017"/>
      <c r="J105" s="1029"/>
      <c r="K105" s="1030"/>
      <c r="L105" s="984"/>
      <c r="M105" s="985"/>
      <c r="N105" s="985"/>
      <c r="O105" s="985"/>
      <c r="P105" s="985"/>
      <c r="Q105" s="1548"/>
      <c r="R105" s="972"/>
      <c r="S105" s="973"/>
      <c r="T105" s="1258"/>
      <c r="U105" s="1337"/>
      <c r="Y105" s="74"/>
      <c r="Z105" s="77"/>
      <c r="AA105" s="78"/>
      <c r="AB105" s="78">
        <f t="shared" si="1"/>
        <v>0</v>
      </c>
      <c r="AC105" s="68"/>
      <c r="AD105" s="68"/>
      <c r="AE105" s="68"/>
      <c r="AF105" s="68"/>
      <c r="AG105" s="68"/>
      <c r="AH105" s="68"/>
      <c r="AI105" s="68"/>
      <c r="AJ105" s="68"/>
      <c r="AK105" s="68"/>
    </row>
    <row r="106" spans="1:37" ht="15" customHeight="1" thickBot="1" x14ac:dyDescent="0.3">
      <c r="A106" s="1516"/>
      <c r="B106" s="1490"/>
      <c r="C106" s="1491"/>
      <c r="D106" s="1491"/>
      <c r="E106" s="1491"/>
      <c r="F106" s="1491"/>
      <c r="G106" s="1492"/>
      <c r="H106" s="983"/>
      <c r="I106" s="1017"/>
      <c r="J106" s="1029"/>
      <c r="K106" s="1030"/>
      <c r="L106" s="984"/>
      <c r="M106" s="985"/>
      <c r="N106" s="985"/>
      <c r="O106" s="985"/>
      <c r="P106" s="985"/>
      <c r="Q106" s="1548"/>
      <c r="R106" s="972"/>
      <c r="S106" s="973"/>
      <c r="T106" s="1258"/>
      <c r="U106" s="1337"/>
      <c r="Y106" s="74"/>
      <c r="Z106" s="77"/>
      <c r="AA106" s="78"/>
      <c r="AB106" s="78">
        <f t="shared" si="1"/>
        <v>0</v>
      </c>
      <c r="AC106" s="68"/>
      <c r="AD106" s="68"/>
      <c r="AE106" s="68"/>
      <c r="AF106" s="68"/>
      <c r="AG106" s="68"/>
      <c r="AH106" s="68"/>
      <c r="AI106" s="68"/>
      <c r="AJ106" s="68"/>
      <c r="AK106" s="68"/>
    </row>
    <row r="107" spans="1:37" ht="15" customHeight="1" thickBot="1" x14ac:dyDescent="0.3">
      <c r="A107" s="1516"/>
      <c r="B107" s="1487" t="s">
        <v>399</v>
      </c>
      <c r="C107" s="1488"/>
      <c r="D107" s="1488"/>
      <c r="E107" s="1488"/>
      <c r="F107" s="1488"/>
      <c r="G107" s="1489"/>
      <c r="H107" s="981" t="s">
        <v>100</v>
      </c>
      <c r="I107" s="1017"/>
      <c r="J107" s="1029"/>
      <c r="K107" s="1030"/>
      <c r="L107" s="984"/>
      <c r="M107" s="985"/>
      <c r="N107" s="985"/>
      <c r="O107" s="985"/>
      <c r="P107" s="985"/>
      <c r="Q107" s="1548" t="s">
        <v>100</v>
      </c>
      <c r="R107" s="972"/>
      <c r="S107" s="973"/>
      <c r="T107" s="1258"/>
      <c r="U107" s="1337"/>
      <c r="V107" s="72">
        <f>IF(AND(Q107="ja",R107=""),1,0)</f>
        <v>0</v>
      </c>
      <c r="Y107" s="74">
        <v>1.5E-3</v>
      </c>
      <c r="Z107" s="77">
        <f>IF(H107="ja",Y107,0)</f>
        <v>0</v>
      </c>
      <c r="AA107" s="78"/>
      <c r="AB107" s="78">
        <f t="shared" si="1"/>
        <v>0</v>
      </c>
      <c r="AC107" s="68"/>
      <c r="AD107" s="68"/>
      <c r="AE107" s="68"/>
      <c r="AF107" s="68"/>
      <c r="AG107" s="68"/>
      <c r="AH107" s="68"/>
      <c r="AI107" s="68"/>
      <c r="AJ107" s="68"/>
      <c r="AK107" s="68"/>
    </row>
    <row r="108" spans="1:37" ht="15" customHeight="1" thickBot="1" x14ac:dyDescent="0.3">
      <c r="A108" s="1516"/>
      <c r="B108" s="1490"/>
      <c r="C108" s="1491"/>
      <c r="D108" s="1491"/>
      <c r="E108" s="1491"/>
      <c r="F108" s="1491"/>
      <c r="G108" s="1492"/>
      <c r="H108" s="983"/>
      <c r="I108" s="1017"/>
      <c r="J108" s="1029"/>
      <c r="K108" s="1030"/>
      <c r="L108" s="984"/>
      <c r="M108" s="985"/>
      <c r="N108" s="985"/>
      <c r="O108" s="985"/>
      <c r="P108" s="985"/>
      <c r="Q108" s="1548"/>
      <c r="R108" s="972"/>
      <c r="S108" s="973"/>
      <c r="T108" s="1258"/>
      <c r="U108" s="1337"/>
      <c r="V108" s="339"/>
      <c r="Y108" s="74"/>
      <c r="Z108" s="77"/>
      <c r="AA108" s="78"/>
      <c r="AB108" s="78">
        <f t="shared" si="1"/>
        <v>0</v>
      </c>
      <c r="AC108" s="68"/>
      <c r="AD108" s="68"/>
      <c r="AE108" s="68"/>
      <c r="AF108" s="68"/>
      <c r="AG108" s="68"/>
      <c r="AH108" s="68"/>
      <c r="AI108" s="68"/>
      <c r="AJ108" s="68"/>
      <c r="AK108" s="68"/>
    </row>
    <row r="109" spans="1:37" ht="15" customHeight="1" thickBot="1" x14ac:dyDescent="0.3">
      <c r="A109" s="1516"/>
      <c r="B109" s="1487" t="s">
        <v>400</v>
      </c>
      <c r="C109" s="1488"/>
      <c r="D109" s="1488"/>
      <c r="E109" s="1488"/>
      <c r="F109" s="1488"/>
      <c r="G109" s="1489"/>
      <c r="H109" s="981" t="s">
        <v>100</v>
      </c>
      <c r="I109" s="1017"/>
      <c r="J109" s="1029"/>
      <c r="K109" s="1030"/>
      <c r="L109" s="984"/>
      <c r="M109" s="985"/>
      <c r="N109" s="985"/>
      <c r="O109" s="985"/>
      <c r="P109" s="985"/>
      <c r="Q109" s="1548"/>
      <c r="R109" s="972"/>
      <c r="S109" s="973"/>
      <c r="T109" s="1258"/>
      <c r="U109" s="1337"/>
      <c r="V109" s="339"/>
      <c r="Y109" s="74">
        <v>6.4999999999999997E-3</v>
      </c>
      <c r="Z109" s="77">
        <f>IF(H109="ja",Y109,0)</f>
        <v>0</v>
      </c>
      <c r="AA109" s="78"/>
      <c r="AB109" s="78">
        <f t="shared" si="1"/>
        <v>0</v>
      </c>
      <c r="AC109" s="68"/>
      <c r="AD109" s="68"/>
      <c r="AE109" s="68"/>
      <c r="AF109" s="68"/>
      <c r="AG109" s="68"/>
      <c r="AH109" s="68"/>
      <c r="AI109" s="68"/>
      <c r="AJ109" s="68"/>
      <c r="AK109" s="68"/>
    </row>
    <row r="110" spans="1:37" ht="15" customHeight="1" thickBot="1" x14ac:dyDescent="0.3">
      <c r="A110" s="1516"/>
      <c r="B110" s="1490"/>
      <c r="C110" s="1491"/>
      <c r="D110" s="1491"/>
      <c r="E110" s="1491"/>
      <c r="F110" s="1491"/>
      <c r="G110" s="1492"/>
      <c r="H110" s="983"/>
      <c r="I110" s="1017"/>
      <c r="J110" s="1029"/>
      <c r="K110" s="1030"/>
      <c r="L110" s="984"/>
      <c r="M110" s="985"/>
      <c r="N110" s="985"/>
      <c r="O110" s="985"/>
      <c r="P110" s="985"/>
      <c r="Q110" s="1548" t="s">
        <v>100</v>
      </c>
      <c r="R110" s="972"/>
      <c r="S110" s="973"/>
      <c r="T110" s="1258"/>
      <c r="U110" s="1337"/>
      <c r="V110" s="72">
        <f>IF(AND(Q110="ja",R110=""),1,0)</f>
        <v>0</v>
      </c>
      <c r="Y110" s="74"/>
      <c r="Z110" s="77"/>
      <c r="AA110" s="78"/>
      <c r="AB110" s="78">
        <f t="shared" si="1"/>
        <v>0</v>
      </c>
      <c r="AC110" s="68"/>
      <c r="AD110" s="68"/>
      <c r="AE110" s="68"/>
      <c r="AF110" s="68"/>
      <c r="AG110" s="68"/>
      <c r="AH110" s="68"/>
      <c r="AI110" s="68"/>
      <c r="AJ110" s="68"/>
      <c r="AK110" s="68"/>
    </row>
    <row r="111" spans="1:37" ht="15" customHeight="1" thickBot="1" x14ac:dyDescent="0.3">
      <c r="A111" s="1516"/>
      <c r="B111" s="1487" t="s">
        <v>401</v>
      </c>
      <c r="C111" s="1488"/>
      <c r="D111" s="1488"/>
      <c r="E111" s="1488"/>
      <c r="F111" s="1488"/>
      <c r="G111" s="1489"/>
      <c r="H111" s="981" t="s">
        <v>100</v>
      </c>
      <c r="I111" s="1017"/>
      <c r="J111" s="1029"/>
      <c r="K111" s="1030"/>
      <c r="L111" s="984"/>
      <c r="M111" s="985"/>
      <c r="N111" s="985"/>
      <c r="O111" s="985"/>
      <c r="P111" s="985"/>
      <c r="Q111" s="1548"/>
      <c r="R111" s="972"/>
      <c r="S111" s="973"/>
      <c r="T111" s="1258"/>
      <c r="U111" s="1337"/>
      <c r="Y111" s="74">
        <v>1E-3</v>
      </c>
      <c r="Z111" s="77">
        <f>IF(H111="ja",Y111,0)</f>
        <v>0</v>
      </c>
      <c r="AA111" s="78"/>
      <c r="AB111" s="78">
        <f t="shared" si="1"/>
        <v>0</v>
      </c>
      <c r="AC111" s="68"/>
      <c r="AD111" s="68"/>
      <c r="AE111" s="68"/>
      <c r="AF111" s="68"/>
      <c r="AG111" s="68"/>
      <c r="AH111" s="68"/>
      <c r="AI111" s="68"/>
      <c r="AJ111" s="68"/>
      <c r="AK111" s="68"/>
    </row>
    <row r="112" spans="1:37" ht="15" customHeight="1" thickBot="1" x14ac:dyDescent="0.3">
      <c r="A112" s="1516"/>
      <c r="B112" s="1490"/>
      <c r="C112" s="1491"/>
      <c r="D112" s="1491"/>
      <c r="E112" s="1491"/>
      <c r="F112" s="1491"/>
      <c r="G112" s="1492"/>
      <c r="H112" s="983"/>
      <c r="I112" s="1017"/>
      <c r="J112" s="1029"/>
      <c r="K112" s="1030"/>
      <c r="L112" s="984"/>
      <c r="M112" s="985"/>
      <c r="N112" s="985"/>
      <c r="O112" s="985"/>
      <c r="P112" s="985"/>
      <c r="Q112" s="1548"/>
      <c r="R112" s="972"/>
      <c r="S112" s="973"/>
      <c r="T112" s="1258"/>
      <c r="U112" s="1337"/>
      <c r="Y112" s="74"/>
      <c r="Z112" s="77"/>
      <c r="AA112" s="77"/>
      <c r="AB112" s="78">
        <f t="shared" si="1"/>
        <v>0</v>
      </c>
      <c r="AC112" s="68"/>
      <c r="AD112" s="68"/>
      <c r="AE112" s="68"/>
      <c r="AF112" s="68"/>
      <c r="AG112" s="68"/>
      <c r="AH112" s="68"/>
      <c r="AI112" s="68"/>
      <c r="AJ112" s="68"/>
      <c r="AK112" s="68"/>
    </row>
    <row r="113" spans="1:37" ht="15" customHeight="1" thickBot="1" x14ac:dyDescent="0.3">
      <c r="A113" s="1516"/>
      <c r="B113" s="1487" t="s">
        <v>171</v>
      </c>
      <c r="C113" s="1488"/>
      <c r="D113" s="1488"/>
      <c r="E113" s="1488"/>
      <c r="F113" s="1488"/>
      <c r="G113" s="1489"/>
      <c r="H113" s="981" t="s">
        <v>100</v>
      </c>
      <c r="I113" s="1017"/>
      <c r="J113" s="1029"/>
      <c r="K113" s="1030"/>
      <c r="L113" s="1539"/>
      <c r="M113" s="1540"/>
      <c r="N113" s="1540"/>
      <c r="O113" s="1540"/>
      <c r="P113" s="1540"/>
      <c r="Q113" s="1548" t="s">
        <v>100</v>
      </c>
      <c r="R113" s="972"/>
      <c r="S113" s="973"/>
      <c r="T113" s="1258"/>
      <c r="U113" s="1337"/>
      <c r="V113" s="72">
        <f>IF(AND(Q113="ja",R113=""),1,0)</f>
        <v>0</v>
      </c>
      <c r="Y113" s="74">
        <v>1.5E-3</v>
      </c>
      <c r="Z113" s="77">
        <f>IF(H113="ja",Y113,0)</f>
        <v>0</v>
      </c>
      <c r="AA113" s="78"/>
      <c r="AB113" s="78">
        <f t="shared" si="1"/>
        <v>0</v>
      </c>
      <c r="AC113" s="68"/>
      <c r="AD113" s="68"/>
      <c r="AE113" s="68"/>
      <c r="AF113" s="68"/>
      <c r="AG113" s="68"/>
      <c r="AH113" s="68"/>
      <c r="AI113" s="68"/>
      <c r="AJ113" s="68"/>
      <c r="AK113" s="68"/>
    </row>
    <row r="114" spans="1:37" ht="15" customHeight="1" thickBot="1" x14ac:dyDescent="0.3">
      <c r="A114" s="1516"/>
      <c r="B114" s="1490"/>
      <c r="C114" s="1491"/>
      <c r="D114" s="1491"/>
      <c r="E114" s="1491"/>
      <c r="F114" s="1491"/>
      <c r="G114" s="1492"/>
      <c r="H114" s="983"/>
      <c r="I114" s="1018"/>
      <c r="J114" s="1031"/>
      <c r="K114" s="1032"/>
      <c r="L114" s="1541"/>
      <c r="M114" s="1542"/>
      <c r="N114" s="1542"/>
      <c r="O114" s="1542"/>
      <c r="P114" s="1542"/>
      <c r="Q114" s="1548"/>
      <c r="R114" s="974"/>
      <c r="S114" s="975"/>
      <c r="T114" s="1259"/>
      <c r="U114" s="1337"/>
      <c r="Y114" s="74"/>
      <c r="Z114" s="77"/>
      <c r="AA114" s="78"/>
      <c r="AB114" s="78">
        <f t="shared" si="1"/>
        <v>0</v>
      </c>
      <c r="AC114" s="68"/>
      <c r="AD114" s="68"/>
      <c r="AE114" s="68"/>
      <c r="AF114" s="68"/>
      <c r="AG114" s="68"/>
      <c r="AH114" s="68"/>
      <c r="AI114" s="68"/>
      <c r="AJ114" s="68"/>
      <c r="AK114" s="68"/>
    </row>
    <row r="115" spans="1:37" ht="15" customHeight="1" x14ac:dyDescent="0.25">
      <c r="A115" s="1516"/>
      <c r="B115" s="1035" t="s">
        <v>154</v>
      </c>
      <c r="C115" s="1036"/>
      <c r="D115" s="1036"/>
      <c r="E115" s="1036"/>
      <c r="F115" s="1036"/>
      <c r="G115" s="1036"/>
      <c r="H115" s="1161"/>
      <c r="I115" s="1035">
        <f>IF(N19="Kostenberechnung liegt noch nicht vor",I78,N19)</f>
        <v>0</v>
      </c>
      <c r="J115" s="1036"/>
      <c r="K115" s="1037"/>
      <c r="L115" s="1561">
        <f>SUM(R82:S114)</f>
        <v>0</v>
      </c>
      <c r="M115" s="1562"/>
      <c r="N115" s="1562"/>
      <c r="O115" s="1562"/>
      <c r="P115" s="1580"/>
      <c r="Q115" s="1549"/>
      <c r="R115" s="1612"/>
      <c r="S115" s="1613"/>
      <c r="T115" s="1567"/>
      <c r="U115" s="1567"/>
      <c r="Y115" s="74"/>
      <c r="Z115" s="152">
        <f>SUM(Z82:Z113)</f>
        <v>0</v>
      </c>
      <c r="AA115" s="78"/>
      <c r="AB115" s="78">
        <f t="shared" si="1"/>
        <v>0</v>
      </c>
      <c r="AC115" s="68"/>
      <c r="AD115" s="68"/>
      <c r="AE115" s="68"/>
      <c r="AF115" s="68"/>
      <c r="AG115" s="68"/>
      <c r="AH115" s="68"/>
      <c r="AI115" s="68"/>
      <c r="AJ115" s="68"/>
      <c r="AK115" s="68"/>
    </row>
    <row r="116" spans="1:37" x14ac:dyDescent="0.25">
      <c r="A116" s="1516"/>
      <c r="B116" s="1038"/>
      <c r="C116" s="1039"/>
      <c r="D116" s="1039"/>
      <c r="E116" s="1039"/>
      <c r="F116" s="1039"/>
      <c r="G116" s="1039"/>
      <c r="H116" s="1162"/>
      <c r="I116" s="1038"/>
      <c r="J116" s="1039"/>
      <c r="K116" s="1040"/>
      <c r="L116" s="1563"/>
      <c r="M116" s="1564"/>
      <c r="N116" s="1564"/>
      <c r="O116" s="1564"/>
      <c r="P116" s="1581"/>
      <c r="Q116" s="1550"/>
      <c r="R116" s="1614"/>
      <c r="S116" s="1615"/>
      <c r="T116" s="1568"/>
      <c r="U116" s="1568"/>
      <c r="AA116" s="78"/>
      <c r="AB116" s="78">
        <f t="shared" si="1"/>
        <v>0</v>
      </c>
      <c r="AC116" s="68"/>
      <c r="AD116" s="68"/>
      <c r="AE116" s="68"/>
      <c r="AF116" s="68"/>
      <c r="AG116" s="68"/>
      <c r="AH116" s="68"/>
      <c r="AI116" s="68"/>
      <c r="AJ116" s="68"/>
      <c r="AK116" s="68"/>
    </row>
    <row r="117" spans="1:37" ht="14.55" thickBot="1" x14ac:dyDescent="0.3">
      <c r="A117" s="1516"/>
      <c r="B117" s="1041"/>
      <c r="C117" s="1042"/>
      <c r="D117" s="1042"/>
      <c r="E117" s="1042"/>
      <c r="F117" s="1042"/>
      <c r="G117" s="1042"/>
      <c r="H117" s="1163"/>
      <c r="I117" s="1041"/>
      <c r="J117" s="1042"/>
      <c r="K117" s="1043"/>
      <c r="L117" s="1565"/>
      <c r="M117" s="1566"/>
      <c r="N117" s="1566"/>
      <c r="O117" s="1566"/>
      <c r="P117" s="1582"/>
      <c r="Q117" s="1551"/>
      <c r="R117" s="1616"/>
      <c r="S117" s="1617"/>
      <c r="T117" s="1568"/>
      <c r="U117" s="1569"/>
      <c r="AA117" s="78"/>
      <c r="AB117" s="78">
        <f t="shared" si="1"/>
        <v>0</v>
      </c>
      <c r="AC117" s="68"/>
      <c r="AD117" s="68"/>
      <c r="AE117" s="68"/>
      <c r="AF117" s="68"/>
      <c r="AG117" s="68"/>
      <c r="AH117" s="68"/>
      <c r="AI117" s="68"/>
      <c r="AJ117" s="68"/>
      <c r="AK117" s="68"/>
    </row>
    <row r="118" spans="1:37" ht="14.55" thickBot="1" x14ac:dyDescent="0.3">
      <c r="A118" s="1516"/>
      <c r="B118" s="1511" t="s">
        <v>198</v>
      </c>
      <c r="C118" s="1512"/>
      <c r="D118" s="1512"/>
      <c r="E118" s="1512"/>
      <c r="F118" s="1512"/>
      <c r="G118" s="1512"/>
      <c r="H118" s="337"/>
      <c r="I118" s="1361"/>
      <c r="J118" s="1362"/>
      <c r="K118" s="1576"/>
      <c r="L118" s="1536"/>
      <c r="M118" s="1302"/>
      <c r="N118" s="1302"/>
      <c r="O118" s="1302"/>
      <c r="P118" s="1302"/>
      <c r="Q118" s="338"/>
      <c r="R118" s="1495"/>
      <c r="S118" s="1496"/>
      <c r="T118" s="334"/>
      <c r="U118" s="334"/>
      <c r="AA118" s="78"/>
      <c r="AB118" s="78">
        <f t="shared" si="1"/>
        <v>0</v>
      </c>
      <c r="AC118" s="68"/>
      <c r="AD118" s="68"/>
      <c r="AE118" s="68"/>
      <c r="AF118" s="68"/>
      <c r="AG118" s="68"/>
      <c r="AH118" s="68"/>
      <c r="AI118" s="68"/>
      <c r="AJ118" s="68"/>
      <c r="AK118" s="68"/>
    </row>
    <row r="119" spans="1:37" ht="15" customHeight="1" thickBot="1" x14ac:dyDescent="0.3">
      <c r="A119" s="1516"/>
      <c r="B119" s="1497" t="s">
        <v>402</v>
      </c>
      <c r="C119" s="1498"/>
      <c r="D119" s="1498"/>
      <c r="E119" s="1498"/>
      <c r="F119" s="1498"/>
      <c r="G119" s="1499"/>
      <c r="H119" s="1194" t="s">
        <v>100</v>
      </c>
      <c r="I119" s="1016">
        <f>Z127</f>
        <v>0</v>
      </c>
      <c r="J119" s="1027">
        <f>I115*I119</f>
        <v>0</v>
      </c>
      <c r="K119" s="1028"/>
      <c r="L119" s="1572"/>
      <c r="M119" s="1573"/>
      <c r="N119" s="1573"/>
      <c r="O119" s="1573"/>
      <c r="P119" s="1573"/>
      <c r="Q119" s="1548" t="s">
        <v>100</v>
      </c>
      <c r="R119" s="972"/>
      <c r="S119" s="973"/>
      <c r="T119" s="1257" t="str">
        <f>IFERROR(IF((VLOOKUP(U119,Überblick!$M$125:$N$133,2))="ja","ja","nein"),"")</f>
        <v/>
      </c>
      <c r="U119" s="1337"/>
      <c r="V119" s="72">
        <f>IF(AND(Q119="ja",R119=""),1,0)</f>
        <v>0</v>
      </c>
      <c r="Y119" s="74">
        <v>1.7500000000000002E-2</v>
      </c>
      <c r="Z119" s="77">
        <f>IF(H119="ja",Y119,0)</f>
        <v>0</v>
      </c>
      <c r="AA119" s="78"/>
      <c r="AB119" s="78">
        <f t="shared" si="1"/>
        <v>0</v>
      </c>
      <c r="AC119" s="68"/>
      <c r="AD119" s="68"/>
      <c r="AE119" s="68"/>
      <c r="AF119" s="68"/>
      <c r="AG119" s="68"/>
      <c r="AH119" s="68"/>
      <c r="AI119" s="68"/>
      <c r="AJ119" s="68"/>
      <c r="AK119" s="68"/>
    </row>
    <row r="120" spans="1:37" ht="15" customHeight="1" thickBot="1" x14ac:dyDescent="0.3">
      <c r="A120" s="1516"/>
      <c r="B120" s="1493"/>
      <c r="C120" s="1317"/>
      <c r="D120" s="1317"/>
      <c r="E120" s="1317"/>
      <c r="F120" s="1317"/>
      <c r="G120" s="1494"/>
      <c r="H120" s="982"/>
      <c r="I120" s="1017"/>
      <c r="J120" s="1029"/>
      <c r="K120" s="1030"/>
      <c r="L120" s="984"/>
      <c r="M120" s="985"/>
      <c r="N120" s="985"/>
      <c r="O120" s="985"/>
      <c r="P120" s="985"/>
      <c r="Q120" s="1548"/>
      <c r="R120" s="972"/>
      <c r="S120" s="973"/>
      <c r="T120" s="1258"/>
      <c r="U120" s="1337"/>
      <c r="V120" s="339"/>
      <c r="Y120" s="74"/>
      <c r="Z120" s="77"/>
      <c r="AA120" s="78"/>
      <c r="AB120" s="78">
        <f t="shared" si="1"/>
        <v>0</v>
      </c>
      <c r="AC120" s="68"/>
      <c r="AD120" s="68"/>
      <c r="AE120" s="68"/>
      <c r="AF120" s="68"/>
      <c r="AG120" s="68"/>
      <c r="AH120" s="68"/>
      <c r="AI120" s="68"/>
      <c r="AJ120" s="68"/>
      <c r="AK120" s="68"/>
    </row>
    <row r="121" spans="1:37" ht="15" customHeight="1" thickBot="1" x14ac:dyDescent="0.3">
      <c r="A121" s="1516"/>
      <c r="B121" s="1493"/>
      <c r="C121" s="1317"/>
      <c r="D121" s="1317"/>
      <c r="E121" s="1317"/>
      <c r="F121" s="1317"/>
      <c r="G121" s="1494"/>
      <c r="H121" s="982"/>
      <c r="I121" s="1017"/>
      <c r="J121" s="1029"/>
      <c r="K121" s="1030"/>
      <c r="L121" s="984"/>
      <c r="M121" s="985"/>
      <c r="N121" s="985"/>
      <c r="O121" s="985"/>
      <c r="P121" s="985"/>
      <c r="Q121" s="1548"/>
      <c r="R121" s="972"/>
      <c r="S121" s="973"/>
      <c r="T121" s="1258"/>
      <c r="U121" s="1337"/>
      <c r="V121" s="339"/>
      <c r="Y121" s="74"/>
      <c r="Z121" s="77"/>
      <c r="AA121" s="78"/>
      <c r="AB121" s="78">
        <f t="shared" si="1"/>
        <v>0</v>
      </c>
      <c r="AC121" s="68"/>
      <c r="AD121" s="68"/>
      <c r="AE121" s="68"/>
      <c r="AF121" s="68"/>
      <c r="AG121" s="68"/>
      <c r="AH121" s="68"/>
      <c r="AI121" s="68"/>
      <c r="AJ121" s="68"/>
      <c r="AK121" s="68"/>
    </row>
    <row r="122" spans="1:37" ht="15" customHeight="1" thickBot="1" x14ac:dyDescent="0.3">
      <c r="A122" s="1516"/>
      <c r="B122" s="1493"/>
      <c r="C122" s="1317"/>
      <c r="D122" s="1317"/>
      <c r="E122" s="1317"/>
      <c r="F122" s="1317"/>
      <c r="G122" s="1494"/>
      <c r="H122" s="982"/>
      <c r="I122" s="1017"/>
      <c r="J122" s="1029"/>
      <c r="K122" s="1030"/>
      <c r="L122" s="984"/>
      <c r="M122" s="985"/>
      <c r="N122" s="985"/>
      <c r="O122" s="985"/>
      <c r="P122" s="985"/>
      <c r="Q122" s="1548" t="s">
        <v>100</v>
      </c>
      <c r="R122" s="972"/>
      <c r="S122" s="973"/>
      <c r="T122" s="1258"/>
      <c r="U122" s="1337"/>
      <c r="V122" s="72">
        <f>IF(AND(Q122="ja",R122=""),1,0)</f>
        <v>0</v>
      </c>
      <c r="Y122" s="74"/>
      <c r="Z122" s="77"/>
      <c r="AA122" s="78"/>
      <c r="AB122" s="78">
        <f t="shared" si="1"/>
        <v>0</v>
      </c>
      <c r="AC122" s="68"/>
      <c r="AD122" s="68"/>
      <c r="AE122" s="68"/>
      <c r="AF122" s="68"/>
      <c r="AG122" s="68"/>
      <c r="AH122" s="68"/>
      <c r="AI122" s="68"/>
      <c r="AJ122" s="68"/>
      <c r="AK122" s="68"/>
    </row>
    <row r="123" spans="1:37" ht="15" customHeight="1" thickBot="1" x14ac:dyDescent="0.3">
      <c r="A123" s="1516"/>
      <c r="B123" s="1490"/>
      <c r="C123" s="1491"/>
      <c r="D123" s="1491"/>
      <c r="E123" s="1491"/>
      <c r="F123" s="1491"/>
      <c r="G123" s="1492"/>
      <c r="H123" s="983"/>
      <c r="I123" s="1017"/>
      <c r="J123" s="1029"/>
      <c r="K123" s="1030"/>
      <c r="L123" s="984"/>
      <c r="M123" s="985"/>
      <c r="N123" s="985"/>
      <c r="O123" s="985"/>
      <c r="P123" s="985"/>
      <c r="Q123" s="1548"/>
      <c r="R123" s="972"/>
      <c r="S123" s="973"/>
      <c r="T123" s="1258"/>
      <c r="U123" s="1337"/>
      <c r="Y123" s="74"/>
      <c r="Z123" s="77"/>
      <c r="AA123" s="78"/>
      <c r="AB123" s="78">
        <f t="shared" si="1"/>
        <v>0</v>
      </c>
      <c r="AC123" s="68"/>
      <c r="AD123" s="68"/>
      <c r="AE123" s="68"/>
      <c r="AF123" s="68"/>
      <c r="AG123" s="68"/>
      <c r="AH123" s="68"/>
      <c r="AI123" s="68"/>
      <c r="AJ123" s="68"/>
      <c r="AK123" s="68"/>
    </row>
    <row r="124" spans="1:37" ht="15" customHeight="1" thickBot="1" x14ac:dyDescent="0.3">
      <c r="A124" s="1516"/>
      <c r="B124" s="1487" t="s">
        <v>403</v>
      </c>
      <c r="C124" s="1488"/>
      <c r="D124" s="1488"/>
      <c r="E124" s="1488"/>
      <c r="F124" s="1488"/>
      <c r="G124" s="1489"/>
      <c r="H124" s="981" t="s">
        <v>100</v>
      </c>
      <c r="I124" s="1017"/>
      <c r="J124" s="1029"/>
      <c r="K124" s="1030"/>
      <c r="L124" s="984"/>
      <c r="M124" s="985"/>
      <c r="N124" s="985"/>
      <c r="O124" s="985"/>
      <c r="P124" s="985"/>
      <c r="Q124" s="1548"/>
      <c r="R124" s="972"/>
      <c r="S124" s="973"/>
      <c r="T124" s="1258"/>
      <c r="U124" s="1337"/>
      <c r="Y124" s="74">
        <v>2.5000000000000001E-3</v>
      </c>
      <c r="Z124" s="77">
        <f>IF(H124="ja",Y124,0)</f>
        <v>0</v>
      </c>
      <c r="AA124" s="77"/>
      <c r="AB124" s="78">
        <f t="shared" si="1"/>
        <v>0</v>
      </c>
      <c r="AC124" s="68"/>
      <c r="AD124" s="68"/>
      <c r="AE124" s="68"/>
      <c r="AF124" s="68"/>
      <c r="AG124" s="68"/>
      <c r="AH124" s="68"/>
      <c r="AI124" s="68"/>
      <c r="AJ124" s="68"/>
      <c r="AK124" s="68"/>
    </row>
    <row r="125" spans="1:37" ht="15" customHeight="1" thickBot="1" x14ac:dyDescent="0.3">
      <c r="A125" s="1516"/>
      <c r="B125" s="1493"/>
      <c r="C125" s="1317"/>
      <c r="D125" s="1317"/>
      <c r="E125" s="1317"/>
      <c r="F125" s="1317"/>
      <c r="G125" s="1494"/>
      <c r="H125" s="982"/>
      <c r="I125" s="1017"/>
      <c r="J125" s="1029"/>
      <c r="K125" s="1030"/>
      <c r="L125" s="1539"/>
      <c r="M125" s="1540"/>
      <c r="N125" s="1540"/>
      <c r="O125" s="1540"/>
      <c r="P125" s="1540"/>
      <c r="Q125" s="1548" t="s">
        <v>100</v>
      </c>
      <c r="R125" s="972"/>
      <c r="S125" s="973"/>
      <c r="T125" s="1258"/>
      <c r="U125" s="1337"/>
      <c r="V125" s="72">
        <f>IF(AND(Q125="ja",R125=""),1,0)</f>
        <v>0</v>
      </c>
      <c r="Y125" s="74"/>
      <c r="Z125" s="77"/>
      <c r="AA125" s="78"/>
      <c r="AB125" s="78">
        <f t="shared" si="1"/>
        <v>0</v>
      </c>
      <c r="AC125" s="68"/>
      <c r="AD125" s="68"/>
      <c r="AE125" s="68"/>
      <c r="AF125" s="68"/>
      <c r="AG125" s="68"/>
      <c r="AH125" s="68"/>
      <c r="AI125" s="68"/>
      <c r="AJ125" s="68"/>
      <c r="AK125" s="68"/>
    </row>
    <row r="126" spans="1:37" ht="15" customHeight="1" thickBot="1" x14ac:dyDescent="0.3">
      <c r="A126" s="1516"/>
      <c r="B126" s="1490"/>
      <c r="C126" s="1491"/>
      <c r="D126" s="1491"/>
      <c r="E126" s="1491"/>
      <c r="F126" s="1491"/>
      <c r="G126" s="1492"/>
      <c r="H126" s="983"/>
      <c r="I126" s="1018"/>
      <c r="J126" s="1031"/>
      <c r="K126" s="1032"/>
      <c r="L126" s="1559"/>
      <c r="M126" s="1560"/>
      <c r="N126" s="1560"/>
      <c r="O126" s="1560"/>
      <c r="P126" s="1560"/>
      <c r="Q126" s="1548"/>
      <c r="R126" s="972"/>
      <c r="S126" s="973"/>
      <c r="T126" s="1259"/>
      <c r="U126" s="1337"/>
      <c r="V126" s="339"/>
      <c r="Y126" s="74"/>
      <c r="Z126" s="77"/>
      <c r="AA126" s="78"/>
      <c r="AB126" s="78">
        <f t="shared" si="1"/>
        <v>0</v>
      </c>
      <c r="AC126" s="68"/>
      <c r="AD126" s="68"/>
      <c r="AE126" s="68"/>
      <c r="AF126" s="68"/>
      <c r="AG126" s="68"/>
      <c r="AH126" s="68"/>
      <c r="AI126" s="68"/>
      <c r="AJ126" s="68"/>
      <c r="AK126" s="68"/>
    </row>
    <row r="127" spans="1:37" ht="14.55" thickBot="1" x14ac:dyDescent="0.3">
      <c r="B127" s="1511" t="s">
        <v>204</v>
      </c>
      <c r="C127" s="1512"/>
      <c r="D127" s="1512"/>
      <c r="E127" s="1512"/>
      <c r="F127" s="1512"/>
      <c r="G127" s="1512"/>
      <c r="H127" s="337"/>
      <c r="I127" s="1361"/>
      <c r="J127" s="1362"/>
      <c r="K127" s="1362"/>
      <c r="L127" s="1574">
        <f>SUM(R119:S126)</f>
        <v>0</v>
      </c>
      <c r="M127" s="1575"/>
      <c r="N127" s="1575"/>
      <c r="O127" s="1575"/>
      <c r="P127" s="1575"/>
      <c r="Q127" s="338"/>
      <c r="R127" s="1495"/>
      <c r="S127" s="1496"/>
      <c r="U127" s="334"/>
      <c r="V127" s="339"/>
      <c r="Y127" s="74"/>
      <c r="Z127" s="152">
        <f>SUM(Z119:Z124)</f>
        <v>0</v>
      </c>
      <c r="AA127" s="78"/>
      <c r="AB127" s="78">
        <f t="shared" si="1"/>
        <v>0</v>
      </c>
      <c r="AC127" s="68"/>
      <c r="AD127" s="68"/>
      <c r="AE127" s="68"/>
      <c r="AF127" s="68"/>
      <c r="AG127" s="68"/>
      <c r="AH127" s="68"/>
      <c r="AI127" s="68"/>
      <c r="AJ127" s="68"/>
      <c r="AK127" s="68"/>
    </row>
    <row r="128" spans="1:37" ht="14.25" customHeight="1" x14ac:dyDescent="0.25">
      <c r="A128" s="1523" t="s">
        <v>206</v>
      </c>
      <c r="B128" s="1497" t="s">
        <v>404</v>
      </c>
      <c r="C128" s="1498"/>
      <c r="D128" s="1498"/>
      <c r="E128" s="1498"/>
      <c r="F128" s="1498"/>
      <c r="G128" s="1499"/>
      <c r="H128" s="1194" t="s">
        <v>100</v>
      </c>
      <c r="I128" s="1662">
        <f>Z128</f>
        <v>0</v>
      </c>
      <c r="J128" s="1526">
        <f>I115*I128</f>
        <v>0</v>
      </c>
      <c r="K128" s="1527"/>
      <c r="L128" s="984" t="s">
        <v>405</v>
      </c>
      <c r="M128" s="985"/>
      <c r="N128" s="985"/>
      <c r="O128" s="985"/>
      <c r="P128" s="985"/>
      <c r="Q128" s="978" t="s">
        <v>100</v>
      </c>
      <c r="R128" s="972"/>
      <c r="S128" s="973"/>
      <c r="T128" s="1622" t="str">
        <f>IFERROR(IF((VLOOKUP(U128,Überblick!$M$125:$N$133,2))="ja","ja","nein"),"")</f>
        <v/>
      </c>
      <c r="U128" s="1618"/>
      <c r="V128" s="72">
        <f>IF(AND(Q128="ja",R128=""),1,0)</f>
        <v>0</v>
      </c>
      <c r="Y128" s="74">
        <v>4.4999999999999998E-2</v>
      </c>
      <c r="Z128" s="77">
        <f>IF(H128="ja",Y128,0)</f>
        <v>0</v>
      </c>
      <c r="AA128" s="78"/>
      <c r="AB128" s="78">
        <f t="shared" si="1"/>
        <v>0</v>
      </c>
      <c r="AC128" s="68"/>
      <c r="AD128" s="68"/>
      <c r="AE128" s="68"/>
      <c r="AF128" s="68"/>
      <c r="AG128" s="68"/>
      <c r="AH128" s="68"/>
      <c r="AI128" s="68"/>
      <c r="AJ128" s="68"/>
      <c r="AK128" s="68"/>
    </row>
    <row r="129" spans="1:37" ht="14.25" customHeight="1" x14ac:dyDescent="0.25">
      <c r="A129" s="1523"/>
      <c r="B129" s="1493"/>
      <c r="C129" s="1317"/>
      <c r="D129" s="1317"/>
      <c r="E129" s="1317"/>
      <c r="F129" s="1317"/>
      <c r="G129" s="1494"/>
      <c r="H129" s="982"/>
      <c r="I129" s="1663"/>
      <c r="J129" s="1528"/>
      <c r="K129" s="1529"/>
      <c r="L129" s="984"/>
      <c r="M129" s="985"/>
      <c r="N129" s="985"/>
      <c r="O129" s="985"/>
      <c r="P129" s="985"/>
      <c r="Q129" s="978"/>
      <c r="R129" s="972"/>
      <c r="S129" s="973"/>
      <c r="T129" s="1621"/>
      <c r="U129" s="1372"/>
      <c r="Y129" s="74"/>
      <c r="Z129" s="77"/>
      <c r="AA129" s="78"/>
      <c r="AB129" s="78">
        <f t="shared" si="1"/>
        <v>0</v>
      </c>
      <c r="AC129" s="68"/>
      <c r="AD129" s="68"/>
      <c r="AE129" s="68"/>
      <c r="AF129" s="68"/>
      <c r="AG129" s="68"/>
      <c r="AH129" s="68"/>
      <c r="AI129" s="68"/>
      <c r="AJ129" s="68"/>
      <c r="AK129" s="68"/>
    </row>
    <row r="130" spans="1:37" ht="14.25" customHeight="1" x14ac:dyDescent="0.25">
      <c r="A130" s="1523"/>
      <c r="B130" s="1493"/>
      <c r="C130" s="1317"/>
      <c r="D130" s="1317"/>
      <c r="E130" s="1317"/>
      <c r="F130" s="1317"/>
      <c r="G130" s="1494"/>
      <c r="H130" s="982"/>
      <c r="I130" s="1663"/>
      <c r="J130" s="1528"/>
      <c r="K130" s="1529"/>
      <c r="L130" s="984"/>
      <c r="M130" s="985"/>
      <c r="N130" s="985"/>
      <c r="O130" s="985"/>
      <c r="P130" s="985"/>
      <c r="Q130" s="978"/>
      <c r="R130" s="972"/>
      <c r="S130" s="973"/>
      <c r="T130" s="1621"/>
      <c r="U130" s="1372"/>
      <c r="Y130" s="74"/>
      <c r="Z130" s="77"/>
      <c r="AA130" s="78"/>
      <c r="AB130" s="78">
        <f t="shared" si="1"/>
        <v>0</v>
      </c>
      <c r="AC130" s="68"/>
      <c r="AD130" s="68"/>
      <c r="AE130" s="68"/>
      <c r="AF130" s="68"/>
      <c r="AG130" s="68"/>
      <c r="AH130" s="68"/>
      <c r="AI130" s="68"/>
      <c r="AJ130" s="68"/>
      <c r="AK130" s="68"/>
    </row>
    <row r="131" spans="1:37" ht="14.25" customHeight="1" x14ac:dyDescent="0.25">
      <c r="A131" s="1523"/>
      <c r="B131" s="1493"/>
      <c r="C131" s="1317"/>
      <c r="D131" s="1317"/>
      <c r="E131" s="1317"/>
      <c r="F131" s="1317"/>
      <c r="G131" s="1494"/>
      <c r="H131" s="982"/>
      <c r="I131" s="1663"/>
      <c r="J131" s="1528"/>
      <c r="K131" s="1529"/>
      <c r="L131" s="984" t="s">
        <v>406</v>
      </c>
      <c r="M131" s="985"/>
      <c r="N131" s="985"/>
      <c r="O131" s="985"/>
      <c r="P131" s="985"/>
      <c r="Q131" s="978" t="s">
        <v>100</v>
      </c>
      <c r="R131" s="972"/>
      <c r="S131" s="973"/>
      <c r="T131" s="1621"/>
      <c r="U131" s="1372"/>
      <c r="V131" s="72">
        <f>IF(AND(Q131="ja",R131=""),1,0)</f>
        <v>0</v>
      </c>
      <c r="Y131" s="74"/>
      <c r="Z131" s="77"/>
      <c r="AA131" s="78"/>
      <c r="AB131" s="78">
        <f t="shared" si="1"/>
        <v>0</v>
      </c>
      <c r="AC131" s="68"/>
      <c r="AD131" s="68"/>
      <c r="AE131" s="68"/>
      <c r="AF131" s="68"/>
      <c r="AG131" s="68"/>
      <c r="AH131" s="68"/>
      <c r="AI131" s="68"/>
      <c r="AJ131" s="68"/>
      <c r="AK131" s="68"/>
    </row>
    <row r="132" spans="1:37" ht="14.25" customHeight="1" x14ac:dyDescent="0.25">
      <c r="A132" s="1523"/>
      <c r="B132" s="1490"/>
      <c r="C132" s="1491"/>
      <c r="D132" s="1491"/>
      <c r="E132" s="1491"/>
      <c r="F132" s="1491"/>
      <c r="G132" s="1492"/>
      <c r="H132" s="983"/>
      <c r="I132" s="1663"/>
      <c r="J132" s="1528"/>
      <c r="K132" s="1529"/>
      <c r="L132" s="984"/>
      <c r="M132" s="985"/>
      <c r="N132" s="985"/>
      <c r="O132" s="985"/>
      <c r="P132" s="985"/>
      <c r="Q132" s="978"/>
      <c r="R132" s="972"/>
      <c r="S132" s="973"/>
      <c r="T132" s="1621"/>
      <c r="U132" s="1372"/>
      <c r="Y132" s="74"/>
      <c r="Z132" s="77"/>
      <c r="AA132" s="78"/>
      <c r="AB132" s="78">
        <f t="shared" si="1"/>
        <v>0</v>
      </c>
      <c r="AC132" s="68"/>
      <c r="AD132" s="68"/>
      <c r="AE132" s="68"/>
      <c r="AF132" s="68"/>
      <c r="AG132" s="68"/>
      <c r="AH132" s="68"/>
      <c r="AI132" s="68"/>
      <c r="AJ132" s="68"/>
      <c r="AK132" s="68"/>
    </row>
    <row r="133" spans="1:37" ht="14.25" customHeight="1" x14ac:dyDescent="0.25">
      <c r="A133" s="1523" t="s">
        <v>208</v>
      </c>
      <c r="B133" s="1487" t="s">
        <v>407</v>
      </c>
      <c r="C133" s="1488"/>
      <c r="D133" s="1488"/>
      <c r="E133" s="1488"/>
      <c r="F133" s="1488"/>
      <c r="G133" s="1489"/>
      <c r="H133" s="981" t="s">
        <v>100</v>
      </c>
      <c r="I133" s="1663">
        <f>Z133</f>
        <v>0</v>
      </c>
      <c r="J133" s="1528">
        <f>I133*I115</f>
        <v>0</v>
      </c>
      <c r="K133" s="1529"/>
      <c r="L133" s="1572" t="s">
        <v>408</v>
      </c>
      <c r="M133" s="1573"/>
      <c r="N133" s="1573"/>
      <c r="O133" s="1573"/>
      <c r="P133" s="1573"/>
      <c r="Q133" s="1295" t="s">
        <v>100</v>
      </c>
      <c r="R133" s="1619"/>
      <c r="S133" s="1620"/>
      <c r="T133" s="1621" t="str">
        <f>IFERROR(IF((VLOOKUP(U133,Überblick!$M$125:$N$133,2))="ja","ja","nein"),"")</f>
        <v/>
      </c>
      <c r="U133" s="1372"/>
      <c r="V133" s="72">
        <f>IF(AND(Q133="ja",R133=""),1,0)</f>
        <v>0</v>
      </c>
      <c r="Y133" s="74">
        <v>8.5000000000000006E-2</v>
      </c>
      <c r="Z133" s="77">
        <f>IF(H133="ja",Y133,0)</f>
        <v>0</v>
      </c>
      <c r="AA133" s="78"/>
      <c r="AB133" s="78">
        <f t="shared" si="1"/>
        <v>0</v>
      </c>
      <c r="AC133" s="68"/>
      <c r="AD133" s="68"/>
      <c r="AE133" s="68"/>
      <c r="AF133" s="68"/>
      <c r="AG133" s="68"/>
      <c r="AH133" s="68"/>
      <c r="AI133" s="68"/>
      <c r="AJ133" s="68"/>
      <c r="AK133" s="68"/>
    </row>
    <row r="134" spans="1:37" ht="14.25" customHeight="1" x14ac:dyDescent="0.25">
      <c r="A134" s="1523"/>
      <c r="B134" s="1493"/>
      <c r="C134" s="1317"/>
      <c r="D134" s="1317"/>
      <c r="E134" s="1317"/>
      <c r="F134" s="1317"/>
      <c r="G134" s="1494"/>
      <c r="H134" s="982"/>
      <c r="I134" s="1663"/>
      <c r="J134" s="1528"/>
      <c r="K134" s="1529"/>
      <c r="L134" s="984"/>
      <c r="M134" s="985"/>
      <c r="N134" s="985"/>
      <c r="O134" s="985"/>
      <c r="P134" s="985"/>
      <c r="Q134" s="978"/>
      <c r="R134" s="972"/>
      <c r="S134" s="973"/>
      <c r="T134" s="1621"/>
      <c r="U134" s="1372"/>
      <c r="AA134" s="78"/>
      <c r="AB134" s="78">
        <f t="shared" si="1"/>
        <v>0</v>
      </c>
      <c r="AC134" s="68"/>
      <c r="AD134" s="68"/>
      <c r="AE134" s="68"/>
      <c r="AF134" s="68"/>
      <c r="AG134" s="68"/>
      <c r="AH134" s="68"/>
      <c r="AI134" s="68"/>
      <c r="AJ134" s="68"/>
      <c r="AK134" s="68"/>
    </row>
    <row r="135" spans="1:37" ht="14.25" customHeight="1" x14ac:dyDescent="0.25">
      <c r="A135" s="1523"/>
      <c r="B135" s="1493"/>
      <c r="C135" s="1317"/>
      <c r="D135" s="1317"/>
      <c r="E135" s="1317"/>
      <c r="F135" s="1317"/>
      <c r="G135" s="1494"/>
      <c r="H135" s="982"/>
      <c r="I135" s="1663"/>
      <c r="J135" s="1528"/>
      <c r="K135" s="1529"/>
      <c r="L135" s="984"/>
      <c r="M135" s="985"/>
      <c r="N135" s="985"/>
      <c r="O135" s="985"/>
      <c r="P135" s="985"/>
      <c r="Q135" s="978"/>
      <c r="R135" s="972"/>
      <c r="S135" s="973"/>
      <c r="T135" s="1621"/>
      <c r="U135" s="1372"/>
      <c r="AA135" s="78"/>
      <c r="AB135" s="78">
        <f t="shared" si="1"/>
        <v>0</v>
      </c>
      <c r="AC135" s="68"/>
      <c r="AD135" s="68"/>
      <c r="AE135" s="68"/>
      <c r="AF135" s="68"/>
      <c r="AG135" s="68"/>
      <c r="AH135" s="68"/>
      <c r="AI135" s="68"/>
      <c r="AJ135" s="68"/>
      <c r="AK135" s="68"/>
    </row>
    <row r="136" spans="1:37" ht="14.25" customHeight="1" x14ac:dyDescent="0.25">
      <c r="A136" s="1523"/>
      <c r="B136" s="1493"/>
      <c r="C136" s="1317"/>
      <c r="D136" s="1317"/>
      <c r="E136" s="1317"/>
      <c r="F136" s="1317"/>
      <c r="G136" s="1494"/>
      <c r="H136" s="982"/>
      <c r="I136" s="1663"/>
      <c r="J136" s="1528"/>
      <c r="K136" s="1529"/>
      <c r="L136" s="984"/>
      <c r="M136" s="985"/>
      <c r="N136" s="985"/>
      <c r="O136" s="985"/>
      <c r="P136" s="985"/>
      <c r="Q136" s="978" t="s">
        <v>100</v>
      </c>
      <c r="R136" s="972"/>
      <c r="S136" s="973"/>
      <c r="T136" s="1621"/>
      <c r="U136" s="1372"/>
      <c r="V136" s="72">
        <f>IF(AND(Q136="ja",R136=""),1,0)</f>
        <v>0</v>
      </c>
      <c r="AA136" s="78"/>
      <c r="AB136" s="78">
        <f t="shared" si="1"/>
        <v>0</v>
      </c>
      <c r="AC136" s="68"/>
      <c r="AD136" s="68"/>
      <c r="AE136" s="68"/>
      <c r="AF136" s="68"/>
      <c r="AG136" s="68"/>
      <c r="AH136" s="68"/>
      <c r="AI136" s="68"/>
      <c r="AJ136" s="68"/>
      <c r="AK136" s="68"/>
    </row>
    <row r="137" spans="1:37" ht="14.25" customHeight="1" x14ac:dyDescent="0.25">
      <c r="A137" s="1523"/>
      <c r="B137" s="1493"/>
      <c r="C137" s="1317"/>
      <c r="D137" s="1317"/>
      <c r="E137" s="1317"/>
      <c r="F137" s="1317"/>
      <c r="G137" s="1494"/>
      <c r="H137" s="982"/>
      <c r="I137" s="1663"/>
      <c r="J137" s="1528"/>
      <c r="K137" s="1529"/>
      <c r="L137" s="984"/>
      <c r="M137" s="985"/>
      <c r="N137" s="985"/>
      <c r="O137" s="985"/>
      <c r="P137" s="985"/>
      <c r="Q137" s="978"/>
      <c r="R137" s="972"/>
      <c r="S137" s="973"/>
      <c r="T137" s="1621"/>
      <c r="U137" s="1372"/>
      <c r="Y137" s="74"/>
      <c r="Z137" s="77"/>
      <c r="AA137" s="78"/>
      <c r="AB137" s="78">
        <f t="shared" si="1"/>
        <v>0</v>
      </c>
      <c r="AC137" s="68"/>
      <c r="AD137" s="68"/>
      <c r="AE137" s="68"/>
      <c r="AF137" s="68"/>
      <c r="AG137" s="68"/>
      <c r="AH137" s="68"/>
      <c r="AI137" s="68"/>
      <c r="AJ137" s="68"/>
      <c r="AK137" s="68"/>
    </row>
    <row r="138" spans="1:37" ht="14.25" customHeight="1" x14ac:dyDescent="0.25">
      <c r="A138" s="1523"/>
      <c r="B138" s="1493"/>
      <c r="C138" s="1317"/>
      <c r="D138" s="1317"/>
      <c r="E138" s="1317"/>
      <c r="F138" s="1317"/>
      <c r="G138" s="1494"/>
      <c r="H138" s="982"/>
      <c r="I138" s="1663"/>
      <c r="J138" s="1528"/>
      <c r="K138" s="1529"/>
      <c r="L138" s="984"/>
      <c r="M138" s="985"/>
      <c r="N138" s="985"/>
      <c r="O138" s="985"/>
      <c r="P138" s="985"/>
      <c r="Q138" s="978"/>
      <c r="R138" s="972"/>
      <c r="S138" s="973"/>
      <c r="T138" s="1621"/>
      <c r="U138" s="1372"/>
      <c r="Y138" s="74"/>
      <c r="Z138" s="77"/>
      <c r="AA138" s="78"/>
      <c r="AB138" s="78">
        <f t="shared" si="1"/>
        <v>0</v>
      </c>
      <c r="AC138" s="68"/>
      <c r="AD138" s="68"/>
      <c r="AE138" s="68"/>
      <c r="AF138" s="68"/>
      <c r="AG138" s="68"/>
      <c r="AH138" s="68"/>
      <c r="AI138" s="68"/>
      <c r="AJ138" s="68"/>
      <c r="AK138" s="68"/>
    </row>
    <row r="139" spans="1:37" ht="14.25" customHeight="1" x14ac:dyDescent="0.25">
      <c r="A139" s="1523"/>
      <c r="B139" s="1493"/>
      <c r="C139" s="1317"/>
      <c r="D139" s="1317"/>
      <c r="E139" s="1317"/>
      <c r="F139" s="1317"/>
      <c r="G139" s="1494"/>
      <c r="H139" s="982"/>
      <c r="I139" s="1663"/>
      <c r="J139" s="1528"/>
      <c r="K139" s="1529"/>
      <c r="L139" s="984"/>
      <c r="M139" s="985"/>
      <c r="N139" s="985"/>
      <c r="O139" s="985"/>
      <c r="P139" s="985"/>
      <c r="Q139" s="978" t="s">
        <v>100</v>
      </c>
      <c r="R139" s="972"/>
      <c r="S139" s="973"/>
      <c r="T139" s="1621"/>
      <c r="U139" s="1372"/>
      <c r="V139" s="72">
        <f>IF(AND(Q139="ja",R139=""),1,0)</f>
        <v>0</v>
      </c>
      <c r="Y139" s="74"/>
      <c r="Z139" s="77"/>
      <c r="AA139" s="78"/>
      <c r="AB139" s="78">
        <f t="shared" si="1"/>
        <v>0</v>
      </c>
      <c r="AC139" s="68"/>
      <c r="AD139" s="68"/>
      <c r="AE139" s="68"/>
      <c r="AF139" s="68"/>
      <c r="AG139" s="68"/>
      <c r="AH139" s="68"/>
      <c r="AI139" s="68"/>
      <c r="AJ139" s="68"/>
      <c r="AK139" s="68"/>
    </row>
    <row r="140" spans="1:37" ht="14.25" customHeight="1" x14ac:dyDescent="0.25">
      <c r="A140" s="1523"/>
      <c r="B140" s="1493"/>
      <c r="C140" s="1317"/>
      <c r="D140" s="1317"/>
      <c r="E140" s="1317"/>
      <c r="F140" s="1317"/>
      <c r="G140" s="1494"/>
      <c r="H140" s="982"/>
      <c r="I140" s="1663"/>
      <c r="J140" s="1528"/>
      <c r="K140" s="1529"/>
      <c r="L140" s="984"/>
      <c r="M140" s="985"/>
      <c r="N140" s="985"/>
      <c r="O140" s="985"/>
      <c r="P140" s="985"/>
      <c r="Q140" s="978"/>
      <c r="R140" s="972"/>
      <c r="S140" s="973"/>
      <c r="T140" s="1621"/>
      <c r="U140" s="1372"/>
      <c r="Y140" s="74"/>
      <c r="Z140" s="77"/>
      <c r="AA140" s="78"/>
      <c r="AB140" s="78">
        <f t="shared" si="1"/>
        <v>0</v>
      </c>
      <c r="AC140" s="68"/>
      <c r="AD140" s="68"/>
      <c r="AE140" s="68"/>
      <c r="AF140" s="68"/>
      <c r="AG140" s="68"/>
      <c r="AH140" s="68"/>
      <c r="AI140" s="68"/>
      <c r="AJ140" s="68"/>
      <c r="AK140" s="68"/>
    </row>
    <row r="141" spans="1:37" ht="14.25" customHeight="1" x14ac:dyDescent="0.25">
      <c r="A141" s="1523"/>
      <c r="B141" s="1493"/>
      <c r="C141" s="1317"/>
      <c r="D141" s="1317"/>
      <c r="E141" s="1317"/>
      <c r="F141" s="1317"/>
      <c r="G141" s="1494"/>
      <c r="H141" s="982"/>
      <c r="I141" s="1663"/>
      <c r="J141" s="1528"/>
      <c r="K141" s="1529"/>
      <c r="L141" s="984"/>
      <c r="M141" s="985"/>
      <c r="N141" s="985"/>
      <c r="O141" s="985"/>
      <c r="P141" s="985"/>
      <c r="Q141" s="978"/>
      <c r="R141" s="972"/>
      <c r="S141" s="973"/>
      <c r="T141" s="1621"/>
      <c r="U141" s="1372"/>
      <c r="Y141" s="74"/>
      <c r="Z141" s="77"/>
      <c r="AA141" s="78"/>
      <c r="AB141" s="78">
        <f t="shared" si="1"/>
        <v>0</v>
      </c>
      <c r="AC141" s="68"/>
      <c r="AD141" s="68"/>
      <c r="AE141" s="68"/>
      <c r="AF141" s="68"/>
      <c r="AG141" s="68"/>
      <c r="AH141" s="68"/>
      <c r="AI141" s="68"/>
      <c r="AJ141" s="68"/>
      <c r="AK141" s="68"/>
    </row>
    <row r="142" spans="1:37" ht="14.25" customHeight="1" x14ac:dyDescent="0.25">
      <c r="A142" s="1523"/>
      <c r="B142" s="1490"/>
      <c r="C142" s="1491"/>
      <c r="D142" s="1491"/>
      <c r="E142" s="1491"/>
      <c r="F142" s="1491"/>
      <c r="G142" s="1492"/>
      <c r="H142" s="983"/>
      <c r="I142" s="1663"/>
      <c r="J142" s="1528"/>
      <c r="K142" s="1529"/>
      <c r="L142" s="1532"/>
      <c r="M142" s="1533"/>
      <c r="N142" s="1533"/>
      <c r="O142" s="1533"/>
      <c r="P142" s="1533"/>
      <c r="Q142" s="329" t="s">
        <v>100</v>
      </c>
      <c r="R142" s="972"/>
      <c r="S142" s="973"/>
      <c r="T142" s="1621"/>
      <c r="U142" s="1372"/>
      <c r="V142" s="72">
        <f>IF(AND(Q142="ja",R142=""),1,0)</f>
        <v>0</v>
      </c>
      <c r="Y142" s="74"/>
      <c r="Z142" s="77"/>
      <c r="AA142" s="78"/>
      <c r="AB142" s="78">
        <f t="shared" si="1"/>
        <v>0</v>
      </c>
      <c r="AC142" s="68"/>
      <c r="AD142" s="68"/>
      <c r="AE142" s="68"/>
      <c r="AF142" s="68"/>
      <c r="AG142" s="68"/>
      <c r="AH142" s="68"/>
      <c r="AI142" s="68"/>
      <c r="AJ142" s="68"/>
      <c r="AK142" s="68"/>
    </row>
    <row r="143" spans="1:37" x14ac:dyDescent="0.25">
      <c r="A143" s="496" t="s">
        <v>210</v>
      </c>
      <c r="B143" s="1103" t="s">
        <v>409</v>
      </c>
      <c r="C143" s="1104"/>
      <c r="D143" s="1104"/>
      <c r="E143" s="1104"/>
      <c r="F143" s="1104"/>
      <c r="G143" s="1105"/>
      <c r="H143" s="314" t="s">
        <v>100</v>
      </c>
      <c r="I143" s="328">
        <f>Z143</f>
        <v>0</v>
      </c>
      <c r="J143" s="1537">
        <f>I143*$I$115</f>
        <v>0</v>
      </c>
      <c r="K143" s="1538"/>
      <c r="L143" s="1532"/>
      <c r="M143" s="1533"/>
      <c r="N143" s="1533"/>
      <c r="O143" s="1533"/>
      <c r="P143" s="1533"/>
      <c r="Q143" s="329" t="s">
        <v>100</v>
      </c>
      <c r="R143" s="972"/>
      <c r="S143" s="973"/>
      <c r="T143" s="527" t="str">
        <f>IFERROR(IF((VLOOKUP(U143,Überblick!$M$125:$N$133,2))="ja","ja","nein"),"")</f>
        <v/>
      </c>
      <c r="U143" s="336"/>
      <c r="V143" s="72">
        <f>IF(AND(Q143="ja",R143=""),1,0)</f>
        <v>0</v>
      </c>
      <c r="Y143" s="74">
        <v>0.04</v>
      </c>
      <c r="Z143" s="77">
        <f>IF(H143="ja",Y143,0)</f>
        <v>0</v>
      </c>
      <c r="AA143" s="78"/>
      <c r="AB143" s="78">
        <f t="shared" si="1"/>
        <v>0</v>
      </c>
      <c r="AC143" s="68"/>
      <c r="AD143" s="68"/>
      <c r="AE143" s="68"/>
      <c r="AF143" s="68"/>
      <c r="AG143" s="68"/>
      <c r="AH143" s="68"/>
      <c r="AI143" s="68"/>
      <c r="AJ143" s="68"/>
      <c r="AK143" s="68"/>
    </row>
    <row r="144" spans="1:37" x14ac:dyDescent="0.25">
      <c r="A144" s="496" t="s">
        <v>212</v>
      </c>
      <c r="B144" s="1103" t="s">
        <v>410</v>
      </c>
      <c r="C144" s="1104"/>
      <c r="D144" s="1104"/>
      <c r="E144" s="1104"/>
      <c r="F144" s="1104"/>
      <c r="G144" s="1105"/>
      <c r="H144" s="314" t="s">
        <v>100</v>
      </c>
      <c r="I144" s="328">
        <f>Z144</f>
        <v>0</v>
      </c>
      <c r="J144" s="1537">
        <f>I144*$I$115</f>
        <v>0</v>
      </c>
      <c r="K144" s="1538"/>
      <c r="L144" s="1532"/>
      <c r="M144" s="1533"/>
      <c r="N144" s="1533"/>
      <c r="O144" s="1533"/>
      <c r="P144" s="1533"/>
      <c r="Q144" s="329" t="s">
        <v>100</v>
      </c>
      <c r="R144" s="972"/>
      <c r="S144" s="973"/>
      <c r="T144" s="527" t="str">
        <f>IFERROR(IF((VLOOKUP(U144,Überblick!$M$125:$N$133,2))="ja","ja","nein"),"")</f>
        <v/>
      </c>
      <c r="U144" s="336"/>
      <c r="V144" s="72">
        <f>IF(AND(Q144="ja",R144=""),1,0)</f>
        <v>0</v>
      </c>
      <c r="Y144" s="74">
        <v>5.0000000000000001E-3</v>
      </c>
      <c r="Z144" s="77">
        <f>IF(H144="ja",Y144,0)</f>
        <v>0</v>
      </c>
      <c r="AA144" s="78"/>
      <c r="AB144" s="78">
        <f t="shared" si="1"/>
        <v>0</v>
      </c>
      <c r="AC144" s="68"/>
      <c r="AD144" s="68"/>
      <c r="AE144" s="68"/>
      <c r="AF144" s="68"/>
      <c r="AG144" s="68"/>
      <c r="AH144" s="68"/>
      <c r="AI144" s="68"/>
      <c r="AJ144" s="68"/>
      <c r="AK144" s="68"/>
    </row>
    <row r="145" spans="1:37" ht="14.25" customHeight="1" x14ac:dyDescent="0.25">
      <c r="A145" s="1523" t="s">
        <v>213</v>
      </c>
      <c r="B145" s="1487" t="s">
        <v>411</v>
      </c>
      <c r="C145" s="1488"/>
      <c r="D145" s="1488"/>
      <c r="E145" s="1488"/>
      <c r="F145" s="1488"/>
      <c r="G145" s="1489"/>
      <c r="H145" s="981" t="s">
        <v>100</v>
      </c>
      <c r="I145" s="1663">
        <f>Z145</f>
        <v>0</v>
      </c>
      <c r="J145" s="1528">
        <f>I145*I115</f>
        <v>0</v>
      </c>
      <c r="K145" s="1529"/>
      <c r="L145" s="984"/>
      <c r="M145" s="985"/>
      <c r="N145" s="985"/>
      <c r="O145" s="985"/>
      <c r="P145" s="985"/>
      <c r="Q145" s="978" t="s">
        <v>100</v>
      </c>
      <c r="R145" s="972"/>
      <c r="S145" s="973"/>
      <c r="T145" s="1621" t="str">
        <f>IFERROR(IF((VLOOKUP(U145,Überblick!$M$125:$N$133,2))="ja","ja","nein"),"")</f>
        <v/>
      </c>
      <c r="U145" s="1372"/>
      <c r="V145" s="72">
        <f>IF(AND(Q145="ja",R145=""),1,0)</f>
        <v>0</v>
      </c>
      <c r="Y145" s="74">
        <v>5.0000000000000001E-3</v>
      </c>
      <c r="Z145" s="77">
        <f>IF(H145="ja",Y145,0)</f>
        <v>0</v>
      </c>
      <c r="AA145" s="78"/>
      <c r="AB145" s="78">
        <f t="shared" si="1"/>
        <v>0</v>
      </c>
      <c r="AC145" s="68"/>
      <c r="AD145" s="68"/>
      <c r="AE145" s="68"/>
      <c r="AF145" s="68"/>
      <c r="AG145" s="68"/>
      <c r="AH145" s="68"/>
      <c r="AI145" s="68"/>
      <c r="AJ145" s="68"/>
      <c r="AK145" s="68"/>
    </row>
    <row r="146" spans="1:37" ht="14.25" customHeight="1" x14ac:dyDescent="0.25">
      <c r="A146" s="1523"/>
      <c r="B146" s="1493"/>
      <c r="C146" s="1317"/>
      <c r="D146" s="1317"/>
      <c r="E146" s="1317"/>
      <c r="F146" s="1317"/>
      <c r="G146" s="1494"/>
      <c r="H146" s="982"/>
      <c r="I146" s="1663"/>
      <c r="J146" s="1528"/>
      <c r="K146" s="1529"/>
      <c r="L146" s="984"/>
      <c r="M146" s="985"/>
      <c r="N146" s="985"/>
      <c r="O146" s="985"/>
      <c r="P146" s="985"/>
      <c r="Q146" s="978"/>
      <c r="R146" s="972"/>
      <c r="S146" s="973"/>
      <c r="T146" s="1621"/>
      <c r="U146" s="1372"/>
      <c r="AA146" s="78"/>
      <c r="AB146" s="78">
        <f t="shared" si="1"/>
        <v>0</v>
      </c>
      <c r="AC146" s="68"/>
      <c r="AD146" s="68"/>
      <c r="AE146" s="68"/>
      <c r="AF146" s="68"/>
      <c r="AG146" s="68"/>
      <c r="AH146" s="68"/>
      <c r="AI146" s="68"/>
      <c r="AJ146" s="68"/>
      <c r="AK146" s="68"/>
    </row>
    <row r="147" spans="1:37" ht="14.25" customHeight="1" x14ac:dyDescent="0.25">
      <c r="A147" s="1523"/>
      <c r="B147" s="1493"/>
      <c r="C147" s="1317"/>
      <c r="D147" s="1317"/>
      <c r="E147" s="1317"/>
      <c r="F147" s="1317"/>
      <c r="G147" s="1494"/>
      <c r="H147" s="982"/>
      <c r="I147" s="1663"/>
      <c r="J147" s="1528"/>
      <c r="K147" s="1529"/>
      <c r="L147" s="984"/>
      <c r="M147" s="985"/>
      <c r="N147" s="985"/>
      <c r="O147" s="985"/>
      <c r="P147" s="985"/>
      <c r="Q147" s="978"/>
      <c r="R147" s="972"/>
      <c r="S147" s="973"/>
      <c r="T147" s="1621"/>
      <c r="U147" s="1372"/>
      <c r="AA147" s="78"/>
      <c r="AB147" s="78">
        <f t="shared" si="1"/>
        <v>0</v>
      </c>
      <c r="AC147" s="68"/>
      <c r="AD147" s="68"/>
      <c r="AE147" s="68"/>
      <c r="AF147" s="68"/>
      <c r="AG147" s="68"/>
      <c r="AH147" s="68"/>
      <c r="AI147" s="68"/>
      <c r="AJ147" s="68"/>
      <c r="AK147" s="68"/>
    </row>
    <row r="148" spans="1:37" ht="14.25" customHeight="1" x14ac:dyDescent="0.25">
      <c r="A148" s="1523"/>
      <c r="B148" s="1493"/>
      <c r="C148" s="1317"/>
      <c r="D148" s="1317"/>
      <c r="E148" s="1317"/>
      <c r="F148" s="1317"/>
      <c r="G148" s="1494"/>
      <c r="H148" s="982"/>
      <c r="I148" s="1663"/>
      <c r="J148" s="1528"/>
      <c r="K148" s="1529"/>
      <c r="L148" s="1539"/>
      <c r="M148" s="1540"/>
      <c r="N148" s="1540"/>
      <c r="O148" s="1540"/>
      <c r="P148" s="1540"/>
      <c r="Q148" s="978" t="s">
        <v>100</v>
      </c>
      <c r="R148" s="972"/>
      <c r="S148" s="973"/>
      <c r="T148" s="1621"/>
      <c r="U148" s="1372"/>
      <c r="V148" s="72">
        <f>IF(AND(Q148="ja",R148=""),1,0)</f>
        <v>0</v>
      </c>
      <c r="AA148" s="78"/>
      <c r="AB148" s="78">
        <f t="shared" si="1"/>
        <v>0</v>
      </c>
      <c r="AC148" s="68"/>
      <c r="AD148" s="68"/>
      <c r="AE148" s="68"/>
      <c r="AF148" s="68"/>
      <c r="AG148" s="68"/>
      <c r="AH148" s="68"/>
      <c r="AI148" s="68"/>
      <c r="AJ148" s="68"/>
      <c r="AK148" s="68"/>
    </row>
    <row r="149" spans="1:37" ht="14.25" customHeight="1" x14ac:dyDescent="0.25">
      <c r="A149" s="1523"/>
      <c r="B149" s="1490"/>
      <c r="C149" s="1491"/>
      <c r="D149" s="1491"/>
      <c r="E149" s="1491"/>
      <c r="F149" s="1491"/>
      <c r="G149" s="1492"/>
      <c r="H149" s="983"/>
      <c r="I149" s="1663"/>
      <c r="J149" s="1528"/>
      <c r="K149" s="1529"/>
      <c r="L149" s="1541"/>
      <c r="M149" s="1542"/>
      <c r="N149" s="1542"/>
      <c r="O149" s="1542"/>
      <c r="P149" s="1542"/>
      <c r="Q149" s="978"/>
      <c r="R149" s="972"/>
      <c r="S149" s="973"/>
      <c r="T149" s="1621"/>
      <c r="U149" s="1372"/>
      <c r="Y149" s="74"/>
      <c r="Z149" s="77"/>
      <c r="AA149" s="78"/>
      <c r="AB149" s="78">
        <f t="shared" si="1"/>
        <v>0</v>
      </c>
      <c r="AC149" s="68"/>
      <c r="AD149" s="68"/>
      <c r="AE149" s="68"/>
      <c r="AF149" s="68"/>
      <c r="AG149" s="68"/>
      <c r="AH149" s="68"/>
      <c r="AI149" s="68"/>
      <c r="AJ149" s="68"/>
      <c r="AK149" s="68"/>
    </row>
    <row r="150" spans="1:37" ht="14.25" customHeight="1" x14ac:dyDescent="0.25">
      <c r="A150" s="1523" t="s">
        <v>215</v>
      </c>
      <c r="B150" s="1487" t="s">
        <v>412</v>
      </c>
      <c r="C150" s="1488"/>
      <c r="D150" s="1488"/>
      <c r="E150" s="1488"/>
      <c r="F150" s="1488"/>
      <c r="G150" s="1489"/>
      <c r="H150" s="981" t="s">
        <v>100</v>
      </c>
      <c r="I150" s="1663">
        <f>Z150</f>
        <v>0</v>
      </c>
      <c r="J150" s="1528">
        <f>I150*I115</f>
        <v>0</v>
      </c>
      <c r="K150" s="1529"/>
      <c r="L150" s="984"/>
      <c r="M150" s="985"/>
      <c r="N150" s="985"/>
      <c r="O150" s="985"/>
      <c r="P150" s="985"/>
      <c r="Q150" s="1295" t="s">
        <v>100</v>
      </c>
      <c r="R150" s="972"/>
      <c r="S150" s="973"/>
      <c r="T150" s="1621" t="str">
        <f>IFERROR(IF((VLOOKUP(U150,Überblick!$M$125:$N$133,2))="ja","ja","nein"),"")</f>
        <v/>
      </c>
      <c r="U150" s="1372"/>
      <c r="V150" s="72">
        <f>IF(AND(Q150="ja",R150=""),1,0)</f>
        <v>0</v>
      </c>
      <c r="Y150" s="74">
        <v>0.04</v>
      </c>
      <c r="Z150" s="77">
        <f>IF(H150="ja",Y150,0)</f>
        <v>0</v>
      </c>
      <c r="AA150" s="77"/>
      <c r="AB150" s="78">
        <f t="shared" si="1"/>
        <v>0</v>
      </c>
      <c r="AC150" s="68"/>
      <c r="AD150" s="68"/>
      <c r="AE150" s="68"/>
      <c r="AF150" s="68"/>
      <c r="AG150" s="68"/>
      <c r="AH150" s="68"/>
      <c r="AI150" s="68"/>
      <c r="AJ150" s="68"/>
      <c r="AK150" s="68"/>
    </row>
    <row r="151" spans="1:37" ht="14.25" customHeight="1" x14ac:dyDescent="0.25">
      <c r="A151" s="1523"/>
      <c r="B151" s="1493"/>
      <c r="C151" s="1317"/>
      <c r="D151" s="1317"/>
      <c r="E151" s="1317"/>
      <c r="F151" s="1317"/>
      <c r="G151" s="1494"/>
      <c r="H151" s="982"/>
      <c r="I151" s="1663"/>
      <c r="J151" s="1528"/>
      <c r="K151" s="1529"/>
      <c r="L151" s="984"/>
      <c r="M151" s="985"/>
      <c r="N151" s="985"/>
      <c r="O151" s="985"/>
      <c r="P151" s="985"/>
      <c r="Q151" s="978"/>
      <c r="R151" s="972"/>
      <c r="S151" s="973"/>
      <c r="T151" s="1621"/>
      <c r="U151" s="1372"/>
      <c r="Y151" s="74"/>
      <c r="Z151" s="77"/>
      <c r="AA151" s="78"/>
      <c r="AB151" s="78">
        <f t="shared" si="1"/>
        <v>0</v>
      </c>
      <c r="AC151" s="68"/>
      <c r="AD151" s="68"/>
      <c r="AE151" s="68"/>
      <c r="AF151" s="68"/>
      <c r="AG151" s="68"/>
      <c r="AH151" s="68"/>
      <c r="AI151" s="68"/>
      <c r="AJ151" s="68"/>
      <c r="AK151" s="68"/>
    </row>
    <row r="152" spans="1:37" ht="15" customHeight="1" thickBot="1" x14ac:dyDescent="0.3">
      <c r="A152" s="1523"/>
      <c r="B152" s="1490"/>
      <c r="C152" s="1491"/>
      <c r="D152" s="1491"/>
      <c r="E152" s="1491"/>
      <c r="F152" s="1491"/>
      <c r="G152" s="1492"/>
      <c r="H152" s="983"/>
      <c r="I152" s="1664"/>
      <c r="J152" s="1530"/>
      <c r="K152" s="1531"/>
      <c r="L152" s="984"/>
      <c r="M152" s="985"/>
      <c r="N152" s="985"/>
      <c r="O152" s="985"/>
      <c r="P152" s="985"/>
      <c r="Q152" s="978"/>
      <c r="R152" s="972"/>
      <c r="S152" s="973"/>
      <c r="T152" s="1625"/>
      <c r="U152" s="1374"/>
      <c r="Y152" s="74"/>
      <c r="Z152" s="77"/>
      <c r="AA152" s="78"/>
      <c r="AB152" s="78">
        <f t="shared" si="1"/>
        <v>0</v>
      </c>
      <c r="AC152" s="68"/>
      <c r="AD152" s="68"/>
      <c r="AE152" s="68"/>
      <c r="AF152" s="68"/>
      <c r="AG152" s="68"/>
      <c r="AH152" s="68"/>
      <c r="AI152" s="68"/>
      <c r="AJ152" s="68"/>
      <c r="AK152" s="68"/>
    </row>
    <row r="153" spans="1:37" ht="14.55" thickBot="1" x14ac:dyDescent="0.3">
      <c r="A153" s="1595" t="s">
        <v>476</v>
      </c>
      <c r="B153" s="1511" t="s">
        <v>477</v>
      </c>
      <c r="C153" s="1512"/>
      <c r="D153" s="1512"/>
      <c r="E153" s="1512"/>
      <c r="F153" s="1512"/>
      <c r="G153" s="1513"/>
      <c r="H153" s="342"/>
      <c r="I153" s="1361"/>
      <c r="J153" s="1362"/>
      <c r="K153" s="1362"/>
      <c r="L153" s="1534">
        <f>SUM(Q128:R152)</f>
        <v>0</v>
      </c>
      <c r="M153" s="1535"/>
      <c r="N153" s="1535"/>
      <c r="O153" s="1535"/>
      <c r="P153" s="1535"/>
      <c r="Q153" s="338"/>
      <c r="R153" s="1495"/>
      <c r="S153" s="1496"/>
      <c r="U153" s="334"/>
      <c r="Y153" s="74"/>
      <c r="Z153" s="152">
        <f>SUM(Z128:Z150)</f>
        <v>0</v>
      </c>
      <c r="AA153" s="78"/>
      <c r="AB153" s="78">
        <f t="shared" si="1"/>
        <v>0</v>
      </c>
      <c r="AC153" s="68"/>
      <c r="AD153" s="68"/>
      <c r="AE153" s="68"/>
      <c r="AF153" s="68"/>
      <c r="AG153" s="68"/>
      <c r="AH153" s="68"/>
      <c r="AI153" s="68"/>
      <c r="AJ153" s="68"/>
      <c r="AK153" s="68"/>
    </row>
    <row r="154" spans="1:37" ht="14.55" thickBot="1" x14ac:dyDescent="0.3">
      <c r="A154" s="1595"/>
      <c r="B154" s="1497" t="s">
        <v>415</v>
      </c>
      <c r="C154" s="1498"/>
      <c r="D154" s="1498"/>
      <c r="E154" s="1498"/>
      <c r="F154" s="1498"/>
      <c r="G154" s="1499"/>
      <c r="H154" s="1194" t="s">
        <v>100</v>
      </c>
      <c r="I154" s="1016">
        <f>Z178</f>
        <v>0</v>
      </c>
      <c r="J154" s="1027">
        <f>I115*I154</f>
        <v>0</v>
      </c>
      <c r="K154" s="1028"/>
      <c r="L154" s="1285" t="s">
        <v>416</v>
      </c>
      <c r="M154" s="1286"/>
      <c r="N154" s="1286"/>
      <c r="O154" s="1286"/>
      <c r="P154" s="1287"/>
      <c r="Q154" s="1294" t="s">
        <v>100</v>
      </c>
      <c r="R154" s="1296"/>
      <c r="S154" s="1297"/>
      <c r="T154" s="1257" t="str">
        <f>IFERROR(IF((VLOOKUP(U154,Überblick!$M$125:$N$133,2))="ja","ja","nein"),"")</f>
        <v/>
      </c>
      <c r="U154" s="1337"/>
      <c r="V154" s="72">
        <f>IF(AND(Q154="ja",R154=""),1,0)</f>
        <v>0</v>
      </c>
      <c r="Y154" s="74">
        <v>2.9000000000000001E-2</v>
      </c>
      <c r="Z154" s="77">
        <f>IF(H154="ja",Y154,0)</f>
        <v>0</v>
      </c>
      <c r="AA154" s="78"/>
      <c r="AB154" s="78">
        <f t="shared" si="1"/>
        <v>0</v>
      </c>
      <c r="AC154" s="68"/>
      <c r="AD154" s="68"/>
      <c r="AE154" s="68"/>
      <c r="AF154" s="68"/>
      <c r="AG154" s="68"/>
      <c r="AH154" s="68"/>
      <c r="AI154" s="68"/>
      <c r="AJ154" s="68"/>
      <c r="AK154" s="68"/>
    </row>
    <row r="155" spans="1:37" ht="14.55" thickBot="1" x14ac:dyDescent="0.3">
      <c r="A155" s="1595"/>
      <c r="B155" s="1493"/>
      <c r="C155" s="1317"/>
      <c r="D155" s="1317"/>
      <c r="E155" s="1317"/>
      <c r="F155" s="1317"/>
      <c r="G155" s="1494"/>
      <c r="H155" s="982"/>
      <c r="I155" s="1017"/>
      <c r="J155" s="1029"/>
      <c r="K155" s="1030"/>
      <c r="L155" s="1288"/>
      <c r="M155" s="1289"/>
      <c r="N155" s="1289"/>
      <c r="O155" s="1289"/>
      <c r="P155" s="1290"/>
      <c r="Q155" s="1003"/>
      <c r="R155" s="1007"/>
      <c r="S155" s="1008"/>
      <c r="T155" s="1258"/>
      <c r="U155" s="1337"/>
      <c r="Y155" s="74"/>
      <c r="Z155" s="77"/>
      <c r="AA155" s="78"/>
      <c r="AB155" s="78">
        <f t="shared" si="1"/>
        <v>0</v>
      </c>
      <c r="AC155" s="68"/>
      <c r="AD155" s="68"/>
      <c r="AE155" s="68"/>
      <c r="AF155" s="68"/>
      <c r="AG155" s="68"/>
      <c r="AH155" s="68"/>
      <c r="AI155" s="68"/>
      <c r="AJ155" s="68"/>
      <c r="AK155" s="68"/>
    </row>
    <row r="156" spans="1:37" ht="14.55" thickBot="1" x14ac:dyDescent="0.3">
      <c r="A156" s="1595"/>
      <c r="B156" s="1490"/>
      <c r="C156" s="1491"/>
      <c r="D156" s="1491"/>
      <c r="E156" s="1491"/>
      <c r="F156" s="1491"/>
      <c r="G156" s="1492"/>
      <c r="H156" s="983"/>
      <c r="I156" s="1017"/>
      <c r="J156" s="1029"/>
      <c r="K156" s="1030"/>
      <c r="L156" s="1291"/>
      <c r="M156" s="1292"/>
      <c r="N156" s="1292"/>
      <c r="O156" s="1292"/>
      <c r="P156" s="1293"/>
      <c r="Q156" s="1295"/>
      <c r="R156" s="1269"/>
      <c r="S156" s="1270"/>
      <c r="T156" s="1258"/>
      <c r="U156" s="1337"/>
      <c r="Y156" s="74"/>
      <c r="Z156" s="77"/>
      <c r="AA156" s="78"/>
      <c r="AB156" s="78">
        <f t="shared" si="1"/>
        <v>0</v>
      </c>
      <c r="AC156" s="68"/>
      <c r="AD156" s="68"/>
      <c r="AE156" s="68"/>
      <c r="AF156" s="68"/>
      <c r="AG156" s="68"/>
      <c r="AH156" s="68"/>
      <c r="AI156" s="68"/>
      <c r="AJ156" s="68"/>
      <c r="AK156" s="68"/>
    </row>
    <row r="157" spans="1:37" ht="14.55" thickBot="1" x14ac:dyDescent="0.3">
      <c r="A157" s="1595"/>
      <c r="B157" s="1487" t="s">
        <v>417</v>
      </c>
      <c r="C157" s="1488"/>
      <c r="D157" s="1488"/>
      <c r="E157" s="1488"/>
      <c r="F157" s="1488"/>
      <c r="G157" s="1489"/>
      <c r="H157" s="981" t="s">
        <v>100</v>
      </c>
      <c r="I157" s="1017"/>
      <c r="J157" s="1029"/>
      <c r="K157" s="1030"/>
      <c r="L157" s="1484" t="s">
        <v>418</v>
      </c>
      <c r="M157" s="1485"/>
      <c r="N157" s="1485"/>
      <c r="O157" s="1485"/>
      <c r="P157" s="1486"/>
      <c r="Q157" s="979" t="s">
        <v>100</v>
      </c>
      <c r="R157" s="1005"/>
      <c r="S157" s="1006"/>
      <c r="T157" s="1258"/>
      <c r="U157" s="1337"/>
      <c r="V157" s="72">
        <f>IF(AND(Q157="ja",R157=""),1,0)</f>
        <v>0</v>
      </c>
      <c r="Y157" s="74">
        <v>3.0499999999999999E-2</v>
      </c>
      <c r="Z157" s="77">
        <f>IF(H157="ja",Y157,0)</f>
        <v>0</v>
      </c>
      <c r="AA157" s="78"/>
      <c r="AB157" s="78">
        <f t="shared" si="1"/>
        <v>0</v>
      </c>
      <c r="AC157" s="68"/>
      <c r="AD157" s="68"/>
      <c r="AE157" s="68"/>
      <c r="AF157" s="68"/>
      <c r="AG157" s="68"/>
      <c r="AH157" s="68"/>
      <c r="AI157" s="68"/>
      <c r="AJ157" s="68"/>
      <c r="AK157" s="68"/>
    </row>
    <row r="158" spans="1:37" ht="14.55" thickBot="1" x14ac:dyDescent="0.3">
      <c r="A158" s="1595"/>
      <c r="B158" s="1493"/>
      <c r="C158" s="1317"/>
      <c r="D158" s="1317"/>
      <c r="E158" s="1317"/>
      <c r="F158" s="1317"/>
      <c r="G158" s="1494"/>
      <c r="H158" s="982"/>
      <c r="I158" s="1017"/>
      <c r="J158" s="1029"/>
      <c r="K158" s="1030"/>
      <c r="L158" s="1288"/>
      <c r="M158" s="1289"/>
      <c r="N158" s="1289"/>
      <c r="O158" s="1289"/>
      <c r="P158" s="1290"/>
      <c r="Q158" s="1003"/>
      <c r="R158" s="1007"/>
      <c r="S158" s="1008"/>
      <c r="T158" s="1258"/>
      <c r="U158" s="1337"/>
      <c r="Y158" s="74"/>
      <c r="Z158" s="77"/>
      <c r="AA158" s="78"/>
      <c r="AB158" s="78">
        <f t="shared" si="1"/>
        <v>0</v>
      </c>
      <c r="AC158" s="68"/>
      <c r="AD158" s="68"/>
      <c r="AE158" s="68"/>
      <c r="AF158" s="68"/>
      <c r="AG158" s="68"/>
      <c r="AH158" s="68"/>
      <c r="AI158" s="68"/>
      <c r="AJ158" s="68"/>
      <c r="AK158" s="68"/>
    </row>
    <row r="159" spans="1:37" ht="14.55" thickBot="1" x14ac:dyDescent="0.3">
      <c r="A159" s="1595"/>
      <c r="B159" s="1493"/>
      <c r="C159" s="1317"/>
      <c r="D159" s="1317"/>
      <c r="E159" s="1317"/>
      <c r="F159" s="1317"/>
      <c r="G159" s="1494"/>
      <c r="H159" s="982"/>
      <c r="I159" s="1017"/>
      <c r="J159" s="1029"/>
      <c r="K159" s="1030"/>
      <c r="L159" s="1288"/>
      <c r="M159" s="1289"/>
      <c r="N159" s="1289"/>
      <c r="O159" s="1289"/>
      <c r="P159" s="1290"/>
      <c r="Q159" s="1003"/>
      <c r="R159" s="1007"/>
      <c r="S159" s="1008"/>
      <c r="T159" s="1258"/>
      <c r="U159" s="1337"/>
      <c r="Y159" s="74"/>
      <c r="Z159" s="77"/>
      <c r="AA159" s="78"/>
      <c r="AB159" s="78">
        <f t="shared" si="1"/>
        <v>0</v>
      </c>
      <c r="AC159" s="68"/>
      <c r="AD159" s="68"/>
      <c r="AE159" s="68"/>
      <c r="AF159" s="68"/>
      <c r="AG159" s="68"/>
      <c r="AH159" s="68"/>
      <c r="AI159" s="68"/>
      <c r="AJ159" s="68"/>
      <c r="AK159" s="68"/>
    </row>
    <row r="160" spans="1:37" ht="14.55" thickBot="1" x14ac:dyDescent="0.3">
      <c r="A160" s="1595"/>
      <c r="B160" s="1493"/>
      <c r="C160" s="1317"/>
      <c r="D160" s="1317"/>
      <c r="E160" s="1317"/>
      <c r="F160" s="1317"/>
      <c r="G160" s="1494"/>
      <c r="H160" s="982"/>
      <c r="I160" s="1017"/>
      <c r="J160" s="1029"/>
      <c r="K160" s="1030"/>
      <c r="L160" s="1288"/>
      <c r="M160" s="1289"/>
      <c r="N160" s="1289"/>
      <c r="O160" s="1289"/>
      <c r="P160" s="1290"/>
      <c r="Q160" s="1003"/>
      <c r="R160" s="1007"/>
      <c r="S160" s="1008"/>
      <c r="T160" s="1258"/>
      <c r="U160" s="1337"/>
      <c r="Y160" s="74"/>
      <c r="Z160" s="77"/>
      <c r="AA160" s="78"/>
      <c r="AB160" s="78">
        <f t="shared" si="1"/>
        <v>0</v>
      </c>
      <c r="AC160" s="68"/>
      <c r="AD160" s="68"/>
      <c r="AE160" s="68"/>
      <c r="AF160" s="68"/>
      <c r="AG160" s="68"/>
      <c r="AH160" s="68"/>
      <c r="AI160" s="68"/>
      <c r="AJ160" s="68"/>
      <c r="AK160" s="68"/>
    </row>
    <row r="161" spans="1:37" ht="14.55" thickBot="1" x14ac:dyDescent="0.3">
      <c r="A161" s="1595"/>
      <c r="B161" s="1493"/>
      <c r="C161" s="1317"/>
      <c r="D161" s="1317"/>
      <c r="E161" s="1317"/>
      <c r="F161" s="1317"/>
      <c r="G161" s="1494"/>
      <c r="H161" s="982"/>
      <c r="I161" s="1017"/>
      <c r="J161" s="1029"/>
      <c r="K161" s="1030"/>
      <c r="L161" s="1288"/>
      <c r="M161" s="1289"/>
      <c r="N161" s="1289"/>
      <c r="O161" s="1289"/>
      <c r="P161" s="1290"/>
      <c r="Q161" s="1003"/>
      <c r="R161" s="1007"/>
      <c r="S161" s="1008"/>
      <c r="T161" s="1258"/>
      <c r="U161" s="1337"/>
      <c r="Y161" s="74"/>
      <c r="Z161" s="77"/>
      <c r="AA161" s="78"/>
      <c r="AB161" s="78">
        <f t="shared" si="1"/>
        <v>0</v>
      </c>
      <c r="AC161" s="68"/>
      <c r="AD161" s="68"/>
      <c r="AE161" s="68"/>
      <c r="AF161" s="68"/>
      <c r="AG161" s="68"/>
      <c r="AH161" s="68"/>
      <c r="AI161" s="68"/>
      <c r="AJ161" s="68"/>
      <c r="AK161" s="68"/>
    </row>
    <row r="162" spans="1:37" ht="14.55" thickBot="1" x14ac:dyDescent="0.3">
      <c r="A162" s="1595"/>
      <c r="B162" s="1493"/>
      <c r="C162" s="1317"/>
      <c r="D162" s="1317"/>
      <c r="E162" s="1317"/>
      <c r="F162" s="1317"/>
      <c r="G162" s="1494"/>
      <c r="H162" s="982"/>
      <c r="I162" s="1017"/>
      <c r="J162" s="1029"/>
      <c r="K162" s="1030"/>
      <c r="L162" s="1288"/>
      <c r="M162" s="1289"/>
      <c r="N162" s="1289"/>
      <c r="O162" s="1289"/>
      <c r="P162" s="1290"/>
      <c r="Q162" s="1003"/>
      <c r="R162" s="1007"/>
      <c r="S162" s="1008"/>
      <c r="T162" s="1258"/>
      <c r="U162" s="1337"/>
      <c r="Y162" s="74"/>
      <c r="Z162" s="77"/>
      <c r="AA162" s="78"/>
      <c r="AB162" s="78">
        <f t="shared" si="1"/>
        <v>0</v>
      </c>
      <c r="AC162" s="68"/>
      <c r="AD162" s="68"/>
      <c r="AE162" s="68"/>
      <c r="AF162" s="68"/>
      <c r="AG162" s="68"/>
      <c r="AH162" s="68"/>
      <c r="AI162" s="68"/>
      <c r="AJ162" s="68"/>
      <c r="AK162" s="68"/>
    </row>
    <row r="163" spans="1:37" ht="14.55" thickBot="1" x14ac:dyDescent="0.3">
      <c r="A163" s="1595"/>
      <c r="B163" s="1493"/>
      <c r="C163" s="1317"/>
      <c r="D163" s="1317"/>
      <c r="E163" s="1317"/>
      <c r="F163" s="1317"/>
      <c r="G163" s="1494"/>
      <c r="H163" s="982"/>
      <c r="I163" s="1017"/>
      <c r="J163" s="1029"/>
      <c r="K163" s="1030"/>
      <c r="L163" s="1288"/>
      <c r="M163" s="1289"/>
      <c r="N163" s="1289"/>
      <c r="O163" s="1289"/>
      <c r="P163" s="1290"/>
      <c r="Q163" s="1003"/>
      <c r="R163" s="1007"/>
      <c r="S163" s="1008"/>
      <c r="T163" s="1258"/>
      <c r="U163" s="1337"/>
      <c r="Y163" s="74"/>
      <c r="Z163" s="77"/>
      <c r="AA163" s="78"/>
      <c r="AB163" s="78">
        <f t="shared" si="1"/>
        <v>0</v>
      </c>
      <c r="AC163" s="68"/>
      <c r="AD163" s="68"/>
      <c r="AE163" s="68"/>
      <c r="AF163" s="68"/>
      <c r="AG163" s="68"/>
      <c r="AH163" s="68"/>
      <c r="AI163" s="68"/>
      <c r="AJ163" s="68"/>
      <c r="AK163" s="68"/>
    </row>
    <row r="164" spans="1:37" ht="14.55" thickBot="1" x14ac:dyDescent="0.3">
      <c r="A164" s="1595"/>
      <c r="B164" s="1493"/>
      <c r="C164" s="1317"/>
      <c r="D164" s="1317"/>
      <c r="E164" s="1317"/>
      <c r="F164" s="1317"/>
      <c r="G164" s="1494"/>
      <c r="H164" s="982"/>
      <c r="I164" s="1017"/>
      <c r="J164" s="1029"/>
      <c r="K164" s="1030"/>
      <c r="L164" s="1288"/>
      <c r="M164" s="1289"/>
      <c r="N164" s="1289"/>
      <c r="O164" s="1289"/>
      <c r="P164" s="1290"/>
      <c r="Q164" s="1003"/>
      <c r="R164" s="1007"/>
      <c r="S164" s="1008"/>
      <c r="T164" s="1258"/>
      <c r="U164" s="1337"/>
      <c r="Y164" s="74"/>
      <c r="Z164" s="77"/>
      <c r="AA164" s="78"/>
      <c r="AB164" s="78">
        <f t="shared" si="1"/>
        <v>0</v>
      </c>
      <c r="AC164" s="68"/>
      <c r="AD164" s="68"/>
      <c r="AE164" s="68"/>
      <c r="AF164" s="68"/>
      <c r="AG164" s="68"/>
      <c r="AH164" s="68"/>
      <c r="AI164" s="68"/>
      <c r="AJ164" s="68"/>
      <c r="AK164" s="68"/>
    </row>
    <row r="165" spans="1:37" ht="14.55" thickBot="1" x14ac:dyDescent="0.3">
      <c r="A165" s="1595"/>
      <c r="B165" s="1493"/>
      <c r="C165" s="1317"/>
      <c r="D165" s="1317"/>
      <c r="E165" s="1317"/>
      <c r="F165" s="1317"/>
      <c r="G165" s="1494"/>
      <c r="H165" s="982"/>
      <c r="I165" s="1017"/>
      <c r="J165" s="1029"/>
      <c r="K165" s="1030"/>
      <c r="L165" s="1288"/>
      <c r="M165" s="1289"/>
      <c r="N165" s="1289"/>
      <c r="O165" s="1289"/>
      <c r="P165" s="1290"/>
      <c r="Q165" s="1003"/>
      <c r="R165" s="1007"/>
      <c r="S165" s="1008"/>
      <c r="T165" s="1258"/>
      <c r="U165" s="1337"/>
      <c r="Y165" s="74"/>
      <c r="Z165" s="77"/>
      <c r="AA165" s="78"/>
      <c r="AB165" s="78">
        <f t="shared" si="1"/>
        <v>0</v>
      </c>
      <c r="AC165" s="68"/>
      <c r="AD165" s="68"/>
      <c r="AE165" s="68"/>
      <c r="AF165" s="68"/>
      <c r="AG165" s="68"/>
      <c r="AH165" s="68"/>
      <c r="AI165" s="68"/>
      <c r="AJ165" s="68"/>
      <c r="AK165" s="68"/>
    </row>
    <row r="166" spans="1:37" ht="14.55" thickBot="1" x14ac:dyDescent="0.3">
      <c r="A166" s="1595"/>
      <c r="B166" s="1493"/>
      <c r="C166" s="1317"/>
      <c r="D166" s="1317"/>
      <c r="E166" s="1317"/>
      <c r="F166" s="1317"/>
      <c r="G166" s="1494"/>
      <c r="H166" s="982"/>
      <c r="I166" s="1017"/>
      <c r="J166" s="1029"/>
      <c r="K166" s="1030"/>
      <c r="L166" s="1291"/>
      <c r="M166" s="1292"/>
      <c r="N166" s="1292"/>
      <c r="O166" s="1292"/>
      <c r="P166" s="1293"/>
      <c r="Q166" s="1295"/>
      <c r="R166" s="1269"/>
      <c r="S166" s="1270"/>
      <c r="T166" s="1258"/>
      <c r="U166" s="1337"/>
      <c r="Y166" s="74"/>
      <c r="Z166" s="77"/>
      <c r="AA166" s="78"/>
      <c r="AB166" s="78">
        <f t="shared" si="1"/>
        <v>0</v>
      </c>
      <c r="AC166" s="68"/>
      <c r="AD166" s="68"/>
      <c r="AE166" s="68"/>
      <c r="AF166" s="68"/>
      <c r="AG166" s="68"/>
      <c r="AH166" s="68"/>
      <c r="AI166" s="68"/>
      <c r="AJ166" s="68"/>
      <c r="AK166" s="68"/>
    </row>
    <row r="167" spans="1:37" ht="14.55" thickBot="1" x14ac:dyDescent="0.3">
      <c r="A167" s="1595"/>
      <c r="B167" s="1490"/>
      <c r="C167" s="1491"/>
      <c r="D167" s="1491"/>
      <c r="E167" s="1491"/>
      <c r="F167" s="1491"/>
      <c r="G167" s="1492"/>
      <c r="H167" s="983"/>
      <c r="I167" s="1017"/>
      <c r="J167" s="1029"/>
      <c r="K167" s="1030"/>
      <c r="L167" s="1484" t="s">
        <v>419</v>
      </c>
      <c r="M167" s="1485"/>
      <c r="N167" s="1485"/>
      <c r="O167" s="1485"/>
      <c r="P167" s="1486"/>
      <c r="Q167" s="979" t="s">
        <v>100</v>
      </c>
      <c r="R167" s="1005"/>
      <c r="S167" s="1006"/>
      <c r="T167" s="1258"/>
      <c r="U167" s="1337"/>
      <c r="V167" s="72">
        <f>IF(AND(Q167="ja",R167=""),1,0)</f>
        <v>0</v>
      </c>
      <c r="Y167" s="74"/>
      <c r="Z167" s="77"/>
      <c r="AA167" s="78"/>
      <c r="AB167" s="78">
        <f t="shared" si="1"/>
        <v>0</v>
      </c>
      <c r="AC167" s="68"/>
      <c r="AD167" s="68"/>
      <c r="AE167" s="68"/>
      <c r="AF167" s="68"/>
      <c r="AG167" s="68"/>
      <c r="AH167" s="68"/>
      <c r="AI167" s="68"/>
      <c r="AJ167" s="68"/>
      <c r="AK167" s="68"/>
    </row>
    <row r="168" spans="1:37" ht="14.55" thickBot="1" x14ac:dyDescent="0.3">
      <c r="A168" s="1595"/>
      <c r="B168" s="1487" t="s">
        <v>420</v>
      </c>
      <c r="C168" s="1488"/>
      <c r="D168" s="1488"/>
      <c r="E168" s="1488"/>
      <c r="F168" s="1488"/>
      <c r="G168" s="1489"/>
      <c r="H168" s="981" t="s">
        <v>100</v>
      </c>
      <c r="I168" s="1017"/>
      <c r="J168" s="1029"/>
      <c r="K168" s="1030"/>
      <c r="L168" s="1288"/>
      <c r="M168" s="1289"/>
      <c r="N168" s="1289"/>
      <c r="O168" s="1289"/>
      <c r="P168" s="1290"/>
      <c r="Q168" s="1003"/>
      <c r="R168" s="1007"/>
      <c r="S168" s="1008"/>
      <c r="T168" s="1258"/>
      <c r="U168" s="1337"/>
      <c r="Y168" s="74">
        <v>1E-3</v>
      </c>
      <c r="Z168" s="77">
        <f>IF(H168="ja",Y168,0)</f>
        <v>0</v>
      </c>
      <c r="AA168" s="78"/>
      <c r="AB168" s="78">
        <f t="shared" ref="AB168:AB231" si="2">IF(Q168="ja",1,0)</f>
        <v>0</v>
      </c>
      <c r="AC168" s="68"/>
      <c r="AD168" s="68"/>
      <c r="AE168" s="68"/>
      <c r="AF168" s="68"/>
      <c r="AG168" s="68"/>
      <c r="AH168" s="68"/>
      <c r="AI168" s="68"/>
      <c r="AJ168" s="68"/>
      <c r="AK168" s="68"/>
    </row>
    <row r="169" spans="1:37" ht="14.55" thickBot="1" x14ac:dyDescent="0.3">
      <c r="A169" s="1595"/>
      <c r="B169" s="1493"/>
      <c r="C169" s="1317"/>
      <c r="D169" s="1317"/>
      <c r="E169" s="1317"/>
      <c r="F169" s="1317"/>
      <c r="G169" s="1494"/>
      <c r="H169" s="982"/>
      <c r="I169" s="1017"/>
      <c r="J169" s="1029"/>
      <c r="K169" s="1030"/>
      <c r="L169" s="1291"/>
      <c r="M169" s="1292"/>
      <c r="N169" s="1292"/>
      <c r="O169" s="1292"/>
      <c r="P169" s="1293"/>
      <c r="Q169" s="1295"/>
      <c r="R169" s="1269"/>
      <c r="S169" s="1270"/>
      <c r="T169" s="1258"/>
      <c r="U169" s="1337"/>
      <c r="Y169" s="74"/>
      <c r="Z169" s="77"/>
      <c r="AA169" s="78"/>
      <c r="AB169" s="78">
        <f t="shared" si="2"/>
        <v>0</v>
      </c>
      <c r="AC169" s="68"/>
      <c r="AD169" s="68"/>
      <c r="AE169" s="68"/>
      <c r="AF169" s="68"/>
      <c r="AG169" s="68"/>
      <c r="AH169" s="68"/>
      <c r="AI169" s="68"/>
      <c r="AJ169" s="68"/>
      <c r="AK169" s="68"/>
    </row>
    <row r="170" spans="1:37" ht="14.55" thickBot="1" x14ac:dyDescent="0.3">
      <c r="A170" s="1595"/>
      <c r="B170" s="1490"/>
      <c r="C170" s="1491"/>
      <c r="D170" s="1491"/>
      <c r="E170" s="1491"/>
      <c r="F170" s="1491"/>
      <c r="G170" s="1492"/>
      <c r="H170" s="983"/>
      <c r="I170" s="1017"/>
      <c r="J170" s="1029"/>
      <c r="K170" s="1030"/>
      <c r="L170" s="1484" t="s">
        <v>228</v>
      </c>
      <c r="M170" s="1485"/>
      <c r="N170" s="1485"/>
      <c r="O170" s="1485"/>
      <c r="P170" s="1486"/>
      <c r="Q170" s="979" t="s">
        <v>100</v>
      </c>
      <c r="R170" s="1005"/>
      <c r="S170" s="1006"/>
      <c r="T170" s="1258"/>
      <c r="U170" s="1337"/>
      <c r="V170" s="72">
        <f>IF(AND(Q170="ja",R170=""),1,0)</f>
        <v>0</v>
      </c>
      <c r="Y170" s="74"/>
      <c r="Z170" s="77"/>
      <c r="AA170" s="78"/>
      <c r="AB170" s="78">
        <f t="shared" si="2"/>
        <v>0</v>
      </c>
      <c r="AC170" s="68"/>
      <c r="AD170" s="68"/>
      <c r="AE170" s="68"/>
      <c r="AF170" s="68"/>
      <c r="AG170" s="68"/>
      <c r="AH170" s="68"/>
      <c r="AI170" s="68"/>
      <c r="AJ170" s="68"/>
      <c r="AK170" s="68"/>
    </row>
    <row r="171" spans="1:37" ht="14.55" thickBot="1" x14ac:dyDescent="0.3">
      <c r="A171" s="1595"/>
      <c r="B171" s="1487" t="s">
        <v>421</v>
      </c>
      <c r="C171" s="1488"/>
      <c r="D171" s="1488"/>
      <c r="E171" s="1488"/>
      <c r="F171" s="1488"/>
      <c r="G171" s="1489"/>
      <c r="H171" s="981" t="s">
        <v>100</v>
      </c>
      <c r="I171" s="1017"/>
      <c r="J171" s="1029"/>
      <c r="K171" s="1030"/>
      <c r="L171" s="1288"/>
      <c r="M171" s="1289"/>
      <c r="N171" s="1289"/>
      <c r="O171" s="1289"/>
      <c r="P171" s="1290"/>
      <c r="Q171" s="1003"/>
      <c r="R171" s="1007"/>
      <c r="S171" s="1008"/>
      <c r="T171" s="1258"/>
      <c r="U171" s="1337"/>
      <c r="Y171" s="74">
        <v>7.4999999999999997E-3</v>
      </c>
      <c r="Z171" s="77">
        <f>IF(H171="ja",Y171,0)</f>
        <v>0</v>
      </c>
      <c r="AA171" s="78"/>
      <c r="AB171" s="78">
        <f t="shared" si="2"/>
        <v>0</v>
      </c>
      <c r="AC171" s="68"/>
      <c r="AD171" s="68"/>
      <c r="AE171" s="68"/>
      <c r="AF171" s="68"/>
      <c r="AG171" s="68"/>
      <c r="AH171" s="68"/>
      <c r="AI171" s="68"/>
      <c r="AJ171" s="68"/>
      <c r="AK171" s="68"/>
    </row>
    <row r="172" spans="1:37" ht="14.55" thickBot="1" x14ac:dyDescent="0.3">
      <c r="A172" s="1595"/>
      <c r="B172" s="1493"/>
      <c r="C172" s="1317"/>
      <c r="D172" s="1317"/>
      <c r="E172" s="1317"/>
      <c r="F172" s="1317"/>
      <c r="G172" s="1494"/>
      <c r="H172" s="982"/>
      <c r="I172" s="1017"/>
      <c r="J172" s="1029"/>
      <c r="K172" s="1030"/>
      <c r="L172" s="1288"/>
      <c r="M172" s="1289"/>
      <c r="N172" s="1289"/>
      <c r="O172" s="1289"/>
      <c r="P172" s="1290"/>
      <c r="Q172" s="1003"/>
      <c r="R172" s="1007"/>
      <c r="S172" s="1008"/>
      <c r="T172" s="1258"/>
      <c r="U172" s="1337"/>
      <c r="Y172" s="74"/>
      <c r="Z172" s="77"/>
      <c r="AA172" s="78"/>
      <c r="AB172" s="78">
        <f t="shared" si="2"/>
        <v>0</v>
      </c>
      <c r="AC172" s="68"/>
      <c r="AD172" s="68"/>
      <c r="AE172" s="68"/>
      <c r="AF172" s="68"/>
      <c r="AG172" s="68"/>
      <c r="AH172" s="68"/>
      <c r="AI172" s="68"/>
      <c r="AJ172" s="68"/>
      <c r="AK172" s="68"/>
    </row>
    <row r="173" spans="1:37" ht="14.55" thickBot="1" x14ac:dyDescent="0.3">
      <c r="A173" s="1595"/>
      <c r="B173" s="1490"/>
      <c r="C173" s="1491"/>
      <c r="D173" s="1491"/>
      <c r="E173" s="1491"/>
      <c r="F173" s="1491"/>
      <c r="G173" s="1492"/>
      <c r="H173" s="983"/>
      <c r="I173" s="1017"/>
      <c r="J173" s="1029"/>
      <c r="K173" s="1030"/>
      <c r="L173" s="1291"/>
      <c r="M173" s="1292"/>
      <c r="N173" s="1292"/>
      <c r="O173" s="1292"/>
      <c r="P173" s="1293"/>
      <c r="Q173" s="1295"/>
      <c r="R173" s="1269"/>
      <c r="S173" s="1270"/>
      <c r="T173" s="1258"/>
      <c r="U173" s="1337"/>
      <c r="Y173" s="74"/>
      <c r="Z173" s="77"/>
      <c r="AA173" s="78"/>
      <c r="AB173" s="78">
        <f t="shared" si="2"/>
        <v>0</v>
      </c>
      <c r="AC173" s="68"/>
      <c r="AD173" s="68"/>
      <c r="AE173" s="68"/>
      <c r="AF173" s="68"/>
      <c r="AG173" s="68"/>
      <c r="AH173" s="68"/>
      <c r="AI173" s="68"/>
      <c r="AJ173" s="68"/>
      <c r="AK173" s="68"/>
    </row>
    <row r="174" spans="1:37" ht="14.55" thickBot="1" x14ac:dyDescent="0.3">
      <c r="A174" s="1595"/>
      <c r="B174" s="1487" t="s">
        <v>226</v>
      </c>
      <c r="C174" s="1488"/>
      <c r="D174" s="1488"/>
      <c r="E174" s="1488"/>
      <c r="F174" s="1488"/>
      <c r="G174" s="1489"/>
      <c r="H174" s="981" t="s">
        <v>100</v>
      </c>
      <c r="I174" s="1017"/>
      <c r="J174" s="1029"/>
      <c r="K174" s="1030"/>
      <c r="L174" s="1484"/>
      <c r="M174" s="1485"/>
      <c r="N174" s="1485"/>
      <c r="O174" s="1485"/>
      <c r="P174" s="1486"/>
      <c r="Q174" s="979" t="s">
        <v>100</v>
      </c>
      <c r="R174" s="1005"/>
      <c r="S174" s="1006"/>
      <c r="T174" s="1258"/>
      <c r="U174" s="1337"/>
      <c r="V174" s="72">
        <f>IF(AND(Q174="ja",R174=""),1,0)</f>
        <v>0</v>
      </c>
      <c r="Y174" s="74">
        <v>1E-3</v>
      </c>
      <c r="Z174" s="77">
        <f>IF(H174="ja",Y174,0)</f>
        <v>0</v>
      </c>
      <c r="AA174" s="78"/>
      <c r="AB174" s="78">
        <f t="shared" si="2"/>
        <v>0</v>
      </c>
      <c r="AC174" s="68"/>
      <c r="AD174" s="68"/>
      <c r="AE174" s="68"/>
      <c r="AF174" s="68"/>
      <c r="AG174" s="68"/>
      <c r="AH174" s="68"/>
      <c r="AI174" s="68"/>
      <c r="AJ174" s="68"/>
      <c r="AK174" s="68"/>
    </row>
    <row r="175" spans="1:37" ht="14.55" thickBot="1" x14ac:dyDescent="0.3">
      <c r="A175" s="1595"/>
      <c r="B175" s="1493"/>
      <c r="C175" s="1317"/>
      <c r="D175" s="1317"/>
      <c r="E175" s="1317"/>
      <c r="F175" s="1317"/>
      <c r="G175" s="1494"/>
      <c r="H175" s="982"/>
      <c r="I175" s="1017"/>
      <c r="J175" s="1029"/>
      <c r="K175" s="1030"/>
      <c r="L175" s="1288"/>
      <c r="M175" s="1289"/>
      <c r="N175" s="1289"/>
      <c r="O175" s="1289"/>
      <c r="P175" s="1290"/>
      <c r="Q175" s="1003"/>
      <c r="R175" s="1007"/>
      <c r="S175" s="1008"/>
      <c r="T175" s="1258"/>
      <c r="U175" s="1337"/>
      <c r="Y175" s="74"/>
      <c r="Z175" s="77"/>
      <c r="AA175" s="77"/>
      <c r="AB175" s="78">
        <f t="shared" si="2"/>
        <v>0</v>
      </c>
      <c r="AC175" s="68"/>
      <c r="AD175" s="68"/>
      <c r="AE175" s="68"/>
      <c r="AF175" s="68"/>
      <c r="AG175" s="68"/>
      <c r="AH175" s="68"/>
      <c r="AI175" s="68"/>
      <c r="AJ175" s="68"/>
      <c r="AK175" s="68"/>
    </row>
    <row r="176" spans="1:37" ht="14.55" thickBot="1" x14ac:dyDescent="0.3">
      <c r="A176" s="1595"/>
      <c r="B176" s="1490"/>
      <c r="C176" s="1491"/>
      <c r="D176" s="1491"/>
      <c r="E176" s="1491"/>
      <c r="F176" s="1491"/>
      <c r="G176" s="1492"/>
      <c r="H176" s="983"/>
      <c r="I176" s="1017"/>
      <c r="J176" s="1029"/>
      <c r="K176" s="1030"/>
      <c r="L176" s="1291"/>
      <c r="M176" s="1292"/>
      <c r="N176" s="1292"/>
      <c r="O176" s="1292"/>
      <c r="P176" s="1293"/>
      <c r="Q176" s="1295"/>
      <c r="R176" s="1269"/>
      <c r="S176" s="1270"/>
      <c r="T176" s="1258"/>
      <c r="U176" s="1337"/>
      <c r="Y176" s="74"/>
      <c r="Z176" s="77"/>
      <c r="AA176" s="78"/>
      <c r="AB176" s="78">
        <f t="shared" si="2"/>
        <v>0</v>
      </c>
      <c r="AC176" s="68"/>
      <c r="AD176" s="68"/>
      <c r="AE176" s="68"/>
      <c r="AF176" s="68"/>
      <c r="AG176" s="68"/>
      <c r="AH176" s="68"/>
      <c r="AI176" s="68"/>
      <c r="AJ176" s="68"/>
      <c r="AK176" s="68"/>
    </row>
    <row r="177" spans="1:37" ht="14.55" thickBot="1" x14ac:dyDescent="0.3">
      <c r="A177" s="1595"/>
      <c r="B177" s="1103" t="s">
        <v>422</v>
      </c>
      <c r="C177" s="1104"/>
      <c r="D177" s="1104"/>
      <c r="E177" s="1104"/>
      <c r="F177" s="1104"/>
      <c r="G177" s="1105"/>
      <c r="H177" s="314" t="s">
        <v>100</v>
      </c>
      <c r="I177" s="1018"/>
      <c r="J177" s="1031"/>
      <c r="K177" s="1032"/>
      <c r="L177" s="1577"/>
      <c r="M177" s="1578"/>
      <c r="N177" s="1578"/>
      <c r="O177" s="1578"/>
      <c r="P177" s="1579"/>
      <c r="Q177" s="329" t="s">
        <v>100</v>
      </c>
      <c r="R177" s="1623"/>
      <c r="S177" s="1624"/>
      <c r="T177" s="1259"/>
      <c r="U177" s="1337"/>
      <c r="V177" s="72">
        <f>IF(AND(Q177="ja",R177=""),1,0)</f>
        <v>0</v>
      </c>
      <c r="Y177" s="74">
        <v>1E-3</v>
      </c>
      <c r="Z177" s="77">
        <f>IF(H177="ja",Y177,0)</f>
        <v>0</v>
      </c>
      <c r="AA177" s="78"/>
      <c r="AB177" s="78">
        <f t="shared" si="2"/>
        <v>0</v>
      </c>
      <c r="AC177" s="68"/>
      <c r="AD177" s="68"/>
      <c r="AE177" s="68"/>
      <c r="AF177" s="68"/>
      <c r="AG177" s="68"/>
      <c r="AH177" s="68"/>
      <c r="AI177" s="68"/>
      <c r="AJ177" s="68"/>
      <c r="AK177" s="68"/>
    </row>
    <row r="178" spans="1:37" ht="14.55" thickBot="1" x14ac:dyDescent="0.3">
      <c r="A178" s="1595"/>
      <c r="B178" s="1511" t="s">
        <v>229</v>
      </c>
      <c r="C178" s="1512"/>
      <c r="D178" s="1512"/>
      <c r="E178" s="1512"/>
      <c r="F178" s="1512"/>
      <c r="G178" s="1513"/>
      <c r="H178" s="342"/>
      <c r="I178" s="343"/>
      <c r="J178" s="344"/>
      <c r="K178" s="344"/>
      <c r="L178" s="1534">
        <f>SUM(R154:S177)</f>
        <v>0</v>
      </c>
      <c r="M178" s="1535"/>
      <c r="N178" s="1535"/>
      <c r="O178" s="1535"/>
      <c r="P178" s="1535"/>
      <c r="Q178" s="338"/>
      <c r="R178" s="1495"/>
      <c r="S178" s="1496"/>
      <c r="U178" s="334"/>
      <c r="Y178" s="74"/>
      <c r="Z178" s="152">
        <f>SUM(Z154:Z177)</f>
        <v>0</v>
      </c>
      <c r="AA178" s="78"/>
      <c r="AB178" s="78">
        <f t="shared" si="2"/>
        <v>0</v>
      </c>
      <c r="AC178" s="68"/>
      <c r="AD178" s="68"/>
      <c r="AE178" s="68"/>
      <c r="AF178" s="68"/>
      <c r="AG178" s="68"/>
      <c r="AH178" s="68"/>
      <c r="AI178" s="68"/>
      <c r="AJ178" s="68"/>
      <c r="AK178" s="68"/>
    </row>
    <row r="179" spans="1:37" ht="15" customHeight="1" thickBot="1" x14ac:dyDescent="0.3">
      <c r="A179" s="1595"/>
      <c r="B179" s="1103" t="s">
        <v>233</v>
      </c>
      <c r="C179" s="1104"/>
      <c r="D179" s="1104"/>
      <c r="E179" s="1104"/>
      <c r="F179" s="1104"/>
      <c r="G179" s="1105"/>
      <c r="H179" s="314" t="s">
        <v>100</v>
      </c>
      <c r="I179" s="1016">
        <f>Z193</f>
        <v>0</v>
      </c>
      <c r="J179" s="1027">
        <f>I115*I179</f>
        <v>0</v>
      </c>
      <c r="K179" s="1028"/>
      <c r="L179" s="984" t="s">
        <v>423</v>
      </c>
      <c r="M179" s="985"/>
      <c r="N179" s="985"/>
      <c r="O179" s="985"/>
      <c r="P179" s="985"/>
      <c r="Q179" s="978" t="s">
        <v>100</v>
      </c>
      <c r="R179" s="972"/>
      <c r="S179" s="973"/>
      <c r="T179" s="1257" t="str">
        <f>IFERROR(IF((VLOOKUP(U179,Überblick!$M$125:$N$133,2))="ja","ja","nein"),"")</f>
        <v/>
      </c>
      <c r="U179" s="1337"/>
      <c r="V179" s="72">
        <f>IF(AND(Q179="ja",R179=""),1,0)</f>
        <v>0</v>
      </c>
      <c r="Y179" s="74">
        <v>1E-3</v>
      </c>
      <c r="Z179" s="77">
        <f>IF(H179="ja",Y179,0)</f>
        <v>0</v>
      </c>
      <c r="AA179" s="78"/>
      <c r="AB179" s="78">
        <f t="shared" si="2"/>
        <v>0</v>
      </c>
      <c r="AC179" s="68"/>
      <c r="AD179" s="68"/>
      <c r="AE179" s="68"/>
      <c r="AF179" s="68"/>
      <c r="AG179" s="68"/>
      <c r="AH179" s="68"/>
      <c r="AI179" s="68"/>
      <c r="AJ179" s="68"/>
      <c r="AK179" s="68"/>
    </row>
    <row r="180" spans="1:37" ht="15" customHeight="1" thickBot="1" x14ac:dyDescent="0.3">
      <c r="A180" s="1595"/>
      <c r="B180" s="1487" t="s">
        <v>424</v>
      </c>
      <c r="C180" s="1488"/>
      <c r="D180" s="1488"/>
      <c r="E180" s="1488"/>
      <c r="F180" s="1488"/>
      <c r="G180" s="1489"/>
      <c r="H180" s="981" t="s">
        <v>100</v>
      </c>
      <c r="I180" s="1017"/>
      <c r="J180" s="1029"/>
      <c r="K180" s="1030"/>
      <c r="L180" s="984"/>
      <c r="M180" s="985"/>
      <c r="N180" s="985"/>
      <c r="O180" s="985"/>
      <c r="P180" s="985"/>
      <c r="Q180" s="978"/>
      <c r="R180" s="972"/>
      <c r="S180" s="973"/>
      <c r="T180" s="1258"/>
      <c r="U180" s="1337"/>
      <c r="Y180" s="74">
        <v>3.5000000000000003E-2</v>
      </c>
      <c r="Z180" s="77">
        <f>IF(H180="ja",Y180,0)</f>
        <v>0</v>
      </c>
      <c r="AA180" s="78"/>
      <c r="AB180" s="78">
        <f t="shared" si="2"/>
        <v>0</v>
      </c>
      <c r="AC180" s="68"/>
      <c r="AD180" s="68"/>
      <c r="AE180" s="68"/>
      <c r="AF180" s="68"/>
      <c r="AG180" s="68"/>
      <c r="AH180" s="68"/>
      <c r="AI180" s="68"/>
      <c r="AJ180" s="68"/>
      <c r="AK180" s="68"/>
    </row>
    <row r="181" spans="1:37" ht="15" customHeight="1" thickBot="1" x14ac:dyDescent="0.3">
      <c r="A181" s="1595"/>
      <c r="B181" s="1493"/>
      <c r="C181" s="1317"/>
      <c r="D181" s="1317"/>
      <c r="E181" s="1317"/>
      <c r="F181" s="1317"/>
      <c r="G181" s="1494"/>
      <c r="H181" s="982"/>
      <c r="I181" s="1017"/>
      <c r="J181" s="1029"/>
      <c r="K181" s="1030"/>
      <c r="L181" s="984"/>
      <c r="M181" s="985"/>
      <c r="N181" s="985"/>
      <c r="O181" s="985"/>
      <c r="P181" s="985"/>
      <c r="Q181" s="978"/>
      <c r="R181" s="972"/>
      <c r="S181" s="973"/>
      <c r="T181" s="1258"/>
      <c r="U181" s="1337"/>
      <c r="Y181" s="74"/>
      <c r="Z181" s="77"/>
      <c r="AA181" s="78"/>
      <c r="AB181" s="78">
        <f t="shared" si="2"/>
        <v>0</v>
      </c>
      <c r="AC181" s="68"/>
      <c r="AD181" s="68"/>
      <c r="AE181" s="68"/>
      <c r="AF181" s="68"/>
      <c r="AG181" s="68"/>
      <c r="AH181" s="68"/>
      <c r="AI181" s="68"/>
      <c r="AJ181" s="68"/>
      <c r="AK181" s="68"/>
    </row>
    <row r="182" spans="1:37" ht="15" customHeight="1" thickBot="1" x14ac:dyDescent="0.3">
      <c r="A182" s="1595"/>
      <c r="B182" s="1493"/>
      <c r="C182" s="1317"/>
      <c r="D182" s="1317"/>
      <c r="E182" s="1317"/>
      <c r="F182" s="1317"/>
      <c r="G182" s="1494"/>
      <c r="H182" s="982"/>
      <c r="I182" s="1017"/>
      <c r="J182" s="1029"/>
      <c r="K182" s="1030"/>
      <c r="L182" s="984"/>
      <c r="M182" s="985"/>
      <c r="N182" s="985"/>
      <c r="O182" s="985"/>
      <c r="P182" s="985"/>
      <c r="Q182" s="978" t="s">
        <v>100</v>
      </c>
      <c r="R182" s="972"/>
      <c r="S182" s="973"/>
      <c r="T182" s="1258"/>
      <c r="U182" s="1337"/>
      <c r="V182" s="72">
        <f>IF(AND(Q182="ja",R182=""),1,0)</f>
        <v>0</v>
      </c>
      <c r="Y182" s="74"/>
      <c r="Z182" s="77"/>
      <c r="AA182" s="78"/>
      <c r="AB182" s="78">
        <f t="shared" si="2"/>
        <v>0</v>
      </c>
      <c r="AC182" s="68"/>
      <c r="AD182" s="68"/>
      <c r="AE182" s="68"/>
      <c r="AF182" s="68"/>
      <c r="AG182" s="68"/>
      <c r="AH182" s="68"/>
      <c r="AI182" s="68"/>
      <c r="AJ182" s="68"/>
      <c r="AK182" s="68"/>
    </row>
    <row r="183" spans="1:37" ht="15" customHeight="1" thickBot="1" x14ac:dyDescent="0.3">
      <c r="A183" s="1595"/>
      <c r="B183" s="1493"/>
      <c r="C183" s="1317"/>
      <c r="D183" s="1317"/>
      <c r="E183" s="1317"/>
      <c r="F183" s="1317"/>
      <c r="G183" s="1494"/>
      <c r="H183" s="982"/>
      <c r="I183" s="1017"/>
      <c r="J183" s="1029"/>
      <c r="K183" s="1030"/>
      <c r="L183" s="984"/>
      <c r="M183" s="985"/>
      <c r="N183" s="985"/>
      <c r="O183" s="985"/>
      <c r="P183" s="985"/>
      <c r="Q183" s="978"/>
      <c r="R183" s="972"/>
      <c r="S183" s="973"/>
      <c r="T183" s="1258"/>
      <c r="U183" s="1337"/>
      <c r="Y183" s="74"/>
      <c r="Z183" s="77"/>
      <c r="AA183" s="78"/>
      <c r="AB183" s="78">
        <f t="shared" si="2"/>
        <v>0</v>
      </c>
      <c r="AC183" s="68"/>
      <c r="AD183" s="68"/>
      <c r="AE183" s="68"/>
      <c r="AF183" s="68"/>
      <c r="AG183" s="68"/>
      <c r="AH183" s="68"/>
      <c r="AI183" s="68"/>
      <c r="AJ183" s="68"/>
      <c r="AK183" s="68"/>
    </row>
    <row r="184" spans="1:37" ht="15" customHeight="1" thickBot="1" x14ac:dyDescent="0.3">
      <c r="A184" s="1595"/>
      <c r="B184" s="1490"/>
      <c r="C184" s="1491"/>
      <c r="D184" s="1491"/>
      <c r="E184" s="1491"/>
      <c r="F184" s="1491"/>
      <c r="G184" s="1492"/>
      <c r="H184" s="983"/>
      <c r="I184" s="1017"/>
      <c r="J184" s="1029"/>
      <c r="K184" s="1030"/>
      <c r="L184" s="984"/>
      <c r="M184" s="985"/>
      <c r="N184" s="985"/>
      <c r="O184" s="985"/>
      <c r="P184" s="985"/>
      <c r="Q184" s="978"/>
      <c r="R184" s="972"/>
      <c r="S184" s="973"/>
      <c r="T184" s="1258"/>
      <c r="U184" s="1337"/>
      <c r="Y184" s="74"/>
      <c r="Z184" s="77"/>
      <c r="AA184" s="78"/>
      <c r="AB184" s="78">
        <f t="shared" si="2"/>
        <v>0</v>
      </c>
      <c r="AC184" s="68"/>
      <c r="AD184" s="68"/>
      <c r="AE184" s="68"/>
      <c r="AF184" s="68"/>
      <c r="AG184" s="68"/>
      <c r="AH184" s="68"/>
      <c r="AI184" s="68"/>
      <c r="AJ184" s="68"/>
      <c r="AK184" s="68"/>
    </row>
    <row r="185" spans="1:37" ht="15" customHeight="1" thickBot="1" x14ac:dyDescent="0.3">
      <c r="A185" s="1595"/>
      <c r="B185" s="1103" t="s">
        <v>237</v>
      </c>
      <c r="C185" s="1104"/>
      <c r="D185" s="1104"/>
      <c r="E185" s="1104"/>
      <c r="F185" s="1104"/>
      <c r="G185" s="1105"/>
      <c r="H185" s="314" t="s">
        <v>100</v>
      </c>
      <c r="I185" s="1017"/>
      <c r="J185" s="1029"/>
      <c r="K185" s="1030"/>
      <c r="L185" s="984" t="s">
        <v>236</v>
      </c>
      <c r="M185" s="985"/>
      <c r="N185" s="985"/>
      <c r="O185" s="985"/>
      <c r="P185" s="985"/>
      <c r="Q185" s="978" t="s">
        <v>100</v>
      </c>
      <c r="R185" s="972"/>
      <c r="S185" s="973"/>
      <c r="T185" s="1258"/>
      <c r="U185" s="1337"/>
      <c r="V185" s="72">
        <f>IF(AND(Q185="ja",R185=""),1,0)</f>
        <v>0</v>
      </c>
      <c r="Y185" s="74">
        <v>5.0000000000000001E-3</v>
      </c>
      <c r="Z185" s="77">
        <f>IF(H185="ja",Y185,0)</f>
        <v>0</v>
      </c>
      <c r="AA185" s="78"/>
      <c r="AB185" s="78">
        <f t="shared" si="2"/>
        <v>0</v>
      </c>
      <c r="AC185" s="68"/>
      <c r="AD185" s="68"/>
      <c r="AE185" s="68"/>
      <c r="AF185" s="68"/>
      <c r="AG185" s="68"/>
      <c r="AH185" s="68"/>
      <c r="AI185" s="68"/>
      <c r="AJ185" s="68"/>
      <c r="AK185" s="68"/>
    </row>
    <row r="186" spans="1:37" ht="15" customHeight="1" thickBot="1" x14ac:dyDescent="0.3">
      <c r="A186" s="1595"/>
      <c r="B186" s="1487" t="s">
        <v>425</v>
      </c>
      <c r="C186" s="1488"/>
      <c r="D186" s="1488"/>
      <c r="E186" s="1488"/>
      <c r="F186" s="1488"/>
      <c r="G186" s="1489"/>
      <c r="H186" s="981" t="s">
        <v>100</v>
      </c>
      <c r="I186" s="1017"/>
      <c r="J186" s="1029"/>
      <c r="K186" s="1030"/>
      <c r="L186" s="984"/>
      <c r="M186" s="985"/>
      <c r="N186" s="985"/>
      <c r="O186" s="985"/>
      <c r="P186" s="985"/>
      <c r="Q186" s="978"/>
      <c r="R186" s="972"/>
      <c r="S186" s="973"/>
      <c r="T186" s="1258"/>
      <c r="U186" s="1337"/>
      <c r="Y186" s="74">
        <v>2.5000000000000001E-3</v>
      </c>
      <c r="Z186" s="77">
        <f>IF(H186="ja",Y186,0)</f>
        <v>0</v>
      </c>
      <c r="AA186" s="78"/>
      <c r="AB186" s="78">
        <f t="shared" si="2"/>
        <v>0</v>
      </c>
      <c r="AC186" s="68"/>
      <c r="AD186" s="68"/>
      <c r="AE186" s="68"/>
      <c r="AF186" s="68"/>
      <c r="AG186" s="68"/>
      <c r="AH186" s="68"/>
      <c r="AI186" s="68"/>
      <c r="AJ186" s="68"/>
      <c r="AK186" s="68"/>
    </row>
    <row r="187" spans="1:37" ht="15" customHeight="1" thickBot="1" x14ac:dyDescent="0.3">
      <c r="A187" s="1595"/>
      <c r="B187" s="1493"/>
      <c r="C187" s="1317"/>
      <c r="D187" s="1317"/>
      <c r="E187" s="1317"/>
      <c r="F187" s="1317"/>
      <c r="G187" s="1494"/>
      <c r="H187" s="982"/>
      <c r="I187" s="1017"/>
      <c r="J187" s="1029"/>
      <c r="K187" s="1030"/>
      <c r="L187" s="984"/>
      <c r="M187" s="985"/>
      <c r="N187" s="985"/>
      <c r="O187" s="985"/>
      <c r="P187" s="985"/>
      <c r="Q187" s="978"/>
      <c r="R187" s="972"/>
      <c r="S187" s="973"/>
      <c r="T187" s="1258"/>
      <c r="U187" s="1337"/>
      <c r="Y187" s="74"/>
      <c r="Z187" s="77"/>
      <c r="AA187" s="78"/>
      <c r="AB187" s="78">
        <f t="shared" si="2"/>
        <v>0</v>
      </c>
      <c r="AC187" s="68"/>
      <c r="AD187" s="68"/>
      <c r="AE187" s="68"/>
      <c r="AF187" s="68"/>
      <c r="AG187" s="68"/>
      <c r="AH187" s="68"/>
      <c r="AI187" s="68"/>
      <c r="AJ187" s="68"/>
      <c r="AK187" s="68"/>
    </row>
    <row r="188" spans="1:37" ht="15" customHeight="1" thickBot="1" x14ac:dyDescent="0.3">
      <c r="A188" s="1595"/>
      <c r="B188" s="1490"/>
      <c r="C188" s="1491"/>
      <c r="D188" s="1491"/>
      <c r="E188" s="1491"/>
      <c r="F188" s="1491"/>
      <c r="G188" s="1492"/>
      <c r="H188" s="983"/>
      <c r="I188" s="1017"/>
      <c r="J188" s="1029"/>
      <c r="K188" s="1030"/>
      <c r="L188" s="984"/>
      <c r="M188" s="985"/>
      <c r="N188" s="985"/>
      <c r="O188" s="985"/>
      <c r="P188" s="985"/>
      <c r="Q188" s="978" t="s">
        <v>100</v>
      </c>
      <c r="R188" s="972"/>
      <c r="S188" s="973"/>
      <c r="T188" s="1258"/>
      <c r="U188" s="1337"/>
      <c r="V188" s="72">
        <f>IF(AND(Q188="ja",R188=""),1,0)</f>
        <v>0</v>
      </c>
      <c r="Y188" s="74"/>
      <c r="Z188" s="77"/>
      <c r="AA188" s="78"/>
      <c r="AB188" s="78">
        <f t="shared" si="2"/>
        <v>0</v>
      </c>
      <c r="AC188" s="68"/>
      <c r="AD188" s="68"/>
      <c r="AE188" s="68"/>
      <c r="AF188" s="68"/>
      <c r="AG188" s="68"/>
      <c r="AH188" s="68"/>
      <c r="AI188" s="68"/>
      <c r="AJ188" s="68"/>
      <c r="AK188" s="68"/>
    </row>
    <row r="189" spans="1:37" ht="15" customHeight="1" thickBot="1" x14ac:dyDescent="0.3">
      <c r="A189" s="1595"/>
      <c r="B189" s="1487" t="s">
        <v>426</v>
      </c>
      <c r="C189" s="1488"/>
      <c r="D189" s="1488"/>
      <c r="E189" s="1488"/>
      <c r="F189" s="1488"/>
      <c r="G189" s="1489"/>
      <c r="H189" s="981" t="s">
        <v>100</v>
      </c>
      <c r="I189" s="1017"/>
      <c r="J189" s="1029"/>
      <c r="K189" s="1030"/>
      <c r="L189" s="984"/>
      <c r="M189" s="985"/>
      <c r="N189" s="985"/>
      <c r="O189" s="985"/>
      <c r="P189" s="985"/>
      <c r="Q189" s="978"/>
      <c r="R189" s="972"/>
      <c r="S189" s="973"/>
      <c r="T189" s="1258"/>
      <c r="U189" s="1337"/>
      <c r="Y189" s="74">
        <v>5.0000000000000001E-3</v>
      </c>
      <c r="Z189" s="77">
        <f>IF(H189="ja",Y189,0)</f>
        <v>0</v>
      </c>
      <c r="AA189" s="78"/>
      <c r="AB189" s="78">
        <f t="shared" si="2"/>
        <v>0</v>
      </c>
      <c r="AC189" s="68"/>
      <c r="AD189" s="68"/>
      <c r="AE189" s="68"/>
      <c r="AF189" s="68"/>
      <c r="AG189" s="68"/>
      <c r="AH189" s="68"/>
      <c r="AI189" s="68"/>
      <c r="AJ189" s="68"/>
      <c r="AK189" s="68"/>
    </row>
    <row r="190" spans="1:37" ht="15" customHeight="1" thickBot="1" x14ac:dyDescent="0.3">
      <c r="A190" s="1595"/>
      <c r="B190" s="1490"/>
      <c r="C190" s="1491"/>
      <c r="D190" s="1491"/>
      <c r="E190" s="1491"/>
      <c r="F190" s="1491"/>
      <c r="G190" s="1492"/>
      <c r="H190" s="983"/>
      <c r="I190" s="1017"/>
      <c r="J190" s="1029"/>
      <c r="K190" s="1030"/>
      <c r="L190" s="984"/>
      <c r="M190" s="985"/>
      <c r="N190" s="985"/>
      <c r="O190" s="985"/>
      <c r="P190" s="985"/>
      <c r="Q190" s="978"/>
      <c r="R190" s="972"/>
      <c r="S190" s="973"/>
      <c r="T190" s="1258"/>
      <c r="U190" s="1337"/>
      <c r="Y190" s="74"/>
      <c r="Z190" s="77"/>
      <c r="AA190" s="77"/>
      <c r="AB190" s="78">
        <f t="shared" si="2"/>
        <v>0</v>
      </c>
      <c r="AC190" s="68"/>
      <c r="AD190" s="68"/>
      <c r="AE190" s="68"/>
      <c r="AF190" s="68"/>
      <c r="AG190" s="68"/>
      <c r="AH190" s="68"/>
      <c r="AI190" s="68"/>
      <c r="AJ190" s="68"/>
      <c r="AK190" s="68"/>
    </row>
    <row r="191" spans="1:37" ht="15" customHeight="1" thickBot="1" x14ac:dyDescent="0.3">
      <c r="A191" s="1595"/>
      <c r="B191" s="1487" t="s">
        <v>427</v>
      </c>
      <c r="C191" s="1488"/>
      <c r="D191" s="1488"/>
      <c r="E191" s="1488"/>
      <c r="F191" s="1488"/>
      <c r="G191" s="1489"/>
      <c r="H191" s="981" t="s">
        <v>100</v>
      </c>
      <c r="I191" s="1017"/>
      <c r="J191" s="1029"/>
      <c r="K191" s="1030"/>
      <c r="L191" s="1539"/>
      <c r="M191" s="1540"/>
      <c r="N191" s="1540"/>
      <c r="O191" s="1540"/>
      <c r="P191" s="1540"/>
      <c r="Q191" s="978" t="s">
        <v>100</v>
      </c>
      <c r="R191" s="972"/>
      <c r="S191" s="973"/>
      <c r="T191" s="1258"/>
      <c r="U191" s="1337"/>
      <c r="V191" s="72">
        <f>IF(AND(Q191="ja",R191=""),1,0)</f>
        <v>0</v>
      </c>
      <c r="Y191" s="74">
        <v>1.5E-3</v>
      </c>
      <c r="Z191" s="77">
        <f>IF(H191="ja",Y191,0)</f>
        <v>0</v>
      </c>
      <c r="AA191" s="78"/>
      <c r="AB191" s="78">
        <f t="shared" si="2"/>
        <v>0</v>
      </c>
      <c r="AC191" s="68"/>
      <c r="AD191" s="68"/>
      <c r="AE191" s="68"/>
      <c r="AF191" s="68"/>
      <c r="AG191" s="68"/>
      <c r="AH191" s="68"/>
      <c r="AI191" s="68"/>
      <c r="AJ191" s="68"/>
      <c r="AK191" s="68"/>
    </row>
    <row r="192" spans="1:37" ht="15" customHeight="1" thickBot="1" x14ac:dyDescent="0.3">
      <c r="A192" s="1595"/>
      <c r="B192" s="1490"/>
      <c r="C192" s="1491"/>
      <c r="D192" s="1491"/>
      <c r="E192" s="1491"/>
      <c r="F192" s="1491"/>
      <c r="G192" s="1492"/>
      <c r="H192" s="983"/>
      <c r="I192" s="1018"/>
      <c r="J192" s="1031"/>
      <c r="K192" s="1032"/>
      <c r="L192" s="1541"/>
      <c r="M192" s="1542"/>
      <c r="N192" s="1542"/>
      <c r="O192" s="1542"/>
      <c r="P192" s="1542"/>
      <c r="Q192" s="979"/>
      <c r="R192" s="974"/>
      <c r="S192" s="975"/>
      <c r="T192" s="1259"/>
      <c r="U192" s="1337"/>
      <c r="Y192" s="74"/>
      <c r="Z192" s="77"/>
      <c r="AA192" s="78"/>
      <c r="AB192" s="78">
        <f t="shared" si="2"/>
        <v>0</v>
      </c>
      <c r="AC192" s="68"/>
      <c r="AD192" s="68"/>
      <c r="AE192" s="68"/>
      <c r="AF192" s="68"/>
      <c r="AG192" s="68"/>
      <c r="AH192" s="68"/>
      <c r="AI192" s="68"/>
      <c r="AJ192" s="68"/>
      <c r="AK192" s="68"/>
    </row>
    <row r="193" spans="1:37" ht="14.55" thickBot="1" x14ac:dyDescent="0.3">
      <c r="A193" s="1595"/>
      <c r="B193" s="1511" t="s">
        <v>428</v>
      </c>
      <c r="C193" s="1512"/>
      <c r="D193" s="1512"/>
      <c r="E193" s="1512"/>
      <c r="F193" s="1512"/>
      <c r="G193" s="1513"/>
      <c r="H193" s="342"/>
      <c r="I193" s="343"/>
      <c r="J193" s="344"/>
      <c r="K193" s="344"/>
      <c r="L193" s="1534">
        <f>SUM(R179:S192)</f>
        <v>0</v>
      </c>
      <c r="M193" s="1535"/>
      <c r="N193" s="1535"/>
      <c r="O193" s="1535"/>
      <c r="P193" s="1535"/>
      <c r="Q193" s="338"/>
      <c r="R193" s="1495"/>
      <c r="S193" s="1496"/>
      <c r="U193" s="334"/>
      <c r="Y193" s="74"/>
      <c r="Z193" s="152">
        <f>SUM(Z179:Z191)</f>
        <v>0</v>
      </c>
      <c r="AA193" s="78"/>
      <c r="AB193" s="78">
        <f t="shared" si="2"/>
        <v>0</v>
      </c>
      <c r="AC193" s="68"/>
      <c r="AD193" s="68"/>
      <c r="AE193" s="68"/>
      <c r="AF193" s="68"/>
      <c r="AG193" s="68"/>
      <c r="AH193" s="68"/>
      <c r="AI193" s="68"/>
      <c r="AJ193" s="68"/>
      <c r="AK193" s="68"/>
    </row>
    <row r="194" spans="1:37" ht="14.55" thickBot="1" x14ac:dyDescent="0.3">
      <c r="A194" s="1595"/>
      <c r="B194" s="1497" t="s">
        <v>429</v>
      </c>
      <c r="C194" s="1498"/>
      <c r="D194" s="1498"/>
      <c r="E194" s="1498"/>
      <c r="F194" s="1498"/>
      <c r="G194" s="1499"/>
      <c r="H194" s="1194" t="s">
        <v>100</v>
      </c>
      <c r="I194" s="1016">
        <f>Z235</f>
        <v>0</v>
      </c>
      <c r="J194" s="1027">
        <f>I115*I194</f>
        <v>0</v>
      </c>
      <c r="K194" s="1028"/>
      <c r="L194" s="1285" t="s">
        <v>430</v>
      </c>
      <c r="M194" s="1286"/>
      <c r="N194" s="1286"/>
      <c r="O194" s="1286"/>
      <c r="P194" s="1287"/>
      <c r="Q194" s="1294" t="s">
        <v>100</v>
      </c>
      <c r="R194" s="1296"/>
      <c r="S194" s="1297"/>
      <c r="T194" s="1257" t="str">
        <f>IFERROR(IF((VLOOKUP(U194,Überblick!$M$125:$N$133,2))="ja","ja","nein"),"")</f>
        <v/>
      </c>
      <c r="U194" s="1337"/>
      <c r="V194" s="72">
        <f>IF(AND(Q194="ja",R194=""),1,0)</f>
        <v>0</v>
      </c>
      <c r="Y194" s="74">
        <v>0.17499999999999999</v>
      </c>
      <c r="Z194" s="77">
        <f>IF(H194="ja",Y194,0)</f>
        <v>0</v>
      </c>
      <c r="AA194" s="78"/>
      <c r="AB194" s="78">
        <f t="shared" si="2"/>
        <v>0</v>
      </c>
      <c r="AC194" s="68"/>
      <c r="AD194" s="68"/>
      <c r="AE194" s="68"/>
      <c r="AF194" s="68"/>
      <c r="AG194" s="68"/>
      <c r="AH194" s="68"/>
      <c r="AI194" s="68"/>
      <c r="AJ194" s="68"/>
      <c r="AK194" s="68"/>
    </row>
    <row r="195" spans="1:37" ht="14.55" thickBot="1" x14ac:dyDescent="0.3">
      <c r="A195" s="1595"/>
      <c r="B195" s="1493"/>
      <c r="C195" s="1317"/>
      <c r="D195" s="1317"/>
      <c r="E195" s="1317"/>
      <c r="F195" s="1317"/>
      <c r="G195" s="1494"/>
      <c r="H195" s="982"/>
      <c r="I195" s="1017"/>
      <c r="J195" s="1029"/>
      <c r="K195" s="1030"/>
      <c r="L195" s="1288"/>
      <c r="M195" s="1289"/>
      <c r="N195" s="1289"/>
      <c r="O195" s="1289"/>
      <c r="P195" s="1290"/>
      <c r="Q195" s="1003"/>
      <c r="R195" s="1007"/>
      <c r="S195" s="1008"/>
      <c r="T195" s="1258"/>
      <c r="U195" s="1337"/>
      <c r="Y195" s="74"/>
      <c r="Z195" s="77"/>
      <c r="AA195" s="78"/>
      <c r="AB195" s="78">
        <f t="shared" si="2"/>
        <v>0</v>
      </c>
      <c r="AC195" s="68"/>
      <c r="AD195" s="68"/>
      <c r="AE195" s="68"/>
      <c r="AF195" s="68"/>
      <c r="AG195" s="68"/>
      <c r="AH195" s="68"/>
      <c r="AI195" s="68"/>
      <c r="AJ195" s="68"/>
      <c r="AK195" s="68"/>
    </row>
    <row r="196" spans="1:37" ht="14.55" thickBot="1" x14ac:dyDescent="0.3">
      <c r="A196" s="1595"/>
      <c r="B196" s="1493"/>
      <c r="C196" s="1317"/>
      <c r="D196" s="1317"/>
      <c r="E196" s="1317"/>
      <c r="F196" s="1317"/>
      <c r="G196" s="1494"/>
      <c r="H196" s="982"/>
      <c r="I196" s="1017"/>
      <c r="J196" s="1029"/>
      <c r="K196" s="1030"/>
      <c r="L196" s="1288"/>
      <c r="M196" s="1289"/>
      <c r="N196" s="1289"/>
      <c r="O196" s="1289"/>
      <c r="P196" s="1290"/>
      <c r="Q196" s="1003"/>
      <c r="R196" s="1007"/>
      <c r="S196" s="1008"/>
      <c r="T196" s="1258"/>
      <c r="U196" s="1337"/>
      <c r="Y196" s="74"/>
      <c r="Z196" s="77"/>
      <c r="AA196" s="78"/>
      <c r="AB196" s="78">
        <f t="shared" si="2"/>
        <v>0</v>
      </c>
      <c r="AC196" s="68"/>
      <c r="AD196" s="68"/>
      <c r="AE196" s="68"/>
      <c r="AF196" s="68"/>
      <c r="AG196" s="68"/>
      <c r="AH196" s="68"/>
      <c r="AI196" s="68"/>
      <c r="AJ196" s="68"/>
      <c r="AK196" s="68"/>
    </row>
    <row r="197" spans="1:37" ht="14.55" thickBot="1" x14ac:dyDescent="0.3">
      <c r="A197" s="1595"/>
      <c r="B197" s="1493"/>
      <c r="C197" s="1317"/>
      <c r="D197" s="1317"/>
      <c r="E197" s="1317"/>
      <c r="F197" s="1317"/>
      <c r="G197" s="1494"/>
      <c r="H197" s="982"/>
      <c r="I197" s="1017"/>
      <c r="J197" s="1029"/>
      <c r="K197" s="1030"/>
      <c r="L197" s="1288"/>
      <c r="M197" s="1289"/>
      <c r="N197" s="1289"/>
      <c r="O197" s="1289"/>
      <c r="P197" s="1290"/>
      <c r="Q197" s="1003"/>
      <c r="R197" s="1007"/>
      <c r="S197" s="1008"/>
      <c r="T197" s="1258"/>
      <c r="U197" s="1337"/>
      <c r="V197" s="72">
        <f>IF(AND(Q197="ja",R197=""),1,0)</f>
        <v>0</v>
      </c>
      <c r="Y197" s="74"/>
      <c r="Z197" s="77"/>
      <c r="AA197" s="78"/>
      <c r="AB197" s="78">
        <f t="shared" si="2"/>
        <v>0</v>
      </c>
      <c r="AC197" s="68"/>
      <c r="AD197" s="68"/>
      <c r="AE197" s="68"/>
      <c r="AF197" s="68"/>
      <c r="AG197" s="68"/>
      <c r="AH197" s="68"/>
      <c r="AI197" s="68"/>
      <c r="AJ197" s="68"/>
      <c r="AK197" s="68"/>
    </row>
    <row r="198" spans="1:37" ht="14.55" thickBot="1" x14ac:dyDescent="0.3">
      <c r="A198" s="1595"/>
      <c r="B198" s="1493"/>
      <c r="C198" s="1317"/>
      <c r="D198" s="1317"/>
      <c r="E198" s="1317"/>
      <c r="F198" s="1317"/>
      <c r="G198" s="1494"/>
      <c r="H198" s="982"/>
      <c r="I198" s="1017"/>
      <c r="J198" s="1029"/>
      <c r="K198" s="1030"/>
      <c r="L198" s="1288"/>
      <c r="M198" s="1289"/>
      <c r="N198" s="1289"/>
      <c r="O198" s="1289"/>
      <c r="P198" s="1290"/>
      <c r="Q198" s="1003"/>
      <c r="R198" s="1007"/>
      <c r="S198" s="1008"/>
      <c r="T198" s="1258"/>
      <c r="U198" s="1337"/>
      <c r="Y198" s="74"/>
      <c r="Z198" s="77"/>
      <c r="AA198" s="78"/>
      <c r="AB198" s="78">
        <f t="shared" si="2"/>
        <v>0</v>
      </c>
      <c r="AC198" s="68"/>
      <c r="AD198" s="68"/>
      <c r="AE198" s="68"/>
      <c r="AF198" s="68"/>
      <c r="AG198" s="68"/>
      <c r="AH198" s="68"/>
      <c r="AI198" s="68"/>
      <c r="AJ198" s="68"/>
      <c r="AK198" s="68"/>
    </row>
    <row r="199" spans="1:37" ht="14.55" thickBot="1" x14ac:dyDescent="0.3">
      <c r="A199" s="1595"/>
      <c r="B199" s="1493"/>
      <c r="C199" s="1317"/>
      <c r="D199" s="1317"/>
      <c r="E199" s="1317"/>
      <c r="F199" s="1317"/>
      <c r="G199" s="1494"/>
      <c r="H199" s="982"/>
      <c r="I199" s="1017"/>
      <c r="J199" s="1029"/>
      <c r="K199" s="1030"/>
      <c r="L199" s="1288"/>
      <c r="M199" s="1289"/>
      <c r="N199" s="1289"/>
      <c r="O199" s="1289"/>
      <c r="P199" s="1290"/>
      <c r="Q199" s="1003"/>
      <c r="R199" s="1007"/>
      <c r="S199" s="1008"/>
      <c r="T199" s="1258"/>
      <c r="U199" s="1337"/>
      <c r="Y199" s="74"/>
      <c r="Z199" s="77"/>
      <c r="AA199" s="78"/>
      <c r="AB199" s="78">
        <f t="shared" si="2"/>
        <v>0</v>
      </c>
      <c r="AC199" s="68"/>
      <c r="AD199" s="68"/>
      <c r="AE199" s="68"/>
      <c r="AF199" s="68"/>
      <c r="AG199" s="68"/>
      <c r="AH199" s="68"/>
      <c r="AI199" s="68"/>
      <c r="AJ199" s="68"/>
      <c r="AK199" s="68"/>
    </row>
    <row r="200" spans="1:37" ht="14.55" thickBot="1" x14ac:dyDescent="0.3">
      <c r="A200" s="1595"/>
      <c r="B200" s="1490"/>
      <c r="C200" s="1491"/>
      <c r="D200" s="1491"/>
      <c r="E200" s="1491"/>
      <c r="F200" s="1491"/>
      <c r="G200" s="1492"/>
      <c r="H200" s="983"/>
      <c r="I200" s="1017"/>
      <c r="J200" s="1029"/>
      <c r="K200" s="1030"/>
      <c r="L200" s="1288"/>
      <c r="M200" s="1289"/>
      <c r="N200" s="1289"/>
      <c r="O200" s="1289"/>
      <c r="P200" s="1290"/>
      <c r="Q200" s="1003"/>
      <c r="R200" s="1007"/>
      <c r="S200" s="1008"/>
      <c r="T200" s="1258"/>
      <c r="U200" s="1337"/>
      <c r="V200" s="72">
        <f>IF(AND(Q200="ja",R200=""),1,0)</f>
        <v>0</v>
      </c>
      <c r="Y200" s="74"/>
      <c r="Z200" s="77"/>
      <c r="AA200" s="78"/>
      <c r="AB200" s="78">
        <f t="shared" si="2"/>
        <v>0</v>
      </c>
      <c r="AC200" s="68"/>
      <c r="AD200" s="68"/>
      <c r="AE200" s="68"/>
      <c r="AF200" s="68"/>
      <c r="AG200" s="68"/>
      <c r="AH200" s="68"/>
      <c r="AI200" s="68"/>
      <c r="AJ200" s="68"/>
      <c r="AK200" s="68"/>
    </row>
    <row r="201" spans="1:37" ht="14.55" thickBot="1" x14ac:dyDescent="0.3">
      <c r="A201" s="1595"/>
      <c r="B201" s="1103" t="s">
        <v>431</v>
      </c>
      <c r="C201" s="1104"/>
      <c r="D201" s="1104"/>
      <c r="E201" s="1104"/>
      <c r="F201" s="1104"/>
      <c r="G201" s="1105"/>
      <c r="H201" s="314" t="s">
        <v>100</v>
      </c>
      <c r="I201" s="1017"/>
      <c r="J201" s="1029"/>
      <c r="K201" s="1030"/>
      <c r="L201" s="1288"/>
      <c r="M201" s="1289"/>
      <c r="N201" s="1289"/>
      <c r="O201" s="1289"/>
      <c r="P201" s="1290"/>
      <c r="Q201" s="1003"/>
      <c r="R201" s="1007"/>
      <c r="S201" s="1008"/>
      <c r="T201" s="1258"/>
      <c r="U201" s="1337"/>
      <c r="Y201" s="74">
        <v>3.0000000000000001E-3</v>
      </c>
      <c r="Z201" s="77">
        <f>IF(H201="ja",Y201,0)</f>
        <v>0</v>
      </c>
      <c r="AA201" s="78"/>
      <c r="AB201" s="78">
        <f t="shared" si="2"/>
        <v>0</v>
      </c>
      <c r="AC201" s="68"/>
      <c r="AD201" s="68"/>
      <c r="AE201" s="68"/>
      <c r="AF201" s="68"/>
      <c r="AG201" s="68"/>
      <c r="AH201" s="68"/>
      <c r="AI201" s="68"/>
      <c r="AJ201" s="68"/>
      <c r="AK201" s="68"/>
    </row>
    <row r="202" spans="1:37" ht="14.55" thickBot="1" x14ac:dyDescent="0.3">
      <c r="A202" s="1595"/>
      <c r="B202" s="1487" t="s">
        <v>432</v>
      </c>
      <c r="C202" s="1488"/>
      <c r="D202" s="1488"/>
      <c r="E202" s="1488"/>
      <c r="F202" s="1488"/>
      <c r="G202" s="1489"/>
      <c r="H202" s="981" t="s">
        <v>100</v>
      </c>
      <c r="I202" s="1017"/>
      <c r="J202" s="1029"/>
      <c r="K202" s="1030"/>
      <c r="L202" s="1288"/>
      <c r="M202" s="1289"/>
      <c r="N202" s="1289"/>
      <c r="O202" s="1289"/>
      <c r="P202" s="1290"/>
      <c r="Q202" s="1003"/>
      <c r="R202" s="1007"/>
      <c r="S202" s="1008"/>
      <c r="T202" s="1258"/>
      <c r="U202" s="1337"/>
      <c r="Y202" s="74">
        <v>6.4999999999999997E-3</v>
      </c>
      <c r="Z202" s="77">
        <f>IF(H202="ja",Y202,0)</f>
        <v>0</v>
      </c>
      <c r="AA202" s="78"/>
      <c r="AB202" s="78">
        <f t="shared" si="2"/>
        <v>0</v>
      </c>
      <c r="AC202" s="68"/>
      <c r="AD202" s="68"/>
      <c r="AE202" s="68"/>
      <c r="AF202" s="68"/>
      <c r="AG202" s="68"/>
      <c r="AH202" s="68"/>
      <c r="AI202" s="68"/>
      <c r="AJ202" s="68"/>
      <c r="AK202" s="68"/>
    </row>
    <row r="203" spans="1:37" ht="14.55" thickBot="1" x14ac:dyDescent="0.3">
      <c r="A203" s="1595"/>
      <c r="B203" s="1490"/>
      <c r="C203" s="1491"/>
      <c r="D203" s="1491"/>
      <c r="E203" s="1491"/>
      <c r="F203" s="1491"/>
      <c r="G203" s="1492"/>
      <c r="H203" s="983"/>
      <c r="I203" s="1017"/>
      <c r="J203" s="1029"/>
      <c r="K203" s="1030"/>
      <c r="L203" s="1288"/>
      <c r="M203" s="1289"/>
      <c r="N203" s="1289"/>
      <c r="O203" s="1289"/>
      <c r="P203" s="1290"/>
      <c r="Q203" s="1295"/>
      <c r="R203" s="1269"/>
      <c r="S203" s="1270"/>
      <c r="T203" s="1258"/>
      <c r="U203" s="1337"/>
      <c r="V203" s="72">
        <f>IF(AND(Q204="ja",R203=""),1,0)</f>
        <v>0</v>
      </c>
      <c r="Y203" s="74"/>
      <c r="Z203" s="77"/>
      <c r="AA203" s="78"/>
      <c r="AB203" s="78">
        <f t="shared" si="2"/>
        <v>0</v>
      </c>
      <c r="AC203" s="68"/>
      <c r="AD203" s="68"/>
      <c r="AE203" s="68"/>
      <c r="AF203" s="68"/>
      <c r="AG203" s="68"/>
      <c r="AH203" s="68"/>
      <c r="AI203" s="68"/>
      <c r="AJ203" s="68"/>
      <c r="AK203" s="68"/>
    </row>
    <row r="204" spans="1:37" ht="15" customHeight="1" thickBot="1" x14ac:dyDescent="0.3">
      <c r="A204" s="1595"/>
      <c r="B204" s="1103" t="s">
        <v>433</v>
      </c>
      <c r="C204" s="1104"/>
      <c r="D204" s="1104"/>
      <c r="E204" s="1104"/>
      <c r="F204" s="1104"/>
      <c r="G204" s="1105"/>
      <c r="H204" s="314" t="s">
        <v>100</v>
      </c>
      <c r="I204" s="1017"/>
      <c r="J204" s="1029"/>
      <c r="K204" s="1030"/>
      <c r="L204" s="1484" t="s">
        <v>247</v>
      </c>
      <c r="M204" s="1485"/>
      <c r="N204" s="1485"/>
      <c r="O204" s="1485"/>
      <c r="P204" s="1486"/>
      <c r="Q204" s="979" t="s">
        <v>100</v>
      </c>
      <c r="R204" s="972"/>
      <c r="S204" s="973"/>
      <c r="T204" s="1258"/>
      <c r="U204" s="1337"/>
      <c r="Y204" s="74">
        <v>5.0000000000000001E-3</v>
      </c>
      <c r="Z204" s="77">
        <f>IF(H204="ja",Y204,0)</f>
        <v>0</v>
      </c>
      <c r="AA204" s="78"/>
      <c r="AB204" s="78">
        <f>IF(Q204="ja",1,0)</f>
        <v>0</v>
      </c>
      <c r="AC204" s="68"/>
      <c r="AD204" s="68"/>
      <c r="AE204" s="68"/>
      <c r="AF204" s="68"/>
      <c r="AG204" s="68"/>
      <c r="AH204" s="68"/>
      <c r="AI204" s="68"/>
      <c r="AJ204" s="68"/>
      <c r="AK204" s="68"/>
    </row>
    <row r="205" spans="1:37" ht="15" customHeight="1" thickBot="1" x14ac:dyDescent="0.3">
      <c r="A205" s="1595"/>
      <c r="B205" s="1487" t="s">
        <v>434</v>
      </c>
      <c r="C205" s="1488"/>
      <c r="D205" s="1488"/>
      <c r="E205" s="1488"/>
      <c r="F205" s="1488"/>
      <c r="G205" s="1489"/>
      <c r="H205" s="981" t="s">
        <v>100</v>
      </c>
      <c r="I205" s="1017"/>
      <c r="J205" s="1029"/>
      <c r="K205" s="1030"/>
      <c r="L205" s="1291"/>
      <c r="M205" s="1292"/>
      <c r="N205" s="1292"/>
      <c r="O205" s="1292"/>
      <c r="P205" s="1293"/>
      <c r="Q205" s="1295"/>
      <c r="R205" s="972"/>
      <c r="S205" s="973"/>
      <c r="T205" s="1258"/>
      <c r="U205" s="1337"/>
      <c r="Y205" s="74">
        <v>1E-3</v>
      </c>
      <c r="Z205" s="77">
        <f>IF(H205="ja",Y205,0)</f>
        <v>0</v>
      </c>
      <c r="AA205" s="78"/>
      <c r="AB205" s="78">
        <f t="shared" si="2"/>
        <v>0</v>
      </c>
      <c r="AC205" s="68"/>
      <c r="AD205" s="68"/>
      <c r="AE205" s="68"/>
      <c r="AF205" s="68"/>
      <c r="AG205" s="68"/>
      <c r="AH205" s="68"/>
      <c r="AI205" s="68"/>
      <c r="AJ205" s="68"/>
      <c r="AK205" s="68"/>
    </row>
    <row r="206" spans="1:37" ht="15" customHeight="1" thickBot="1" x14ac:dyDescent="0.3">
      <c r="A206" s="1595"/>
      <c r="B206" s="1493"/>
      <c r="C206" s="1317"/>
      <c r="D206" s="1317"/>
      <c r="E206" s="1317"/>
      <c r="F206" s="1317"/>
      <c r="G206" s="1494"/>
      <c r="H206" s="982"/>
      <c r="I206" s="1017"/>
      <c r="J206" s="1029"/>
      <c r="K206" s="1030"/>
      <c r="L206" s="984"/>
      <c r="M206" s="985"/>
      <c r="N206" s="985"/>
      <c r="O206" s="985"/>
      <c r="P206" s="985"/>
      <c r="Q206" s="978" t="s">
        <v>100</v>
      </c>
      <c r="R206" s="972"/>
      <c r="S206" s="973"/>
      <c r="T206" s="1258"/>
      <c r="U206" s="1337"/>
      <c r="V206" s="72">
        <f>IF(AND(Q206="ja",R206=""),1,0)</f>
        <v>0</v>
      </c>
      <c r="Y206" s="74"/>
      <c r="Z206" s="77"/>
      <c r="AA206" s="78"/>
      <c r="AB206" s="78">
        <f t="shared" si="2"/>
        <v>0</v>
      </c>
      <c r="AC206" s="68"/>
      <c r="AD206" s="68"/>
      <c r="AE206" s="68"/>
      <c r="AF206" s="68"/>
      <c r="AG206" s="68"/>
      <c r="AH206" s="68"/>
      <c r="AI206" s="68"/>
      <c r="AJ206" s="68"/>
      <c r="AK206" s="68"/>
    </row>
    <row r="207" spans="1:37" ht="15" customHeight="1" thickBot="1" x14ac:dyDescent="0.3">
      <c r="A207" s="1595"/>
      <c r="B207" s="1490"/>
      <c r="C207" s="1491"/>
      <c r="D207" s="1491"/>
      <c r="E207" s="1491"/>
      <c r="F207" s="1491"/>
      <c r="G207" s="1492"/>
      <c r="H207" s="983"/>
      <c r="I207" s="1017"/>
      <c r="J207" s="1029"/>
      <c r="K207" s="1030"/>
      <c r="L207" s="984"/>
      <c r="M207" s="985"/>
      <c r="N207" s="985"/>
      <c r="O207" s="985"/>
      <c r="P207" s="985"/>
      <c r="Q207" s="978"/>
      <c r="R207" s="972"/>
      <c r="S207" s="973"/>
      <c r="T207" s="1258"/>
      <c r="U207" s="1337"/>
      <c r="Y207" s="74"/>
      <c r="Z207" s="77"/>
      <c r="AA207" s="78"/>
      <c r="AB207" s="78">
        <f t="shared" si="2"/>
        <v>0</v>
      </c>
      <c r="AC207" s="68"/>
      <c r="AD207" s="68"/>
      <c r="AE207" s="68"/>
      <c r="AF207" s="68"/>
      <c r="AG207" s="68"/>
      <c r="AH207" s="68"/>
      <c r="AI207" s="68"/>
      <c r="AJ207" s="68"/>
      <c r="AK207" s="68"/>
    </row>
    <row r="208" spans="1:37" ht="15" customHeight="1" thickBot="1" x14ac:dyDescent="0.3">
      <c r="A208" s="1595"/>
      <c r="B208" s="1103" t="s">
        <v>435</v>
      </c>
      <c r="C208" s="1104"/>
      <c r="D208" s="1104"/>
      <c r="E208" s="1104"/>
      <c r="F208" s="1104"/>
      <c r="G208" s="1105"/>
      <c r="H208" s="314" t="s">
        <v>100</v>
      </c>
      <c r="I208" s="1017"/>
      <c r="J208" s="1029"/>
      <c r="K208" s="1030"/>
      <c r="L208" s="984"/>
      <c r="M208" s="985"/>
      <c r="N208" s="985"/>
      <c r="O208" s="985"/>
      <c r="P208" s="985"/>
      <c r="Q208" s="978"/>
      <c r="R208" s="972"/>
      <c r="S208" s="973"/>
      <c r="T208" s="1258"/>
      <c r="U208" s="1337"/>
      <c r="Y208" s="74">
        <v>2.2499999999999999E-2</v>
      </c>
      <c r="Z208" s="77">
        <f>IF(H208="ja",Y208,0)</f>
        <v>0</v>
      </c>
      <c r="AA208" s="78"/>
      <c r="AB208" s="78">
        <f t="shared" si="2"/>
        <v>0</v>
      </c>
      <c r="AC208" s="68"/>
      <c r="AD208" s="68"/>
      <c r="AE208" s="68"/>
      <c r="AF208" s="68"/>
      <c r="AG208" s="68"/>
      <c r="AH208" s="68"/>
      <c r="AI208" s="68"/>
      <c r="AJ208" s="68"/>
      <c r="AK208" s="68"/>
    </row>
    <row r="209" spans="1:37" ht="15" customHeight="1" thickBot="1" x14ac:dyDescent="0.3">
      <c r="A209" s="1595"/>
      <c r="B209" s="1487" t="s">
        <v>436</v>
      </c>
      <c r="C209" s="1488"/>
      <c r="D209" s="1488"/>
      <c r="E209" s="1488"/>
      <c r="F209" s="1488"/>
      <c r="G209" s="1489"/>
      <c r="H209" s="981" t="s">
        <v>100</v>
      </c>
      <c r="I209" s="1017"/>
      <c r="J209" s="1029"/>
      <c r="K209" s="1030"/>
      <c r="L209" s="984" t="s">
        <v>437</v>
      </c>
      <c r="M209" s="985"/>
      <c r="N209" s="985"/>
      <c r="O209" s="985"/>
      <c r="P209" s="985"/>
      <c r="Q209" s="978" t="s">
        <v>100</v>
      </c>
      <c r="R209" s="972"/>
      <c r="S209" s="973"/>
      <c r="T209" s="1258"/>
      <c r="U209" s="1337"/>
      <c r="V209" s="72">
        <f>IF(AND(Q209="ja",R209=""),1,0)</f>
        <v>0</v>
      </c>
      <c r="Y209" s="74">
        <v>6.5000000000000002E-2</v>
      </c>
      <c r="Z209" s="77">
        <f>IF(H209="ja",Y209,0)</f>
        <v>0</v>
      </c>
      <c r="AA209" s="78"/>
      <c r="AB209" s="78">
        <f t="shared" si="2"/>
        <v>0</v>
      </c>
      <c r="AC209" s="68"/>
      <c r="AD209" s="68"/>
      <c r="AE209" s="68"/>
      <c r="AF209" s="68"/>
      <c r="AG209" s="68"/>
      <c r="AH209" s="68"/>
      <c r="AI209" s="68"/>
      <c r="AJ209" s="68"/>
      <c r="AK209" s="68"/>
    </row>
    <row r="210" spans="1:37" ht="15" customHeight="1" thickBot="1" x14ac:dyDescent="0.3">
      <c r="A210" s="1595"/>
      <c r="B210" s="1493"/>
      <c r="C210" s="1317"/>
      <c r="D210" s="1317"/>
      <c r="E210" s="1317"/>
      <c r="F210" s="1317"/>
      <c r="G210" s="1494"/>
      <c r="H210" s="982"/>
      <c r="I210" s="1017"/>
      <c r="J210" s="1029"/>
      <c r="K210" s="1030"/>
      <c r="L210" s="984"/>
      <c r="M210" s="985"/>
      <c r="N210" s="985"/>
      <c r="O210" s="985"/>
      <c r="P210" s="985"/>
      <c r="Q210" s="978"/>
      <c r="R210" s="972"/>
      <c r="S210" s="973"/>
      <c r="T210" s="1258"/>
      <c r="U210" s="1337"/>
      <c r="Y210" s="74"/>
      <c r="Z210" s="77"/>
      <c r="AA210" s="78"/>
      <c r="AB210" s="78">
        <f t="shared" si="2"/>
        <v>0</v>
      </c>
      <c r="AC210" s="68"/>
      <c r="AD210" s="68"/>
      <c r="AE210" s="68"/>
      <c r="AF210" s="68"/>
      <c r="AG210" s="68"/>
      <c r="AH210" s="68"/>
      <c r="AI210" s="68"/>
      <c r="AJ210" s="68"/>
      <c r="AK210" s="68"/>
    </row>
    <row r="211" spans="1:37" ht="15" customHeight="1" thickBot="1" x14ac:dyDescent="0.3">
      <c r="A211" s="1595"/>
      <c r="B211" s="1493"/>
      <c r="C211" s="1317"/>
      <c r="D211" s="1317"/>
      <c r="E211" s="1317"/>
      <c r="F211" s="1317"/>
      <c r="G211" s="1494"/>
      <c r="H211" s="982"/>
      <c r="I211" s="1017"/>
      <c r="J211" s="1029"/>
      <c r="K211" s="1030"/>
      <c r="L211" s="984"/>
      <c r="M211" s="985"/>
      <c r="N211" s="985"/>
      <c r="O211" s="985"/>
      <c r="P211" s="985"/>
      <c r="Q211" s="978"/>
      <c r="R211" s="972"/>
      <c r="S211" s="973"/>
      <c r="T211" s="1258"/>
      <c r="U211" s="1337"/>
      <c r="Y211" s="74"/>
      <c r="Z211" s="77"/>
      <c r="AA211" s="78"/>
      <c r="AB211" s="78">
        <f t="shared" si="2"/>
        <v>0</v>
      </c>
      <c r="AC211" s="68"/>
      <c r="AD211" s="68"/>
      <c r="AE211" s="68"/>
      <c r="AF211" s="68"/>
      <c r="AG211" s="68"/>
      <c r="AH211" s="68"/>
      <c r="AI211" s="68"/>
      <c r="AJ211" s="68"/>
      <c r="AK211" s="68"/>
    </row>
    <row r="212" spans="1:37" ht="15" customHeight="1" thickBot="1" x14ac:dyDescent="0.3">
      <c r="A212" s="1595"/>
      <c r="B212" s="1490"/>
      <c r="C212" s="1491"/>
      <c r="D212" s="1491"/>
      <c r="E212" s="1491"/>
      <c r="F212" s="1491"/>
      <c r="G212" s="1492"/>
      <c r="H212" s="983"/>
      <c r="I212" s="1017"/>
      <c r="J212" s="1029"/>
      <c r="K212" s="1030"/>
      <c r="L212" s="1484" t="s">
        <v>438</v>
      </c>
      <c r="M212" s="1485"/>
      <c r="N212" s="1485"/>
      <c r="O212" s="1485"/>
      <c r="P212" s="1486"/>
      <c r="Q212" s="979" t="s">
        <v>100</v>
      </c>
      <c r="R212" s="1005"/>
      <c r="S212" s="1006"/>
      <c r="T212" s="1258"/>
      <c r="U212" s="1337"/>
      <c r="V212" s="72">
        <f>IF(AND(Q212="ja",R212=""),1,0)</f>
        <v>0</v>
      </c>
      <c r="Y212" s="74"/>
      <c r="Z212" s="77"/>
      <c r="AA212" s="78"/>
      <c r="AB212" s="78">
        <f t="shared" si="2"/>
        <v>0</v>
      </c>
      <c r="AC212" s="68"/>
      <c r="AD212" s="68"/>
      <c r="AE212" s="68"/>
      <c r="AF212" s="68"/>
      <c r="AG212" s="68"/>
      <c r="AH212" s="68"/>
      <c r="AI212" s="68"/>
      <c r="AJ212" s="68"/>
      <c r="AK212" s="68"/>
    </row>
    <row r="213" spans="1:37" ht="15" customHeight="1" thickBot="1" x14ac:dyDescent="0.3">
      <c r="A213" s="1595"/>
      <c r="B213" s="1487" t="s">
        <v>439</v>
      </c>
      <c r="C213" s="1488"/>
      <c r="D213" s="1488"/>
      <c r="E213" s="1488"/>
      <c r="F213" s="1488"/>
      <c r="G213" s="1489"/>
      <c r="H213" s="981" t="s">
        <v>100</v>
      </c>
      <c r="I213" s="1017"/>
      <c r="J213" s="1029"/>
      <c r="K213" s="1030"/>
      <c r="L213" s="1288"/>
      <c r="M213" s="1289"/>
      <c r="N213" s="1289"/>
      <c r="O213" s="1289"/>
      <c r="P213" s="1290"/>
      <c r="Q213" s="1003"/>
      <c r="R213" s="1007"/>
      <c r="S213" s="1008"/>
      <c r="T213" s="1258"/>
      <c r="U213" s="1337"/>
      <c r="Y213" s="74">
        <v>8.5000000000000006E-3</v>
      </c>
      <c r="Z213" s="77">
        <f>IF(H213="ja",Y213,0)</f>
        <v>0</v>
      </c>
      <c r="AA213" s="78"/>
      <c r="AB213" s="78">
        <f t="shared" si="2"/>
        <v>0</v>
      </c>
      <c r="AC213" s="68"/>
      <c r="AD213" s="68"/>
      <c r="AE213" s="68"/>
      <c r="AF213" s="68"/>
      <c r="AG213" s="68"/>
      <c r="AH213" s="68"/>
      <c r="AI213" s="68"/>
      <c r="AJ213" s="68"/>
      <c r="AK213" s="68"/>
    </row>
    <row r="214" spans="1:37" ht="15" customHeight="1" thickBot="1" x14ac:dyDescent="0.3">
      <c r="A214" s="1595"/>
      <c r="B214" s="1493"/>
      <c r="C214" s="1317"/>
      <c r="D214" s="1317"/>
      <c r="E214" s="1317"/>
      <c r="F214" s="1317"/>
      <c r="G214" s="1494"/>
      <c r="H214" s="982"/>
      <c r="I214" s="1017"/>
      <c r="J214" s="1029"/>
      <c r="K214" s="1030"/>
      <c r="L214" s="1288"/>
      <c r="M214" s="1289"/>
      <c r="N214" s="1289"/>
      <c r="O214" s="1289"/>
      <c r="P214" s="1290"/>
      <c r="Q214" s="1003"/>
      <c r="R214" s="1007"/>
      <c r="S214" s="1008"/>
      <c r="T214" s="1258"/>
      <c r="U214" s="1337"/>
      <c r="Y214" s="74"/>
      <c r="Z214" s="77"/>
      <c r="AA214" s="78"/>
      <c r="AB214" s="78">
        <f t="shared" si="2"/>
        <v>0</v>
      </c>
      <c r="AC214" s="68"/>
      <c r="AD214" s="68"/>
      <c r="AE214" s="68"/>
      <c r="AF214" s="68"/>
      <c r="AG214" s="68"/>
      <c r="AH214" s="68"/>
      <c r="AI214" s="68"/>
      <c r="AJ214" s="68"/>
      <c r="AK214" s="68"/>
    </row>
    <row r="215" spans="1:37" ht="15" customHeight="1" thickBot="1" x14ac:dyDescent="0.3">
      <c r="A215" s="1595"/>
      <c r="B215" s="1493"/>
      <c r="C215" s="1317"/>
      <c r="D215" s="1317"/>
      <c r="E215" s="1317"/>
      <c r="F215" s="1317"/>
      <c r="G215" s="1494"/>
      <c r="H215" s="982"/>
      <c r="I215" s="1017"/>
      <c r="J215" s="1029"/>
      <c r="K215" s="1030"/>
      <c r="L215" s="1288"/>
      <c r="M215" s="1289"/>
      <c r="N215" s="1289"/>
      <c r="O215" s="1289"/>
      <c r="P215" s="1290"/>
      <c r="Q215" s="1003"/>
      <c r="R215" s="1007"/>
      <c r="S215" s="1008"/>
      <c r="T215" s="1258"/>
      <c r="U215" s="1337"/>
      <c r="V215" s="72">
        <f>IF(AND(Q215="ja",R215=""),1,0)</f>
        <v>0</v>
      </c>
      <c r="Y215" s="74"/>
      <c r="Z215" s="77"/>
      <c r="AA215" s="78"/>
      <c r="AB215" s="78">
        <f t="shared" si="2"/>
        <v>0</v>
      </c>
      <c r="AC215" s="68"/>
      <c r="AD215" s="68"/>
      <c r="AE215" s="68"/>
      <c r="AF215" s="68"/>
      <c r="AG215" s="68"/>
      <c r="AH215" s="68"/>
      <c r="AI215" s="68"/>
      <c r="AJ215" s="68"/>
      <c r="AK215" s="68"/>
    </row>
    <row r="216" spans="1:37" ht="15" customHeight="1" thickBot="1" x14ac:dyDescent="0.3">
      <c r="A216" s="1595"/>
      <c r="B216" s="1490"/>
      <c r="C216" s="1491"/>
      <c r="D216" s="1491"/>
      <c r="E216" s="1491"/>
      <c r="F216" s="1491"/>
      <c r="G216" s="1492"/>
      <c r="H216" s="983"/>
      <c r="I216" s="1017"/>
      <c r="J216" s="1029"/>
      <c r="K216" s="1030"/>
      <c r="L216" s="1288"/>
      <c r="M216" s="1289"/>
      <c r="N216" s="1289"/>
      <c r="O216" s="1289"/>
      <c r="P216" s="1290"/>
      <c r="Q216" s="1003"/>
      <c r="R216" s="1007"/>
      <c r="S216" s="1008"/>
      <c r="T216" s="1258"/>
      <c r="U216" s="1337"/>
      <c r="Y216" s="74"/>
      <c r="Z216" s="77"/>
      <c r="AA216" s="78"/>
      <c r="AB216" s="78">
        <f t="shared" si="2"/>
        <v>0</v>
      </c>
      <c r="AC216" s="68"/>
      <c r="AD216" s="68"/>
      <c r="AE216" s="68"/>
      <c r="AF216" s="68"/>
      <c r="AG216" s="68"/>
      <c r="AH216" s="68"/>
      <c r="AI216" s="68"/>
      <c r="AJ216" s="68"/>
      <c r="AK216" s="68"/>
    </row>
    <row r="217" spans="1:37" ht="15" customHeight="1" thickBot="1" x14ac:dyDescent="0.3">
      <c r="A217" s="1595"/>
      <c r="B217" s="1103" t="s">
        <v>440</v>
      </c>
      <c r="C217" s="1104"/>
      <c r="D217" s="1104"/>
      <c r="E217" s="1104"/>
      <c r="F217" s="1104"/>
      <c r="G217" s="1105"/>
      <c r="H217" s="314" t="s">
        <v>100</v>
      </c>
      <c r="I217" s="1017"/>
      <c r="J217" s="1029"/>
      <c r="K217" s="1030"/>
      <c r="L217" s="1291"/>
      <c r="M217" s="1292"/>
      <c r="N217" s="1292"/>
      <c r="O217" s="1292"/>
      <c r="P217" s="1293"/>
      <c r="Q217" s="1295"/>
      <c r="R217" s="1269"/>
      <c r="S217" s="1270"/>
      <c r="T217" s="1258"/>
      <c r="U217" s="1337"/>
      <c r="Y217" s="74">
        <v>8.0000000000000002E-3</v>
      </c>
      <c r="Z217" s="77">
        <f>IF(H217="ja",Y217,0)</f>
        <v>0</v>
      </c>
      <c r="AA217" s="78"/>
      <c r="AB217" s="78">
        <f t="shared" si="2"/>
        <v>0</v>
      </c>
      <c r="AC217" s="68"/>
      <c r="AD217" s="68"/>
      <c r="AE217" s="68"/>
      <c r="AF217" s="68"/>
      <c r="AG217" s="68"/>
      <c r="AH217" s="68"/>
      <c r="AI217" s="68"/>
      <c r="AJ217" s="68"/>
      <c r="AK217" s="68"/>
    </row>
    <row r="218" spans="1:37" ht="15" customHeight="1" thickBot="1" x14ac:dyDescent="0.3">
      <c r="A218" s="1595"/>
      <c r="B218" s="1103" t="s">
        <v>441</v>
      </c>
      <c r="C218" s="1104"/>
      <c r="D218" s="1104"/>
      <c r="E218" s="1104"/>
      <c r="F218" s="1104"/>
      <c r="G218" s="1105"/>
      <c r="H218" s="314" t="s">
        <v>100</v>
      </c>
      <c r="I218" s="1017"/>
      <c r="J218" s="1029"/>
      <c r="K218" s="1030"/>
      <c r="L218" s="1484" t="s">
        <v>442</v>
      </c>
      <c r="M218" s="1485"/>
      <c r="N218" s="1485"/>
      <c r="O218" s="1485"/>
      <c r="P218" s="1486"/>
      <c r="Q218" s="979" t="s">
        <v>100</v>
      </c>
      <c r="R218" s="1005"/>
      <c r="S218" s="1006"/>
      <c r="T218" s="1258"/>
      <c r="U218" s="1337"/>
      <c r="V218" s="72">
        <f>IF(AND(Q218="ja",R218=""),1,0)</f>
        <v>0</v>
      </c>
      <c r="Y218" s="74">
        <v>5.0000000000000001E-3</v>
      </c>
      <c r="Z218" s="77">
        <f>IF(H218="ja",Y218,0)</f>
        <v>0</v>
      </c>
      <c r="AA218" s="78"/>
      <c r="AB218" s="78">
        <f t="shared" si="2"/>
        <v>0</v>
      </c>
      <c r="AC218" s="68"/>
      <c r="AD218" s="68"/>
      <c r="AE218" s="68"/>
      <c r="AF218" s="68"/>
      <c r="AG218" s="68"/>
      <c r="AH218" s="68"/>
      <c r="AI218" s="68"/>
      <c r="AJ218" s="68"/>
      <c r="AK218" s="68"/>
    </row>
    <row r="219" spans="1:37" ht="15" customHeight="1" thickBot="1" x14ac:dyDescent="0.3">
      <c r="A219" s="1595"/>
      <c r="B219" s="1487" t="s">
        <v>443</v>
      </c>
      <c r="C219" s="1488"/>
      <c r="D219" s="1488"/>
      <c r="E219" s="1488"/>
      <c r="F219" s="1488"/>
      <c r="G219" s="1489"/>
      <c r="H219" s="981" t="s">
        <v>100</v>
      </c>
      <c r="I219" s="1017"/>
      <c r="J219" s="1029"/>
      <c r="K219" s="1030"/>
      <c r="L219" s="1288"/>
      <c r="M219" s="1289"/>
      <c r="N219" s="1289"/>
      <c r="O219" s="1289"/>
      <c r="P219" s="1290"/>
      <c r="Q219" s="1003"/>
      <c r="R219" s="1007"/>
      <c r="S219" s="1008"/>
      <c r="T219" s="1258"/>
      <c r="U219" s="1337"/>
      <c r="Y219" s="74">
        <v>2.5000000000000001E-2</v>
      </c>
      <c r="Z219" s="77">
        <f>IF(H219="ja",Y219,0)</f>
        <v>0</v>
      </c>
      <c r="AA219" s="78"/>
      <c r="AB219" s="78">
        <f t="shared" si="2"/>
        <v>0</v>
      </c>
      <c r="AC219" s="68"/>
      <c r="AD219" s="68"/>
      <c r="AE219" s="68"/>
      <c r="AF219" s="68"/>
      <c r="AG219" s="68"/>
      <c r="AH219" s="68"/>
      <c r="AI219" s="68"/>
      <c r="AJ219" s="68"/>
      <c r="AK219" s="68"/>
    </row>
    <row r="220" spans="1:37" ht="15" customHeight="1" thickBot="1" x14ac:dyDescent="0.3">
      <c r="A220" s="1595"/>
      <c r="B220" s="1493"/>
      <c r="C220" s="1317"/>
      <c r="D220" s="1317"/>
      <c r="E220" s="1317"/>
      <c r="F220" s="1317"/>
      <c r="G220" s="1494"/>
      <c r="H220" s="982"/>
      <c r="I220" s="1017"/>
      <c r="J220" s="1029"/>
      <c r="K220" s="1030"/>
      <c r="L220" s="1288"/>
      <c r="M220" s="1289"/>
      <c r="N220" s="1289"/>
      <c r="O220" s="1289"/>
      <c r="P220" s="1290"/>
      <c r="Q220" s="1003"/>
      <c r="R220" s="1007"/>
      <c r="S220" s="1008"/>
      <c r="T220" s="1258"/>
      <c r="U220" s="1337"/>
      <c r="Y220" s="74"/>
      <c r="Z220" s="77"/>
      <c r="AA220" s="78"/>
      <c r="AB220" s="78">
        <f t="shared" si="2"/>
        <v>0</v>
      </c>
      <c r="AC220" s="68"/>
      <c r="AD220" s="68"/>
      <c r="AE220" s="68"/>
      <c r="AF220" s="68"/>
      <c r="AG220" s="68"/>
      <c r="AH220" s="68"/>
      <c r="AI220" s="68"/>
      <c r="AJ220" s="68"/>
      <c r="AK220" s="68"/>
    </row>
    <row r="221" spans="1:37" ht="15" customHeight="1" thickBot="1" x14ac:dyDescent="0.3">
      <c r="A221" s="1595"/>
      <c r="B221" s="1493"/>
      <c r="C221" s="1317"/>
      <c r="D221" s="1317"/>
      <c r="E221" s="1317"/>
      <c r="F221" s="1317"/>
      <c r="G221" s="1494"/>
      <c r="H221" s="982"/>
      <c r="I221" s="1017"/>
      <c r="J221" s="1029"/>
      <c r="K221" s="1030"/>
      <c r="L221" s="1288"/>
      <c r="M221" s="1289"/>
      <c r="N221" s="1289"/>
      <c r="O221" s="1289"/>
      <c r="P221" s="1290"/>
      <c r="Q221" s="1003"/>
      <c r="R221" s="1007"/>
      <c r="S221" s="1008"/>
      <c r="T221" s="1258"/>
      <c r="U221" s="1337"/>
      <c r="V221" s="72">
        <f>IF(AND(Q221="ja",R221=""),1,0)</f>
        <v>0</v>
      </c>
      <c r="Y221" s="74"/>
      <c r="Z221" s="77"/>
      <c r="AA221" s="78"/>
      <c r="AB221" s="78">
        <f t="shared" si="2"/>
        <v>0</v>
      </c>
      <c r="AC221" s="68"/>
      <c r="AD221" s="68"/>
      <c r="AE221" s="68"/>
      <c r="AF221" s="68"/>
      <c r="AG221" s="68"/>
      <c r="AH221" s="68"/>
      <c r="AI221" s="68"/>
      <c r="AJ221" s="68"/>
      <c r="AK221" s="68"/>
    </row>
    <row r="222" spans="1:37" ht="15" customHeight="1" thickBot="1" x14ac:dyDescent="0.3">
      <c r="A222" s="1595"/>
      <c r="B222" s="1490"/>
      <c r="C222" s="1491"/>
      <c r="D222" s="1491"/>
      <c r="E222" s="1491"/>
      <c r="F222" s="1491"/>
      <c r="G222" s="1492"/>
      <c r="H222" s="983"/>
      <c r="I222" s="1017"/>
      <c r="J222" s="1029"/>
      <c r="K222" s="1030"/>
      <c r="L222" s="1288"/>
      <c r="M222" s="1289"/>
      <c r="N222" s="1289"/>
      <c r="O222" s="1289"/>
      <c r="P222" s="1290"/>
      <c r="Q222" s="1003"/>
      <c r="R222" s="1007"/>
      <c r="S222" s="1008"/>
      <c r="T222" s="1258"/>
      <c r="U222" s="1337"/>
      <c r="Y222" s="74"/>
      <c r="Z222" s="77"/>
      <c r="AA222" s="78"/>
      <c r="AB222" s="78">
        <f t="shared" si="2"/>
        <v>0</v>
      </c>
      <c r="AC222" s="68"/>
      <c r="AD222" s="68"/>
      <c r="AE222" s="68"/>
      <c r="AF222" s="68"/>
      <c r="AG222" s="68"/>
      <c r="AH222" s="68"/>
      <c r="AI222" s="68"/>
      <c r="AJ222" s="68"/>
      <c r="AK222" s="68"/>
    </row>
    <row r="223" spans="1:37" ht="15" customHeight="1" thickBot="1" x14ac:dyDescent="0.3">
      <c r="A223" s="1595"/>
      <c r="B223" s="1103" t="s">
        <v>444</v>
      </c>
      <c r="C223" s="1104"/>
      <c r="D223" s="1104"/>
      <c r="E223" s="1104"/>
      <c r="F223" s="1104"/>
      <c r="G223" s="1105"/>
      <c r="H223" s="314" t="s">
        <v>100</v>
      </c>
      <c r="I223" s="1017"/>
      <c r="J223" s="1029"/>
      <c r="K223" s="1030"/>
      <c r="L223" s="1288"/>
      <c r="M223" s="1289"/>
      <c r="N223" s="1289"/>
      <c r="O223" s="1289"/>
      <c r="P223" s="1290"/>
      <c r="Q223" s="1003"/>
      <c r="R223" s="1007"/>
      <c r="S223" s="1008"/>
      <c r="T223" s="1258"/>
      <c r="U223" s="1337"/>
      <c r="Y223" s="74">
        <v>1E-3</v>
      </c>
      <c r="Z223" s="77">
        <f>IF(H223="ja",Y223,0)</f>
        <v>0</v>
      </c>
      <c r="AA223" s="78"/>
      <c r="AB223" s="78">
        <f t="shared" si="2"/>
        <v>0</v>
      </c>
      <c r="AC223" s="68"/>
      <c r="AD223" s="68"/>
      <c r="AE223" s="68"/>
      <c r="AF223" s="68"/>
      <c r="AG223" s="68"/>
      <c r="AH223" s="68"/>
      <c r="AI223" s="68"/>
      <c r="AJ223" s="68"/>
      <c r="AK223" s="68"/>
    </row>
    <row r="224" spans="1:37" ht="15" customHeight="1" thickBot="1" x14ac:dyDescent="0.3">
      <c r="A224" s="1595"/>
      <c r="B224" s="1487" t="s">
        <v>445</v>
      </c>
      <c r="C224" s="1488"/>
      <c r="D224" s="1488"/>
      <c r="E224" s="1488"/>
      <c r="F224" s="1488"/>
      <c r="G224" s="1489"/>
      <c r="H224" s="981" t="s">
        <v>100</v>
      </c>
      <c r="I224" s="1017"/>
      <c r="J224" s="1029"/>
      <c r="K224" s="1030"/>
      <c r="L224" s="1288"/>
      <c r="M224" s="1289"/>
      <c r="N224" s="1289"/>
      <c r="O224" s="1289"/>
      <c r="P224" s="1290"/>
      <c r="Q224" s="1003"/>
      <c r="R224" s="1007"/>
      <c r="S224" s="1008"/>
      <c r="T224" s="1258"/>
      <c r="U224" s="1337"/>
      <c r="V224" s="72">
        <f>IF(AND(Q224="ja",R224=""),1,0)</f>
        <v>0</v>
      </c>
      <c r="Y224" s="74">
        <v>7.4999999999999997E-3</v>
      </c>
      <c r="Z224" s="77">
        <f>IF(H224="ja",Y224,0)</f>
        <v>0</v>
      </c>
      <c r="AA224" s="78"/>
      <c r="AB224" s="78">
        <f t="shared" si="2"/>
        <v>0</v>
      </c>
      <c r="AC224" s="68"/>
      <c r="AD224" s="68"/>
      <c r="AE224" s="68"/>
      <c r="AF224" s="68"/>
      <c r="AG224" s="68"/>
      <c r="AH224" s="68"/>
      <c r="AI224" s="68"/>
      <c r="AJ224" s="68"/>
      <c r="AK224" s="68"/>
    </row>
    <row r="225" spans="1:37" ht="15" customHeight="1" thickBot="1" x14ac:dyDescent="0.3">
      <c r="A225" s="1595"/>
      <c r="B225" s="1493"/>
      <c r="C225" s="1317"/>
      <c r="D225" s="1317"/>
      <c r="E225" s="1317"/>
      <c r="F225" s="1317"/>
      <c r="G225" s="1494"/>
      <c r="H225" s="982"/>
      <c r="I225" s="1017"/>
      <c r="J225" s="1029"/>
      <c r="K225" s="1030"/>
      <c r="L225" s="1288"/>
      <c r="M225" s="1289"/>
      <c r="N225" s="1289"/>
      <c r="O225" s="1289"/>
      <c r="P225" s="1290"/>
      <c r="Q225" s="1003"/>
      <c r="R225" s="1007"/>
      <c r="S225" s="1008"/>
      <c r="T225" s="1258"/>
      <c r="U225" s="1337"/>
      <c r="Y225" s="74"/>
      <c r="Z225" s="77"/>
      <c r="AA225" s="78"/>
      <c r="AB225" s="78">
        <f t="shared" si="2"/>
        <v>0</v>
      </c>
      <c r="AC225" s="68"/>
      <c r="AD225" s="68"/>
      <c r="AE225" s="68"/>
      <c r="AF225" s="68"/>
      <c r="AG225" s="68"/>
      <c r="AH225" s="68"/>
      <c r="AI225" s="68"/>
      <c r="AJ225" s="68"/>
      <c r="AK225" s="68"/>
    </row>
    <row r="226" spans="1:37" ht="15" customHeight="1" thickBot="1" x14ac:dyDescent="0.3">
      <c r="A226" s="1595"/>
      <c r="B226" s="1493"/>
      <c r="C226" s="1317"/>
      <c r="D226" s="1317"/>
      <c r="E226" s="1317"/>
      <c r="F226" s="1317"/>
      <c r="G226" s="1494"/>
      <c r="H226" s="982"/>
      <c r="I226" s="1017"/>
      <c r="J226" s="1029"/>
      <c r="K226" s="1030"/>
      <c r="L226" s="1291"/>
      <c r="M226" s="1292"/>
      <c r="N226" s="1292"/>
      <c r="O226" s="1292"/>
      <c r="P226" s="1293"/>
      <c r="Q226" s="1295"/>
      <c r="R226" s="1269"/>
      <c r="S226" s="1270"/>
      <c r="T226" s="1258"/>
      <c r="U226" s="1337"/>
      <c r="Y226" s="74"/>
      <c r="Z226" s="77"/>
      <c r="AA226" s="78"/>
      <c r="AB226" s="78">
        <f t="shared" si="2"/>
        <v>0</v>
      </c>
      <c r="AC226" s="68"/>
      <c r="AD226" s="68"/>
      <c r="AE226" s="68"/>
      <c r="AF226" s="68"/>
      <c r="AG226" s="68"/>
      <c r="AH226" s="68"/>
      <c r="AI226" s="68"/>
      <c r="AJ226" s="68"/>
      <c r="AK226" s="68"/>
    </row>
    <row r="227" spans="1:37" ht="15" customHeight="1" thickBot="1" x14ac:dyDescent="0.3">
      <c r="A227" s="1595"/>
      <c r="B227" s="1490"/>
      <c r="C227" s="1491"/>
      <c r="D227" s="1491"/>
      <c r="E227" s="1491"/>
      <c r="F227" s="1491"/>
      <c r="G227" s="1492"/>
      <c r="H227" s="983"/>
      <c r="I227" s="1017"/>
      <c r="J227" s="1029"/>
      <c r="K227" s="1030"/>
      <c r="L227" s="984" t="s">
        <v>254</v>
      </c>
      <c r="M227" s="985"/>
      <c r="N227" s="985"/>
      <c r="O227" s="985"/>
      <c r="P227" s="985"/>
      <c r="Q227" s="978" t="s">
        <v>100</v>
      </c>
      <c r="R227" s="972"/>
      <c r="S227" s="973"/>
      <c r="T227" s="1258"/>
      <c r="U227" s="1337"/>
      <c r="V227" s="72">
        <f>IF(AND(Q227="ja",R227=""),1,0)</f>
        <v>0</v>
      </c>
      <c r="Y227" s="74"/>
      <c r="Z227" s="77"/>
      <c r="AA227" s="78"/>
      <c r="AB227" s="78">
        <f t="shared" si="2"/>
        <v>0</v>
      </c>
      <c r="AC227" s="68"/>
      <c r="AD227" s="68"/>
      <c r="AE227" s="68"/>
      <c r="AF227" s="68"/>
      <c r="AG227" s="68"/>
      <c r="AH227" s="68"/>
      <c r="AI227" s="68"/>
      <c r="AJ227" s="68"/>
      <c r="AK227" s="68"/>
    </row>
    <row r="228" spans="1:37" ht="15" customHeight="1" thickBot="1" x14ac:dyDescent="0.3">
      <c r="A228" s="1595"/>
      <c r="B228" s="1487" t="s">
        <v>446</v>
      </c>
      <c r="C228" s="1488"/>
      <c r="D228" s="1488"/>
      <c r="E228" s="1488"/>
      <c r="F228" s="1488"/>
      <c r="G228" s="1489"/>
      <c r="H228" s="981" t="s">
        <v>100</v>
      </c>
      <c r="I228" s="1017"/>
      <c r="J228" s="1029"/>
      <c r="K228" s="1030"/>
      <c r="L228" s="984"/>
      <c r="M228" s="985"/>
      <c r="N228" s="985"/>
      <c r="O228" s="985"/>
      <c r="P228" s="985"/>
      <c r="Q228" s="978"/>
      <c r="R228" s="972"/>
      <c r="S228" s="973"/>
      <c r="T228" s="1258"/>
      <c r="U228" s="1337"/>
      <c r="Y228" s="74">
        <v>1E-3</v>
      </c>
      <c r="Z228" s="77">
        <f>IF(H228="ja",Y228,0)</f>
        <v>0</v>
      </c>
      <c r="AA228" s="78"/>
      <c r="AB228" s="78">
        <f t="shared" si="2"/>
        <v>0</v>
      </c>
      <c r="AC228" s="68"/>
      <c r="AD228" s="68"/>
      <c r="AE228" s="68"/>
      <c r="AF228" s="68"/>
      <c r="AG228" s="68"/>
      <c r="AH228" s="68"/>
      <c r="AI228" s="68"/>
      <c r="AJ228" s="68"/>
      <c r="AK228" s="68"/>
    </row>
    <row r="229" spans="1:37" ht="15" customHeight="1" thickBot="1" x14ac:dyDescent="0.3">
      <c r="A229" s="1595"/>
      <c r="B229" s="1490"/>
      <c r="C229" s="1491"/>
      <c r="D229" s="1491"/>
      <c r="E229" s="1491"/>
      <c r="F229" s="1491"/>
      <c r="G229" s="1492"/>
      <c r="H229" s="983"/>
      <c r="I229" s="1017"/>
      <c r="J229" s="1029"/>
      <c r="K229" s="1030"/>
      <c r="L229" s="984"/>
      <c r="M229" s="985"/>
      <c r="N229" s="985"/>
      <c r="O229" s="985"/>
      <c r="P229" s="985"/>
      <c r="Q229" s="978"/>
      <c r="R229" s="972"/>
      <c r="S229" s="973"/>
      <c r="T229" s="1258"/>
      <c r="U229" s="1337"/>
      <c r="Y229" s="74"/>
      <c r="Z229" s="77"/>
      <c r="AA229" s="78"/>
      <c r="AB229" s="78">
        <f t="shared" si="2"/>
        <v>0</v>
      </c>
      <c r="AC229" s="68"/>
      <c r="AD229" s="68"/>
      <c r="AE229" s="68"/>
      <c r="AF229" s="68"/>
      <c r="AG229" s="68"/>
      <c r="AH229" s="68"/>
      <c r="AI229" s="68"/>
      <c r="AJ229" s="68"/>
      <c r="AK229" s="68"/>
    </row>
    <row r="230" spans="1:37" ht="15" customHeight="1" thickBot="1" x14ac:dyDescent="0.3">
      <c r="A230" s="1595"/>
      <c r="B230" s="1487" t="s">
        <v>270</v>
      </c>
      <c r="C230" s="1488"/>
      <c r="D230" s="1488"/>
      <c r="E230" s="1488"/>
      <c r="F230" s="1488"/>
      <c r="G230" s="1489"/>
      <c r="H230" s="981" t="s">
        <v>100</v>
      </c>
      <c r="I230" s="1017"/>
      <c r="J230" s="1029"/>
      <c r="K230" s="1030"/>
      <c r="L230" s="1484" t="s">
        <v>263</v>
      </c>
      <c r="M230" s="1485"/>
      <c r="N230" s="1485"/>
      <c r="O230" s="1485"/>
      <c r="P230" s="1486"/>
      <c r="Q230" s="979" t="s">
        <v>100</v>
      </c>
      <c r="R230" s="1005"/>
      <c r="S230" s="1006"/>
      <c r="T230" s="1258"/>
      <c r="U230" s="1337"/>
      <c r="V230" s="72">
        <f>IF(AND(Q230="ja",R230=""),1,0)</f>
        <v>0</v>
      </c>
      <c r="Y230" s="74">
        <v>1.4999999999999999E-2</v>
      </c>
      <c r="Z230" s="77">
        <f>IF(H230="ja",Y230,0)</f>
        <v>0</v>
      </c>
      <c r="AA230" s="78"/>
      <c r="AB230" s="78">
        <f t="shared" si="2"/>
        <v>0</v>
      </c>
      <c r="AC230" s="68"/>
      <c r="AD230" s="68"/>
      <c r="AE230" s="68"/>
      <c r="AF230" s="68"/>
      <c r="AG230" s="68"/>
      <c r="AH230" s="68"/>
      <c r="AI230" s="68"/>
      <c r="AJ230" s="68"/>
      <c r="AK230" s="68"/>
    </row>
    <row r="231" spans="1:37" ht="15" customHeight="1" thickBot="1" x14ac:dyDescent="0.3">
      <c r="A231" s="1595"/>
      <c r="B231" s="1490"/>
      <c r="C231" s="1491"/>
      <c r="D231" s="1491"/>
      <c r="E231" s="1491"/>
      <c r="F231" s="1491"/>
      <c r="G231" s="1492"/>
      <c r="H231" s="983"/>
      <c r="I231" s="1017"/>
      <c r="J231" s="1029"/>
      <c r="K231" s="1030"/>
      <c r="L231" s="1288"/>
      <c r="M231" s="1289"/>
      <c r="N231" s="1289"/>
      <c r="O231" s="1289"/>
      <c r="P231" s="1290"/>
      <c r="Q231" s="1003"/>
      <c r="R231" s="1007"/>
      <c r="S231" s="1008"/>
      <c r="T231" s="1258"/>
      <c r="U231" s="1337"/>
      <c r="Y231" s="74"/>
      <c r="Z231" s="77"/>
      <c r="AA231" s="78"/>
      <c r="AB231" s="78">
        <f t="shared" si="2"/>
        <v>0</v>
      </c>
      <c r="AC231" s="68"/>
      <c r="AD231" s="68"/>
      <c r="AE231" s="68"/>
      <c r="AF231" s="68"/>
      <c r="AG231" s="68"/>
      <c r="AH231" s="68"/>
      <c r="AI231" s="68"/>
      <c r="AJ231" s="68"/>
      <c r="AK231" s="68"/>
    </row>
    <row r="232" spans="1:37" ht="15" customHeight="1" thickBot="1" x14ac:dyDescent="0.3">
      <c r="A232" s="1595"/>
      <c r="B232" s="1487" t="s">
        <v>447</v>
      </c>
      <c r="C232" s="1488"/>
      <c r="D232" s="1488"/>
      <c r="E232" s="1488"/>
      <c r="F232" s="1488"/>
      <c r="G232" s="1489"/>
      <c r="H232" s="981" t="s">
        <v>100</v>
      </c>
      <c r="I232" s="1017"/>
      <c r="J232" s="1029"/>
      <c r="K232" s="1030"/>
      <c r="L232" s="1288"/>
      <c r="M232" s="1289"/>
      <c r="N232" s="1289"/>
      <c r="O232" s="1289"/>
      <c r="P232" s="1290"/>
      <c r="Q232" s="1003"/>
      <c r="R232" s="1007"/>
      <c r="S232" s="1008"/>
      <c r="T232" s="1258"/>
      <c r="U232" s="1337"/>
      <c r="Y232" s="74">
        <v>1E-3</v>
      </c>
      <c r="Z232" s="77">
        <f>IF(H232="ja",Y232,0)</f>
        <v>0</v>
      </c>
      <c r="AA232" s="77"/>
      <c r="AB232" s="78">
        <f t="shared" ref="AB232:AB243" si="3">IF(Q232="ja",1,0)</f>
        <v>0</v>
      </c>
      <c r="AC232" s="68"/>
      <c r="AD232" s="68"/>
      <c r="AE232" s="68"/>
      <c r="AF232" s="68"/>
      <c r="AG232" s="68"/>
      <c r="AH232" s="68"/>
      <c r="AI232" s="68"/>
      <c r="AJ232" s="68"/>
      <c r="AK232" s="68"/>
    </row>
    <row r="233" spans="1:37" ht="15" customHeight="1" thickBot="1" x14ac:dyDescent="0.3">
      <c r="A233" s="1595"/>
      <c r="B233" s="1493"/>
      <c r="C233" s="1317"/>
      <c r="D233" s="1317"/>
      <c r="E233" s="1317"/>
      <c r="F233" s="1317"/>
      <c r="G233" s="1494"/>
      <c r="H233" s="982"/>
      <c r="I233" s="1017"/>
      <c r="J233" s="1029"/>
      <c r="K233" s="1030"/>
      <c r="L233" s="1288"/>
      <c r="M233" s="1289"/>
      <c r="N233" s="1289"/>
      <c r="O233" s="1289"/>
      <c r="P233" s="1290"/>
      <c r="Q233" s="1003"/>
      <c r="R233" s="1007"/>
      <c r="S233" s="1008"/>
      <c r="T233" s="1258"/>
      <c r="U233" s="1337"/>
      <c r="V233" s="72">
        <f>IF(AND(Q233="ja",R233=""),1,0)</f>
        <v>0</v>
      </c>
      <c r="Y233" s="74"/>
      <c r="Z233" s="77"/>
      <c r="AA233" s="78"/>
      <c r="AB233" s="78">
        <f t="shared" si="3"/>
        <v>0</v>
      </c>
      <c r="AC233" s="68"/>
      <c r="AD233" s="68"/>
      <c r="AE233" s="68"/>
      <c r="AF233" s="68"/>
      <c r="AG233" s="68"/>
      <c r="AH233" s="68"/>
      <c r="AI233" s="68"/>
      <c r="AJ233" s="68"/>
      <c r="AK233" s="68"/>
    </row>
    <row r="234" spans="1:37" ht="15" customHeight="1" thickBot="1" x14ac:dyDescent="0.3">
      <c r="A234" s="1595"/>
      <c r="B234" s="1490"/>
      <c r="C234" s="1491"/>
      <c r="D234" s="1491"/>
      <c r="E234" s="1491"/>
      <c r="F234" s="1491"/>
      <c r="G234" s="1492"/>
      <c r="H234" s="983"/>
      <c r="I234" s="1018"/>
      <c r="J234" s="1031"/>
      <c r="K234" s="1032"/>
      <c r="L234" s="1508"/>
      <c r="M234" s="1509"/>
      <c r="N234" s="1509"/>
      <c r="O234" s="1509"/>
      <c r="P234" s="1510"/>
      <c r="Q234" s="1004"/>
      <c r="R234" s="1009"/>
      <c r="S234" s="1010"/>
      <c r="T234" s="1259"/>
      <c r="U234" s="1337"/>
      <c r="Y234" s="74"/>
      <c r="Z234" s="77"/>
      <c r="AA234" s="78"/>
      <c r="AB234" s="78">
        <f t="shared" si="3"/>
        <v>0</v>
      </c>
      <c r="AC234" s="68"/>
      <c r="AD234" s="68"/>
      <c r="AE234" s="68"/>
      <c r="AF234" s="68"/>
      <c r="AG234" s="68"/>
      <c r="AH234" s="68"/>
      <c r="AI234" s="68"/>
      <c r="AJ234" s="68"/>
      <c r="AK234" s="68"/>
    </row>
    <row r="235" spans="1:37" ht="14.55" thickBot="1" x14ac:dyDescent="0.3">
      <c r="A235" s="1595"/>
      <c r="B235" s="1511" t="s">
        <v>272</v>
      </c>
      <c r="C235" s="1512"/>
      <c r="D235" s="1512"/>
      <c r="E235" s="1512"/>
      <c r="F235" s="1512"/>
      <c r="G235" s="1513"/>
      <c r="H235" s="342"/>
      <c r="I235" s="1361"/>
      <c r="J235" s="1362"/>
      <c r="K235" s="1362"/>
      <c r="L235" s="1534">
        <f>SUM(R194:S234)</f>
        <v>0</v>
      </c>
      <c r="M235" s="1535"/>
      <c r="N235" s="1535"/>
      <c r="O235" s="1535"/>
      <c r="P235" s="1535"/>
      <c r="Q235" s="338"/>
      <c r="R235" s="1495"/>
      <c r="S235" s="1496"/>
      <c r="U235" s="334"/>
      <c r="Y235" s="74"/>
      <c r="Z235" s="152">
        <f>SUM(Z194:Z232)</f>
        <v>0</v>
      </c>
      <c r="AA235" s="78"/>
      <c r="AB235" s="78">
        <f t="shared" si="3"/>
        <v>0</v>
      </c>
      <c r="AC235" s="68"/>
      <c r="AD235" s="68"/>
      <c r="AE235" s="68"/>
      <c r="AF235" s="68"/>
      <c r="AG235" s="68"/>
      <c r="AH235" s="68"/>
      <c r="AI235" s="68"/>
      <c r="AJ235" s="68"/>
      <c r="AK235" s="68"/>
    </row>
    <row r="236" spans="1:37" ht="15" customHeight="1" thickBot="1" x14ac:dyDescent="0.3">
      <c r="A236" s="1595"/>
      <c r="B236" s="1497" t="s">
        <v>274</v>
      </c>
      <c r="C236" s="1498"/>
      <c r="D236" s="1498"/>
      <c r="E236" s="1498"/>
      <c r="F236" s="1498"/>
      <c r="G236" s="1499"/>
      <c r="H236" s="1194" t="s">
        <v>100</v>
      </c>
      <c r="I236" s="1016">
        <f>Z245</f>
        <v>0</v>
      </c>
      <c r="J236" s="1027">
        <f>I236*I115</f>
        <v>0</v>
      </c>
      <c r="K236" s="1028"/>
      <c r="L236" s="984"/>
      <c r="M236" s="985"/>
      <c r="N236" s="985"/>
      <c r="O236" s="985"/>
      <c r="P236" s="985"/>
      <c r="Q236" s="978" t="s">
        <v>100</v>
      </c>
      <c r="R236" s="972"/>
      <c r="S236" s="973"/>
      <c r="T236" s="1257" t="str">
        <f>IFERROR(IF((VLOOKUP(U236,Überblick!$M$125:$N$133,2))="ja","ja","nein"),"")</f>
        <v/>
      </c>
      <c r="U236" s="1337"/>
      <c r="V236" s="72">
        <f>IF(AND(Q236="ja",R236=""),1,0)</f>
        <v>0</v>
      </c>
      <c r="Y236" s="74">
        <v>5.0000000000000001E-3</v>
      </c>
      <c r="Z236" s="77">
        <f>IF(H236="ja",Y236,0)</f>
        <v>0</v>
      </c>
      <c r="AA236" s="78"/>
      <c r="AB236" s="78">
        <f t="shared" si="3"/>
        <v>0</v>
      </c>
      <c r="AC236" s="68"/>
      <c r="AD236" s="68"/>
      <c r="AE236" s="68"/>
      <c r="AF236" s="68"/>
      <c r="AG236" s="68"/>
      <c r="AH236" s="68"/>
      <c r="AI236" s="68"/>
      <c r="AJ236" s="68"/>
      <c r="AK236" s="68"/>
    </row>
    <row r="237" spans="1:37" ht="15" customHeight="1" thickBot="1" x14ac:dyDescent="0.3">
      <c r="A237" s="1595"/>
      <c r="B237" s="1493"/>
      <c r="C237" s="1317"/>
      <c r="D237" s="1317"/>
      <c r="E237" s="1317"/>
      <c r="F237" s="1317"/>
      <c r="G237" s="1494"/>
      <c r="H237" s="982"/>
      <c r="I237" s="1017"/>
      <c r="J237" s="1029"/>
      <c r="K237" s="1030"/>
      <c r="L237" s="984"/>
      <c r="M237" s="985"/>
      <c r="N237" s="985"/>
      <c r="O237" s="985"/>
      <c r="P237" s="985"/>
      <c r="Q237" s="978"/>
      <c r="R237" s="972"/>
      <c r="S237" s="973"/>
      <c r="T237" s="1258"/>
      <c r="U237" s="1337"/>
      <c r="Y237" s="74"/>
      <c r="Z237" s="77"/>
      <c r="AA237" s="78"/>
      <c r="AB237" s="78">
        <f t="shared" si="3"/>
        <v>0</v>
      </c>
      <c r="AC237" s="68"/>
      <c r="AD237" s="68"/>
      <c r="AE237" s="68"/>
      <c r="AF237" s="68"/>
      <c r="AG237" s="68"/>
      <c r="AH237" s="68"/>
      <c r="AI237" s="68"/>
      <c r="AJ237" s="68"/>
      <c r="AK237" s="68"/>
    </row>
    <row r="238" spans="1:37" ht="15" customHeight="1" thickBot="1" x14ac:dyDescent="0.3">
      <c r="A238" s="1595"/>
      <c r="B238" s="1493"/>
      <c r="C238" s="1317"/>
      <c r="D238" s="1317"/>
      <c r="E238" s="1317"/>
      <c r="F238" s="1317"/>
      <c r="G238" s="1494"/>
      <c r="H238" s="982"/>
      <c r="I238" s="1017"/>
      <c r="J238" s="1029"/>
      <c r="K238" s="1030"/>
      <c r="L238" s="984"/>
      <c r="M238" s="985"/>
      <c r="N238" s="985"/>
      <c r="O238" s="985"/>
      <c r="P238" s="985"/>
      <c r="Q238" s="978"/>
      <c r="R238" s="972"/>
      <c r="S238" s="973"/>
      <c r="T238" s="1258"/>
      <c r="U238" s="1337"/>
      <c r="Y238" s="74"/>
      <c r="Z238" s="77"/>
      <c r="AA238" s="78"/>
      <c r="AB238" s="78">
        <f t="shared" si="3"/>
        <v>0</v>
      </c>
      <c r="AC238" s="68"/>
      <c r="AD238" s="68"/>
      <c r="AE238" s="68"/>
      <c r="AF238" s="68"/>
      <c r="AG238" s="68"/>
      <c r="AH238" s="68"/>
      <c r="AI238" s="68"/>
      <c r="AJ238" s="68"/>
      <c r="AK238" s="68"/>
    </row>
    <row r="239" spans="1:37" ht="15" customHeight="1" thickBot="1" x14ac:dyDescent="0.3">
      <c r="A239" s="1595"/>
      <c r="B239" s="1493"/>
      <c r="C239" s="1317"/>
      <c r="D239" s="1317"/>
      <c r="E239" s="1317"/>
      <c r="F239" s="1317"/>
      <c r="G239" s="1494"/>
      <c r="H239" s="982"/>
      <c r="I239" s="1017"/>
      <c r="J239" s="1029"/>
      <c r="K239" s="1030"/>
      <c r="L239" s="984"/>
      <c r="M239" s="985"/>
      <c r="N239" s="985"/>
      <c r="O239" s="985"/>
      <c r="P239" s="985"/>
      <c r="Q239" s="978" t="s">
        <v>100</v>
      </c>
      <c r="R239" s="972"/>
      <c r="S239" s="973"/>
      <c r="T239" s="1258"/>
      <c r="U239" s="1337"/>
      <c r="V239" s="72">
        <f>IF(AND(Q239="ja",R239=""),1,0)</f>
        <v>0</v>
      </c>
      <c r="Y239" s="74"/>
      <c r="Z239" s="77"/>
      <c r="AA239" s="78"/>
      <c r="AB239" s="78">
        <f t="shared" si="3"/>
        <v>0</v>
      </c>
      <c r="AC239" s="68"/>
      <c r="AD239" s="68"/>
      <c r="AE239" s="68"/>
      <c r="AF239" s="68"/>
      <c r="AG239" s="68"/>
      <c r="AH239" s="68"/>
      <c r="AI239" s="68"/>
      <c r="AJ239" s="68"/>
      <c r="AK239" s="68"/>
    </row>
    <row r="240" spans="1:37" ht="15" customHeight="1" thickBot="1" x14ac:dyDescent="0.3">
      <c r="A240" s="1595"/>
      <c r="B240" s="1490"/>
      <c r="C240" s="1491"/>
      <c r="D240" s="1491"/>
      <c r="E240" s="1491"/>
      <c r="F240" s="1491"/>
      <c r="G240" s="1492"/>
      <c r="H240" s="983"/>
      <c r="I240" s="1017"/>
      <c r="J240" s="1029"/>
      <c r="K240" s="1030"/>
      <c r="L240" s="984"/>
      <c r="M240" s="985"/>
      <c r="N240" s="985"/>
      <c r="O240" s="985"/>
      <c r="P240" s="985"/>
      <c r="Q240" s="978"/>
      <c r="R240" s="972"/>
      <c r="S240" s="973"/>
      <c r="T240" s="1258"/>
      <c r="U240" s="1337"/>
      <c r="Y240" s="74"/>
      <c r="Z240" s="77"/>
      <c r="AA240" s="78"/>
      <c r="AB240" s="78">
        <f t="shared" si="3"/>
        <v>0</v>
      </c>
      <c r="AC240" s="68"/>
      <c r="AD240" s="68"/>
      <c r="AE240" s="68"/>
      <c r="AF240" s="68"/>
      <c r="AG240" s="68"/>
      <c r="AH240" s="68"/>
      <c r="AI240" s="68"/>
      <c r="AJ240" s="68"/>
      <c r="AK240" s="68"/>
    </row>
    <row r="241" spans="1:37" ht="15" customHeight="1" thickBot="1" x14ac:dyDescent="0.3">
      <c r="A241" s="1595"/>
      <c r="B241" s="1487" t="s">
        <v>275</v>
      </c>
      <c r="C241" s="1488"/>
      <c r="D241" s="1488"/>
      <c r="E241" s="1488"/>
      <c r="F241" s="1488"/>
      <c r="G241" s="1489"/>
      <c r="H241" s="981" t="s">
        <v>100</v>
      </c>
      <c r="I241" s="1017"/>
      <c r="J241" s="1029"/>
      <c r="K241" s="1030"/>
      <c r="L241" s="984"/>
      <c r="M241" s="985"/>
      <c r="N241" s="985"/>
      <c r="O241" s="985"/>
      <c r="P241" s="985"/>
      <c r="Q241" s="978"/>
      <c r="R241" s="972"/>
      <c r="S241" s="973"/>
      <c r="T241" s="1258"/>
      <c r="U241" s="1337"/>
      <c r="Y241" s="74">
        <v>4.0000000000000001E-3</v>
      </c>
      <c r="Z241" s="77">
        <f>IF(H241="ja",Y241,0)</f>
        <v>0</v>
      </c>
      <c r="AA241" s="78"/>
      <c r="AB241" s="78">
        <f t="shared" si="3"/>
        <v>0</v>
      </c>
      <c r="AC241" s="68"/>
      <c r="AD241" s="68"/>
      <c r="AE241" s="68"/>
      <c r="AF241" s="68"/>
      <c r="AG241" s="68"/>
      <c r="AH241" s="68"/>
      <c r="AI241" s="68"/>
      <c r="AJ241" s="68"/>
      <c r="AK241" s="68"/>
    </row>
    <row r="242" spans="1:37" ht="15" customHeight="1" thickBot="1" x14ac:dyDescent="0.3">
      <c r="A242" s="1595"/>
      <c r="B242" s="1493"/>
      <c r="C242" s="1317"/>
      <c r="D242" s="1317"/>
      <c r="E242" s="1317"/>
      <c r="F242" s="1317"/>
      <c r="G242" s="1494"/>
      <c r="H242" s="982"/>
      <c r="I242" s="1017"/>
      <c r="J242" s="1029"/>
      <c r="K242" s="1030"/>
      <c r="L242" s="984"/>
      <c r="M242" s="985"/>
      <c r="N242" s="985"/>
      <c r="O242" s="985"/>
      <c r="P242" s="985"/>
      <c r="Q242" s="978" t="s">
        <v>100</v>
      </c>
      <c r="R242" s="972"/>
      <c r="S242" s="973"/>
      <c r="T242" s="1258"/>
      <c r="U242" s="1337"/>
      <c r="V242" s="72">
        <f>IF(AND(Q242="ja",R242=""),1,0)</f>
        <v>0</v>
      </c>
      <c r="Y242" s="74"/>
      <c r="Z242" s="77"/>
      <c r="AB242" s="78">
        <f t="shared" si="3"/>
        <v>0</v>
      </c>
      <c r="AC242" s="68"/>
      <c r="AD242" s="68"/>
      <c r="AE242" s="68"/>
      <c r="AF242" s="68"/>
      <c r="AG242" s="68"/>
      <c r="AH242" s="68"/>
      <c r="AI242" s="68"/>
      <c r="AJ242" s="68"/>
      <c r="AK242" s="68"/>
    </row>
    <row r="243" spans="1:37" ht="15" customHeight="1" thickBot="1" x14ac:dyDescent="0.3">
      <c r="A243" s="1595"/>
      <c r="B243" s="1490"/>
      <c r="C243" s="1491"/>
      <c r="D243" s="1491"/>
      <c r="E243" s="1491"/>
      <c r="F243" s="1491"/>
      <c r="G243" s="1492"/>
      <c r="H243" s="983"/>
      <c r="I243" s="1017"/>
      <c r="J243" s="1029"/>
      <c r="K243" s="1030"/>
      <c r="L243" s="984"/>
      <c r="M243" s="985"/>
      <c r="N243" s="985"/>
      <c r="O243" s="985"/>
      <c r="P243" s="985"/>
      <c r="Q243" s="978"/>
      <c r="R243" s="972"/>
      <c r="S243" s="973"/>
      <c r="T243" s="1258"/>
      <c r="U243" s="1337"/>
      <c r="Y243" s="74"/>
      <c r="Z243" s="77"/>
      <c r="AB243" s="78">
        <f t="shared" si="3"/>
        <v>0</v>
      </c>
      <c r="AC243" s="68"/>
      <c r="AD243" s="68"/>
      <c r="AE243" s="68"/>
      <c r="AF243" s="68"/>
      <c r="AG243" s="68"/>
      <c r="AH243" s="68"/>
      <c r="AI243" s="68"/>
      <c r="AJ243" s="68"/>
      <c r="AK243" s="68"/>
    </row>
    <row r="244" spans="1:37" ht="15" customHeight="1" thickBot="1" x14ac:dyDescent="0.3">
      <c r="A244" s="1595"/>
      <c r="B244" s="1184" t="s">
        <v>276</v>
      </c>
      <c r="C244" s="1185"/>
      <c r="D244" s="1185"/>
      <c r="E244" s="1185"/>
      <c r="F244" s="1185"/>
      <c r="G244" s="1186"/>
      <c r="H244" s="315" t="s">
        <v>100</v>
      </c>
      <c r="I244" s="1018"/>
      <c r="J244" s="1031"/>
      <c r="K244" s="1032"/>
      <c r="L244" s="1369"/>
      <c r="M244" s="1370"/>
      <c r="N244" s="1370"/>
      <c r="O244" s="1370"/>
      <c r="P244" s="1370"/>
      <c r="Q244" s="979"/>
      <c r="R244" s="974"/>
      <c r="S244" s="975"/>
      <c r="T244" s="1259"/>
      <c r="U244" s="1337"/>
      <c r="Y244" s="74">
        <v>1E-3</v>
      </c>
      <c r="Z244" s="77">
        <f>IF(H244="ja",Y244,0)</f>
        <v>0</v>
      </c>
      <c r="AC244" s="68"/>
      <c r="AD244" s="68"/>
      <c r="AE244" s="68"/>
      <c r="AF244" s="68"/>
      <c r="AG244" s="68"/>
      <c r="AH244" s="68"/>
      <c r="AI244" s="68"/>
      <c r="AJ244" s="68"/>
      <c r="AK244" s="68"/>
    </row>
    <row r="245" spans="1:37" ht="14.55" thickBot="1" x14ac:dyDescent="0.3">
      <c r="B245" s="1502" t="s">
        <v>277</v>
      </c>
      <c r="C245" s="1503"/>
      <c r="D245" s="1503"/>
      <c r="E245" s="1503"/>
      <c r="F245" s="1503"/>
      <c r="G245" s="1503"/>
      <c r="H245" s="1503"/>
      <c r="I245" s="1500">
        <f>I236+I194+I179+I154+I128+I119+I82+I55+I39+I133+I143+I144+I145+I150</f>
        <v>0</v>
      </c>
      <c r="J245" s="1506">
        <f>J236+J194+J179+J154+J128+J119+J82+J55+J39+J133+J143+J144+J145+J150</f>
        <v>0</v>
      </c>
      <c r="K245" s="1161"/>
      <c r="L245" s="1355">
        <f>SUM(R236:S244)</f>
        <v>0</v>
      </c>
      <c r="M245" s="1356"/>
      <c r="N245" s="1356"/>
      <c r="O245" s="1356"/>
      <c r="P245" s="1666"/>
      <c r="Q245" s="1329"/>
      <c r="R245" s="1327">
        <f>SUM(R236:S244)+SUM(R194:S234)+SUM(R179:S192)+SUM(R154:S177)+SUM(R128:S152)+SUM(R119:S126)+SUM(R82:S114)+SUM(R55:S77)+SUM(R39:S53)</f>
        <v>0</v>
      </c>
      <c r="S245" s="1037"/>
      <c r="T245" s="1567"/>
      <c r="U245" s="1610"/>
      <c r="Z245" s="152">
        <f>SUM(Z236:Z244)</f>
        <v>0</v>
      </c>
      <c r="AB245" s="72">
        <f>SUM(AB39:AB243)</f>
        <v>0</v>
      </c>
      <c r="AC245" s="68"/>
      <c r="AD245" s="68"/>
      <c r="AE245" s="68"/>
      <c r="AF245" s="68"/>
      <c r="AG245" s="68"/>
      <c r="AH245" s="68"/>
      <c r="AI245" s="68"/>
      <c r="AJ245" s="68"/>
      <c r="AK245" s="68"/>
    </row>
    <row r="246" spans="1:37" ht="15" customHeight="1" thickBot="1" x14ac:dyDescent="0.3">
      <c r="B246" s="1504"/>
      <c r="C246" s="1505"/>
      <c r="D246" s="1505"/>
      <c r="E246" s="1505"/>
      <c r="F246" s="1505"/>
      <c r="G246" s="1505"/>
      <c r="H246" s="1505"/>
      <c r="I246" s="1501"/>
      <c r="J246" s="1507"/>
      <c r="K246" s="1163"/>
      <c r="L246" s="1359"/>
      <c r="M246" s="1360"/>
      <c r="N246" s="1360"/>
      <c r="O246" s="1360"/>
      <c r="P246" s="1667"/>
      <c r="Q246" s="1330"/>
      <c r="R246" s="1328"/>
      <c r="S246" s="1043"/>
      <c r="T246" s="1569"/>
      <c r="U246" s="1610"/>
      <c r="V246" s="72">
        <f>SUM(V39:V244)+R23</f>
        <v>0</v>
      </c>
      <c r="AC246" s="68"/>
      <c r="AD246" s="68"/>
      <c r="AE246" s="68"/>
      <c r="AF246" s="68"/>
      <c r="AG246" s="68"/>
      <c r="AH246" s="68"/>
      <c r="AI246" s="68"/>
      <c r="AJ246" s="68"/>
      <c r="AK246" s="68"/>
    </row>
    <row r="248" spans="1:37" x14ac:dyDescent="0.25">
      <c r="A248" s="491" t="s">
        <v>279</v>
      </c>
      <c r="B248" s="40" t="str">
        <f>IF(B1=Q1,"Honorarangebot für die zunächst beauftragten und für die optionalen Leistungen","Honorarvereinbarung für die zunächst beauftragten und für die optionalen Leistungen ")</f>
        <v>Honorarangebot für die zunächst beauftragten und für die optionalen Leistungen</v>
      </c>
      <c r="Q248" s="40"/>
      <c r="AB248" s="151"/>
    </row>
    <row r="249" spans="1:37" ht="14.55" thickBot="1" x14ac:dyDescent="0.3">
      <c r="A249" s="491"/>
    </row>
    <row r="250" spans="1:37" x14ac:dyDescent="0.25">
      <c r="A250" s="491"/>
      <c r="B250" s="941" t="s">
        <v>55</v>
      </c>
      <c r="C250" s="942"/>
      <c r="D250" s="942"/>
      <c r="E250" s="942"/>
      <c r="F250" s="943"/>
      <c r="G250" s="99"/>
      <c r="H250" s="944">
        <f>J245</f>
        <v>0</v>
      </c>
      <c r="I250" s="944"/>
      <c r="J250" s="945"/>
    </row>
    <row r="251" spans="1:37" x14ac:dyDescent="0.25">
      <c r="A251" s="491"/>
      <c r="B251" s="301"/>
      <c r="C251" s="41"/>
      <c r="D251" s="41"/>
      <c r="E251" s="41"/>
      <c r="F251" s="302"/>
      <c r="G251" s="101"/>
      <c r="H251" s="303"/>
      <c r="I251" s="303"/>
      <c r="J251" s="304"/>
    </row>
    <row r="252" spans="1:37" ht="15.95" customHeight="1" thickBot="1" x14ac:dyDescent="0.3">
      <c r="A252" s="491"/>
      <c r="B252" s="1298" t="s">
        <v>280</v>
      </c>
      <c r="C252" s="1299"/>
      <c r="D252" s="1299"/>
      <c r="E252" s="1299"/>
      <c r="F252" s="1300"/>
      <c r="G252" s="102">
        <f>F23</f>
        <v>0</v>
      </c>
      <c r="H252" s="956">
        <f>H250*G252</f>
        <v>0</v>
      </c>
      <c r="I252" s="956"/>
      <c r="J252" s="957"/>
      <c r="K252" s="96">
        <f>H250+H252</f>
        <v>0</v>
      </c>
    </row>
    <row r="253" spans="1:37" x14ac:dyDescent="0.25">
      <c r="A253" s="491"/>
      <c r="B253" s="90"/>
      <c r="C253" s="91"/>
      <c r="D253" s="91"/>
      <c r="E253" s="91"/>
      <c r="F253" s="92"/>
      <c r="G253" s="88"/>
      <c r="J253" s="89"/>
    </row>
    <row r="254" spans="1:37" x14ac:dyDescent="0.25">
      <c r="A254" s="491"/>
      <c r="B254" s="926" t="s">
        <v>57</v>
      </c>
      <c r="C254" s="927"/>
      <c r="D254" s="927"/>
      <c r="E254" s="927"/>
      <c r="F254" s="928"/>
      <c r="G254" s="101"/>
      <c r="H254" s="954">
        <f>R245</f>
        <v>0</v>
      </c>
      <c r="I254" s="954"/>
      <c r="J254" s="955"/>
    </row>
    <row r="255" spans="1:37" ht="14.55" thickBot="1" x14ac:dyDescent="0.3">
      <c r="A255" s="491"/>
      <c r="B255" s="296"/>
      <c r="C255" s="297"/>
      <c r="D255" s="297"/>
      <c r="E255" s="297"/>
      <c r="F255" s="298"/>
      <c r="G255" s="1333"/>
      <c r="H255" s="1334"/>
      <c r="I255" s="1334"/>
      <c r="J255" s="1335"/>
    </row>
    <row r="256" spans="1:37" ht="15.95" customHeight="1" thickBot="1" x14ac:dyDescent="0.3">
      <c r="A256" s="491"/>
      <c r="B256" s="929" t="s">
        <v>59</v>
      </c>
      <c r="C256" s="930"/>
      <c r="D256" s="930"/>
      <c r="E256" s="930"/>
      <c r="F256" s="931"/>
      <c r="G256" s="107"/>
      <c r="H256" s="935">
        <f>SUM(H250:J254)</f>
        <v>0</v>
      </c>
      <c r="I256" s="935"/>
      <c r="J256" s="936"/>
    </row>
    <row r="257" spans="1:26" x14ac:dyDescent="0.25">
      <c r="A257" s="491"/>
      <c r="B257" s="320"/>
      <c r="C257" s="321"/>
      <c r="D257" s="321"/>
      <c r="E257" s="321"/>
      <c r="F257" s="322"/>
      <c r="G257" s="45"/>
      <c r="H257" s="93"/>
      <c r="I257" s="93"/>
      <c r="J257" s="94"/>
    </row>
    <row r="258" spans="1:26" ht="15" customHeight="1" x14ac:dyDescent="0.25">
      <c r="A258" s="491"/>
      <c r="B258" s="917" t="s">
        <v>60</v>
      </c>
      <c r="C258" s="918"/>
      <c r="D258" s="918"/>
      <c r="E258" s="918"/>
      <c r="F258" s="919"/>
      <c r="G258" s="100">
        <f>Überblick!$G$98</f>
        <v>0.19</v>
      </c>
      <c r="H258" s="954">
        <f>H256*G258</f>
        <v>0</v>
      </c>
      <c r="I258" s="954"/>
      <c r="J258" s="955"/>
    </row>
    <row r="259" spans="1:26" ht="14.55" thickBot="1" x14ac:dyDescent="0.3">
      <c r="A259" s="491"/>
      <c r="B259" s="305"/>
      <c r="C259" s="306"/>
      <c r="D259" s="306"/>
      <c r="E259" s="306"/>
      <c r="F259" s="307"/>
      <c r="G259" s="102"/>
      <c r="H259" s="299"/>
      <c r="I259" s="299"/>
      <c r="J259" s="300"/>
    </row>
    <row r="260" spans="1:26" ht="15" customHeight="1" x14ac:dyDescent="0.25">
      <c r="A260" s="491"/>
      <c r="B260" s="920" t="s">
        <v>281</v>
      </c>
      <c r="C260" s="921"/>
      <c r="D260" s="921"/>
      <c r="E260" s="921"/>
      <c r="F260" s="922"/>
      <c r="G260" s="97"/>
      <c r="H260" s="937">
        <f>H256+H258</f>
        <v>0</v>
      </c>
      <c r="I260" s="937"/>
      <c r="J260" s="938"/>
    </row>
    <row r="261" spans="1:26" ht="14.55" thickBot="1" x14ac:dyDescent="0.3">
      <c r="A261" s="491"/>
      <c r="B261" s="923"/>
      <c r="C261" s="924"/>
      <c r="D261" s="924"/>
      <c r="E261" s="924"/>
      <c r="F261" s="925"/>
      <c r="G261" s="98"/>
      <c r="H261" s="939"/>
      <c r="I261" s="939"/>
      <c r="J261" s="940"/>
    </row>
    <row r="262" spans="1:26" x14ac:dyDescent="0.25">
      <c r="A262" s="491"/>
    </row>
    <row r="263" spans="1:26" x14ac:dyDescent="0.25">
      <c r="A263" s="491" t="s">
        <v>282</v>
      </c>
      <c r="B263" s="60" t="str">
        <f>IF(B1=Q1,"Honorangebot für die zunächst beauftragenden Leistungen","Honorarvereinbarung für die zunächst beauftragenden Leistungen")</f>
        <v>Honorangebot für die zunächst beauftragenden Leistungen</v>
      </c>
      <c r="C263" s="60"/>
      <c r="D263" s="60"/>
      <c r="E263" s="60"/>
      <c r="F263" s="65"/>
      <c r="G263" s="65"/>
      <c r="H263" s="65"/>
      <c r="I263" s="66"/>
      <c r="J263" s="66"/>
      <c r="K263" s="66"/>
      <c r="L263" s="66"/>
      <c r="M263" s="66"/>
      <c r="N263" s="66"/>
      <c r="O263" s="66"/>
      <c r="P263" s="67"/>
      <c r="Q263" s="60"/>
      <c r="R263" s="67"/>
      <c r="S263" s="67"/>
      <c r="T263" s="67"/>
      <c r="U263" s="67"/>
      <c r="Z263" s="461"/>
    </row>
    <row r="264" spans="1:26" ht="14.55" thickBot="1" x14ac:dyDescent="0.3">
      <c r="A264" s="491"/>
      <c r="B264" s="60"/>
      <c r="C264" s="60"/>
      <c r="D264" s="60"/>
      <c r="E264" s="60"/>
      <c r="F264" s="65"/>
      <c r="G264" s="65"/>
      <c r="H264" s="65"/>
      <c r="I264" s="66"/>
      <c r="J264" s="66"/>
      <c r="K264" s="66"/>
      <c r="L264" s="66"/>
      <c r="M264" s="66"/>
      <c r="N264" s="66"/>
      <c r="O264" s="66"/>
      <c r="P264" s="67"/>
      <c r="Q264" s="67"/>
      <c r="R264" s="67"/>
      <c r="S264" s="67"/>
      <c r="T264" s="67"/>
      <c r="U264" s="67"/>
    </row>
    <row r="265" spans="1:26" x14ac:dyDescent="0.25">
      <c r="A265" s="491"/>
      <c r="B265" s="941" t="s">
        <v>55</v>
      </c>
      <c r="C265" s="942"/>
      <c r="D265" s="942"/>
      <c r="E265" s="942"/>
      <c r="F265" s="943"/>
      <c r="G265" s="99"/>
      <c r="H265" s="944">
        <f>'Berechnung - Lufttechnik'!C123</f>
        <v>0</v>
      </c>
      <c r="I265" s="944"/>
      <c r="J265" s="945"/>
      <c r="K265" s="66"/>
      <c r="L265" s="66"/>
      <c r="M265" s="66"/>
      <c r="N265" s="66"/>
      <c r="O265" s="66"/>
      <c r="P265" s="67"/>
      <c r="Q265" s="67"/>
      <c r="R265" s="67"/>
      <c r="S265" s="67"/>
      <c r="T265" s="67"/>
      <c r="U265" s="67"/>
    </row>
    <row r="266" spans="1:26" x14ac:dyDescent="0.25">
      <c r="A266" s="491"/>
      <c r="B266" s="301"/>
      <c r="C266" s="41"/>
      <c r="D266" s="41"/>
      <c r="E266" s="41"/>
      <c r="F266" s="302"/>
      <c r="G266" s="101"/>
      <c r="H266" s="303"/>
      <c r="I266" s="303"/>
      <c r="J266" s="304"/>
      <c r="K266" s="66"/>
      <c r="L266" s="66"/>
      <c r="M266" s="66"/>
      <c r="N266" s="66"/>
      <c r="O266" s="66"/>
      <c r="P266" s="67"/>
      <c r="Q266" s="67"/>
      <c r="R266" s="67"/>
      <c r="S266" s="67"/>
      <c r="T266" s="67"/>
      <c r="U266" s="67"/>
    </row>
    <row r="267" spans="1:26" ht="15" customHeight="1" thickBot="1" x14ac:dyDescent="0.3">
      <c r="A267" s="491"/>
      <c r="B267" s="1298" t="s">
        <v>280</v>
      </c>
      <c r="C267" s="1299"/>
      <c r="D267" s="1299"/>
      <c r="E267" s="1299"/>
      <c r="F267" s="1300"/>
      <c r="G267" s="102">
        <f>F23</f>
        <v>0</v>
      </c>
      <c r="H267" s="956">
        <f>H265*G267</f>
        <v>0</v>
      </c>
      <c r="I267" s="956"/>
      <c r="J267" s="957"/>
      <c r="K267" s="66"/>
      <c r="L267" s="66"/>
      <c r="M267" s="66"/>
      <c r="N267" s="66"/>
      <c r="O267" s="66"/>
      <c r="P267" s="67"/>
      <c r="Q267" s="67"/>
      <c r="R267" s="67"/>
      <c r="S267" s="67"/>
      <c r="T267" s="67"/>
      <c r="U267" s="67"/>
    </row>
    <row r="268" spans="1:26" x14ac:dyDescent="0.25">
      <c r="A268" s="491"/>
      <c r="B268" s="90"/>
      <c r="C268" s="91"/>
      <c r="D268" s="91"/>
      <c r="E268" s="91"/>
      <c r="F268" s="92"/>
      <c r="G268" s="45"/>
      <c r="H268" s="46"/>
      <c r="I268" s="46"/>
      <c r="J268" s="105"/>
      <c r="K268" s="66"/>
      <c r="L268" s="66"/>
      <c r="M268" s="66"/>
      <c r="N268" s="66"/>
      <c r="O268" s="66"/>
      <c r="P268" s="67"/>
      <c r="Q268" s="67"/>
      <c r="R268" s="67"/>
      <c r="S268" s="67"/>
      <c r="T268" s="67"/>
      <c r="U268" s="67"/>
    </row>
    <row r="269" spans="1:26" x14ac:dyDescent="0.25">
      <c r="A269" s="491"/>
      <c r="B269" s="926" t="s">
        <v>57</v>
      </c>
      <c r="C269" s="927"/>
      <c r="D269" s="927"/>
      <c r="E269" s="927"/>
      <c r="F269" s="928"/>
      <c r="G269" s="101"/>
      <c r="H269" s="954">
        <f>'Berechnung - Lufttechnik'!E123</f>
        <v>0</v>
      </c>
      <c r="I269" s="954"/>
      <c r="J269" s="955"/>
      <c r="K269" s="66"/>
      <c r="L269" s="66"/>
      <c r="M269" s="66"/>
      <c r="N269" s="66"/>
      <c r="O269" s="66"/>
      <c r="P269" s="67"/>
      <c r="Q269" s="67"/>
      <c r="R269" s="67"/>
      <c r="S269" s="67"/>
      <c r="T269" s="67"/>
      <c r="U269" s="67"/>
    </row>
    <row r="270" spans="1:26" ht="14.55" thickBot="1" x14ac:dyDescent="0.3">
      <c r="A270" s="491"/>
      <c r="B270" s="90"/>
      <c r="C270" s="91"/>
      <c r="D270" s="91"/>
      <c r="E270" s="91"/>
      <c r="F270" s="92"/>
      <c r="G270" s="1333"/>
      <c r="H270" s="1334"/>
      <c r="I270" s="1334"/>
      <c r="J270" s="1335"/>
      <c r="K270" s="66"/>
      <c r="L270" s="66"/>
      <c r="M270" s="66"/>
      <c r="N270" s="66"/>
      <c r="O270" s="66"/>
      <c r="P270" s="67"/>
      <c r="Q270" s="67"/>
      <c r="R270" s="67"/>
      <c r="S270" s="67"/>
      <c r="T270" s="67"/>
      <c r="U270" s="67"/>
    </row>
    <row r="271" spans="1:26" ht="15.95" customHeight="1" thickBot="1" x14ac:dyDescent="0.3">
      <c r="A271" s="491"/>
      <c r="B271" s="929" t="s">
        <v>59</v>
      </c>
      <c r="C271" s="930"/>
      <c r="D271" s="930"/>
      <c r="E271" s="930"/>
      <c r="F271" s="931"/>
      <c r="G271" s="107"/>
      <c r="H271" s="935">
        <f>SUM(H265:J269)</f>
        <v>0</v>
      </c>
      <c r="I271" s="935"/>
      <c r="J271" s="936"/>
      <c r="K271" s="66"/>
      <c r="L271" s="66"/>
      <c r="M271" s="66"/>
      <c r="N271" s="66"/>
      <c r="O271" s="66"/>
      <c r="P271" s="67"/>
      <c r="Q271" s="67"/>
      <c r="R271" s="67"/>
      <c r="S271" s="67"/>
      <c r="T271" s="67"/>
      <c r="U271" s="67"/>
    </row>
    <row r="272" spans="1:26" x14ac:dyDescent="0.25">
      <c r="A272" s="491"/>
      <c r="B272" s="320"/>
      <c r="C272" s="321"/>
      <c r="D272" s="321"/>
      <c r="E272" s="321"/>
      <c r="F272" s="322"/>
      <c r="G272" s="45"/>
      <c r="H272" s="93"/>
      <c r="I272" s="93"/>
      <c r="J272" s="94"/>
      <c r="K272" s="66"/>
      <c r="L272" s="66"/>
      <c r="M272" s="66"/>
      <c r="N272" s="66"/>
      <c r="O272" s="66"/>
      <c r="P272" s="67"/>
      <c r="Q272" s="67"/>
      <c r="R272" s="67"/>
      <c r="S272" s="67"/>
      <c r="T272" s="67"/>
      <c r="U272" s="67"/>
    </row>
    <row r="273" spans="1:21" ht="15" customHeight="1" x14ac:dyDescent="0.25">
      <c r="A273" s="491"/>
      <c r="B273" s="917" t="s">
        <v>94</v>
      </c>
      <c r="C273" s="918"/>
      <c r="D273" s="918"/>
      <c r="E273" s="918"/>
      <c r="F273" s="919"/>
      <c r="G273" s="100">
        <f>Überblick!$G$98</f>
        <v>0.19</v>
      </c>
      <c r="H273" s="954">
        <f>H271*G273</f>
        <v>0</v>
      </c>
      <c r="I273" s="954"/>
      <c r="J273" s="955"/>
      <c r="K273" s="66"/>
      <c r="L273" s="66"/>
      <c r="M273" s="66"/>
      <c r="N273" s="66"/>
      <c r="O273" s="66"/>
      <c r="P273" s="67"/>
      <c r="Q273" s="67"/>
      <c r="R273" s="67"/>
      <c r="S273" s="67"/>
      <c r="T273" s="67"/>
      <c r="U273" s="67"/>
    </row>
    <row r="274" spans="1:21" ht="14.55" thickBot="1" x14ac:dyDescent="0.3">
      <c r="A274" s="491"/>
      <c r="B274" s="305"/>
      <c r="C274" s="306"/>
      <c r="D274" s="306"/>
      <c r="E274" s="306"/>
      <c r="F274" s="307"/>
      <c r="G274" s="102"/>
      <c r="H274" s="299"/>
      <c r="I274" s="299"/>
      <c r="J274" s="300"/>
      <c r="K274" s="66"/>
      <c r="L274" s="66"/>
      <c r="M274" s="66"/>
      <c r="N274" s="66"/>
      <c r="O274" s="66"/>
      <c r="P274" s="67"/>
      <c r="Q274" s="67"/>
      <c r="R274" s="67"/>
      <c r="S274" s="67"/>
      <c r="T274" s="67"/>
      <c r="U274" s="67"/>
    </row>
    <row r="275" spans="1:21" ht="15" customHeight="1" x14ac:dyDescent="0.25">
      <c r="A275" s="491"/>
      <c r="B275" s="920" t="s">
        <v>98</v>
      </c>
      <c r="C275" s="921"/>
      <c r="D275" s="921"/>
      <c r="E275" s="921"/>
      <c r="F275" s="922"/>
      <c r="G275" s="172"/>
      <c r="H275" s="937">
        <f>H271+H273</f>
        <v>0</v>
      </c>
      <c r="I275" s="937"/>
      <c r="J275" s="938"/>
      <c r="K275" s="66"/>
      <c r="L275" s="66"/>
      <c r="M275" s="66"/>
      <c r="N275" s="66"/>
      <c r="O275" s="66"/>
      <c r="P275" s="67"/>
      <c r="Q275" s="67"/>
      <c r="R275" s="67"/>
      <c r="S275" s="67"/>
      <c r="T275" s="67"/>
      <c r="U275" s="67"/>
    </row>
    <row r="276" spans="1:21" ht="14.55" thickBot="1" x14ac:dyDescent="0.3">
      <c r="A276" s="491"/>
      <c r="B276" s="923"/>
      <c r="C276" s="924"/>
      <c r="D276" s="924"/>
      <c r="E276" s="924"/>
      <c r="F276" s="925"/>
      <c r="G276" s="98"/>
      <c r="H276" s="939"/>
      <c r="I276" s="939"/>
      <c r="J276" s="940"/>
      <c r="K276" s="66"/>
      <c r="L276" s="66"/>
      <c r="M276" s="66"/>
      <c r="N276" s="66"/>
      <c r="O276" s="66"/>
      <c r="P276" s="67"/>
      <c r="Q276" s="67"/>
      <c r="R276" s="67"/>
      <c r="S276" s="67"/>
      <c r="T276" s="67"/>
      <c r="U276" s="67"/>
    </row>
    <row r="277" spans="1:21" x14ac:dyDescent="0.25">
      <c r="A277" s="491"/>
      <c r="B277" s="60"/>
      <c r="C277" s="60"/>
      <c r="D277" s="60"/>
      <c r="E277" s="60"/>
      <c r="F277" s="65"/>
      <c r="G277" s="65"/>
      <c r="H277" s="65"/>
      <c r="I277" s="66"/>
      <c r="J277" s="66"/>
      <c r="K277" s="66"/>
      <c r="L277" s="66"/>
      <c r="M277" s="66"/>
      <c r="N277" s="66"/>
      <c r="O277" s="66"/>
      <c r="P277" s="67"/>
      <c r="Q277" s="67"/>
      <c r="R277" s="67"/>
      <c r="S277" s="67"/>
      <c r="T277" s="67"/>
      <c r="U277" s="67"/>
    </row>
    <row r="278" spans="1:21" x14ac:dyDescent="0.25">
      <c r="A278" s="491" t="s">
        <v>284</v>
      </c>
      <c r="B278" s="40" t="str">
        <f>IF(B1=Q1,"Gemäß des Honorarangebotes werden die Stufen wie folgt vergütet (netto):","Gemäß der Honorarvereinbarung werden die Stufen wie folgt vergütet (netto): ")</f>
        <v>Gemäß des Honorarangebotes werden die Stufen wie folgt vergütet (netto):</v>
      </c>
      <c r="C278" s="40"/>
      <c r="D278" s="40"/>
      <c r="E278" s="40"/>
      <c r="F278" s="40"/>
      <c r="G278" s="40"/>
      <c r="H278" s="40"/>
      <c r="I278" s="40"/>
      <c r="J278" s="40"/>
      <c r="K278" s="40"/>
      <c r="L278" s="60"/>
      <c r="M278" s="66"/>
      <c r="N278" s="66"/>
      <c r="O278" s="40"/>
      <c r="P278" s="67"/>
      <c r="Q278" s="67"/>
      <c r="R278" s="67"/>
      <c r="S278" s="67"/>
      <c r="T278" s="67"/>
      <c r="U278" s="67"/>
    </row>
    <row r="279" spans="1:21" ht="14.55" thickBot="1" x14ac:dyDescent="0.3">
      <c r="A279" s="491"/>
      <c r="B279" s="60"/>
      <c r="C279" s="60"/>
      <c r="D279" s="60"/>
      <c r="E279" s="60"/>
      <c r="F279" s="65"/>
      <c r="G279" s="65"/>
      <c r="H279" s="65"/>
      <c r="I279" s="66"/>
      <c r="J279" s="66"/>
      <c r="K279" s="66"/>
      <c r="L279" s="66"/>
      <c r="M279" s="66"/>
      <c r="N279" s="66"/>
      <c r="O279" s="40"/>
      <c r="P279" s="67"/>
      <c r="Q279" s="67"/>
      <c r="R279" s="67"/>
      <c r="S279" s="67"/>
      <c r="T279" s="67"/>
      <c r="U279" s="67"/>
    </row>
    <row r="280" spans="1:21" ht="15.2" thickTop="1" thickBot="1" x14ac:dyDescent="0.3">
      <c r="A280" s="491"/>
      <c r="B280" s="357" t="s">
        <v>105</v>
      </c>
      <c r="C280" s="358" t="s">
        <v>285</v>
      </c>
      <c r="D280" s="359" t="s">
        <v>286</v>
      </c>
      <c r="E280" s="360" t="s">
        <v>287</v>
      </c>
      <c r="F280" s="360" t="s">
        <v>288</v>
      </c>
      <c r="G280" s="361" t="s">
        <v>289</v>
      </c>
      <c r="H280" s="361" t="s">
        <v>290</v>
      </c>
      <c r="I280" s="362" t="s">
        <v>291</v>
      </c>
      <c r="J280" s="362" t="s">
        <v>292</v>
      </c>
      <c r="K280" s="362" t="s">
        <v>293</v>
      </c>
      <c r="L280" s="362" t="s">
        <v>294</v>
      </c>
      <c r="M280" s="362" t="s">
        <v>295</v>
      </c>
      <c r="N280" s="362" t="s">
        <v>296</v>
      </c>
      <c r="O280" s="362" t="s">
        <v>297</v>
      </c>
      <c r="P280" s="363" t="s">
        <v>298</v>
      </c>
      <c r="Q280" s="67"/>
      <c r="R280" s="67"/>
      <c r="S280" s="67"/>
      <c r="T280" s="67"/>
      <c r="U280" s="67"/>
    </row>
    <row r="281" spans="1:21" x14ac:dyDescent="0.25">
      <c r="A281" s="492"/>
      <c r="B281" s="153" t="str">
        <f>IF(Überblick!$H$53&gt;=1,"1:",0)</f>
        <v>1:</v>
      </c>
      <c r="C281" s="472">
        <f>'Berechnung - Lufttechnik'!C135</f>
        <v>0</v>
      </c>
      <c r="D281" s="472">
        <f>'Berechnung - Lufttechnik'!D135</f>
        <v>0</v>
      </c>
      <c r="E281" s="472">
        <f>'Berechnung - Lufttechnik'!E135</f>
        <v>0</v>
      </c>
      <c r="F281" s="472">
        <f>'Berechnung - Lufttechnik'!F135</f>
        <v>0</v>
      </c>
      <c r="G281" s="472">
        <f>'Berechnung - Lufttechnik'!G135</f>
        <v>0</v>
      </c>
      <c r="H281" s="472">
        <f>'Berechnung - Lufttechnik'!H135</f>
        <v>0</v>
      </c>
      <c r="I281" s="472">
        <f>'Berechnung - Lufttechnik'!I135</f>
        <v>0</v>
      </c>
      <c r="J281" s="472">
        <f>'Berechnung - Lufttechnik'!J135</f>
        <v>0</v>
      </c>
      <c r="K281" s="472">
        <f>'Berechnung - Lufttechnik'!K135</f>
        <v>0</v>
      </c>
      <c r="L281" s="472">
        <f>'Berechnung - Lufttechnik'!L135</f>
        <v>0</v>
      </c>
      <c r="M281" s="472">
        <f>'Berechnung - Lufttechnik'!M135</f>
        <v>0</v>
      </c>
      <c r="N281" s="472">
        <f>'Berechnung - Lufttechnik'!N135</f>
        <v>0</v>
      </c>
      <c r="O281" s="472">
        <f>'Berechnung - Lufttechnik'!O135</f>
        <v>0</v>
      </c>
      <c r="P281" s="472">
        <f>'Berechnung - Lufttechnik'!P135</f>
        <v>0</v>
      </c>
      <c r="Q281" s="96">
        <f>SUM(C281:P281)</f>
        <v>0</v>
      </c>
      <c r="S281" s="63"/>
      <c r="T281" s="63"/>
      <c r="U281" s="63"/>
    </row>
    <row r="282" spans="1:21" ht="15.95" customHeight="1" x14ac:dyDescent="0.25">
      <c r="A282" s="492"/>
      <c r="B282" s="153" t="str">
        <f>IF(Überblick!$H$53&gt;=2,"2:",0)</f>
        <v>2:</v>
      </c>
      <c r="C282" s="472">
        <f>'Berechnung - Lufttechnik'!C136</f>
        <v>0</v>
      </c>
      <c r="D282" s="472">
        <f>'Berechnung - Lufttechnik'!D136</f>
        <v>0</v>
      </c>
      <c r="E282" s="472">
        <f>'Berechnung - Lufttechnik'!E136</f>
        <v>0</v>
      </c>
      <c r="F282" s="472">
        <f>'Berechnung - Lufttechnik'!F136</f>
        <v>0</v>
      </c>
      <c r="G282" s="472">
        <f>'Berechnung - Lufttechnik'!G136</f>
        <v>0</v>
      </c>
      <c r="H282" s="472">
        <f>'Berechnung - Lufttechnik'!H136</f>
        <v>0</v>
      </c>
      <c r="I282" s="472">
        <f>'Berechnung - Lufttechnik'!I136</f>
        <v>0</v>
      </c>
      <c r="J282" s="472">
        <f>'Berechnung - Lufttechnik'!J136</f>
        <v>0</v>
      </c>
      <c r="K282" s="472">
        <f>'Berechnung - Lufttechnik'!K136</f>
        <v>0</v>
      </c>
      <c r="L282" s="472">
        <f>'Berechnung - Lufttechnik'!L136</f>
        <v>0</v>
      </c>
      <c r="M282" s="472">
        <f>'Berechnung - Lufttechnik'!M136</f>
        <v>0</v>
      </c>
      <c r="N282" s="472">
        <f>'Berechnung - Lufttechnik'!N136</f>
        <v>0</v>
      </c>
      <c r="O282" s="472">
        <f>'Berechnung - Lufttechnik'!O136</f>
        <v>0</v>
      </c>
      <c r="P282" s="472">
        <f>'Berechnung - Lufttechnik'!P136</f>
        <v>0</v>
      </c>
      <c r="Q282" s="96">
        <f t="shared" ref="Q282:Q288" si="4">SUM(C282:P282)</f>
        <v>0</v>
      </c>
    </row>
    <row r="283" spans="1:21" x14ac:dyDescent="0.25">
      <c r="A283" s="59"/>
      <c r="B283" s="153" t="str">
        <f>IF(Überblick!$H$53&gt;=3,"3:",0)</f>
        <v>3:</v>
      </c>
      <c r="C283" s="472">
        <f>'Berechnung - Lufttechnik'!C137</f>
        <v>0</v>
      </c>
      <c r="D283" s="472">
        <f>'Berechnung - Lufttechnik'!D137</f>
        <v>0</v>
      </c>
      <c r="E283" s="472">
        <f>'Berechnung - Lufttechnik'!E137</f>
        <v>0</v>
      </c>
      <c r="F283" s="472">
        <f>'Berechnung - Lufttechnik'!F137</f>
        <v>0</v>
      </c>
      <c r="G283" s="472">
        <f>'Berechnung - Lufttechnik'!G137</f>
        <v>0</v>
      </c>
      <c r="H283" s="472">
        <f>'Berechnung - Lufttechnik'!H137</f>
        <v>0</v>
      </c>
      <c r="I283" s="472">
        <f>'Berechnung - Lufttechnik'!I137</f>
        <v>0</v>
      </c>
      <c r="J283" s="472">
        <f>'Berechnung - Lufttechnik'!J137</f>
        <v>0</v>
      </c>
      <c r="K283" s="472">
        <f>'Berechnung - Lufttechnik'!K137</f>
        <v>0</v>
      </c>
      <c r="L283" s="472">
        <f>'Berechnung - Lufttechnik'!L137</f>
        <v>0</v>
      </c>
      <c r="M283" s="472">
        <f>'Berechnung - Lufttechnik'!M137</f>
        <v>0</v>
      </c>
      <c r="N283" s="472">
        <f>'Berechnung - Lufttechnik'!N137</f>
        <v>0</v>
      </c>
      <c r="O283" s="472">
        <f>'Berechnung - Lufttechnik'!O137</f>
        <v>0</v>
      </c>
      <c r="P283" s="472">
        <f>'Berechnung - Lufttechnik'!P137</f>
        <v>0</v>
      </c>
      <c r="Q283" s="96">
        <f t="shared" si="4"/>
        <v>0</v>
      </c>
    </row>
    <row r="284" spans="1:21" x14ac:dyDescent="0.25">
      <c r="A284" s="491"/>
      <c r="B284" s="153" t="str">
        <f>IF(Überblick!$H$53&gt;=4,"4:",0)</f>
        <v>4:</v>
      </c>
      <c r="C284" s="472">
        <f>'Berechnung - Lufttechnik'!C138</f>
        <v>0</v>
      </c>
      <c r="D284" s="472">
        <f>'Berechnung - Lufttechnik'!D138</f>
        <v>0</v>
      </c>
      <c r="E284" s="472">
        <f>'Berechnung - Lufttechnik'!E138</f>
        <v>0</v>
      </c>
      <c r="F284" s="472">
        <f>'Berechnung - Lufttechnik'!F138</f>
        <v>0</v>
      </c>
      <c r="G284" s="472">
        <f>'Berechnung - Lufttechnik'!G138</f>
        <v>0</v>
      </c>
      <c r="H284" s="472">
        <f>'Berechnung - Lufttechnik'!H138</f>
        <v>0</v>
      </c>
      <c r="I284" s="472">
        <f>'Berechnung - Lufttechnik'!I138</f>
        <v>0</v>
      </c>
      <c r="J284" s="472">
        <f>'Berechnung - Lufttechnik'!J138</f>
        <v>0</v>
      </c>
      <c r="K284" s="472">
        <f>'Berechnung - Lufttechnik'!K138</f>
        <v>0</v>
      </c>
      <c r="L284" s="472">
        <f>'Berechnung - Lufttechnik'!L138</f>
        <v>0</v>
      </c>
      <c r="M284" s="472">
        <f>'Berechnung - Lufttechnik'!M138</f>
        <v>0</v>
      </c>
      <c r="N284" s="472">
        <f>'Berechnung - Lufttechnik'!N138</f>
        <v>0</v>
      </c>
      <c r="O284" s="472">
        <f>'Berechnung - Lufttechnik'!O138</f>
        <v>0</v>
      </c>
      <c r="P284" s="472">
        <f>'Berechnung - Lufttechnik'!P138</f>
        <v>0</v>
      </c>
      <c r="Q284" s="96">
        <f t="shared" si="4"/>
        <v>0</v>
      </c>
    </row>
    <row r="285" spans="1:21" x14ac:dyDescent="0.25">
      <c r="A285" s="491"/>
      <c r="B285" s="153" t="str">
        <f>IF(Überblick!$H$53&gt;=5,"5:",0)</f>
        <v>5:</v>
      </c>
      <c r="C285" s="472">
        <f>'Berechnung - Lufttechnik'!C139</f>
        <v>0</v>
      </c>
      <c r="D285" s="472">
        <f>'Berechnung - Lufttechnik'!D139</f>
        <v>0</v>
      </c>
      <c r="E285" s="472">
        <f>'Berechnung - Lufttechnik'!E139</f>
        <v>0</v>
      </c>
      <c r="F285" s="472">
        <f>'Berechnung - Lufttechnik'!F139</f>
        <v>0</v>
      </c>
      <c r="G285" s="472">
        <f>'Berechnung - Lufttechnik'!G139</f>
        <v>0</v>
      </c>
      <c r="H285" s="472">
        <f>'Berechnung - Lufttechnik'!H139</f>
        <v>0</v>
      </c>
      <c r="I285" s="472">
        <f>'Berechnung - Lufttechnik'!I139</f>
        <v>0</v>
      </c>
      <c r="J285" s="472">
        <f>'Berechnung - Lufttechnik'!J139</f>
        <v>0</v>
      </c>
      <c r="K285" s="472">
        <f>'Berechnung - Lufttechnik'!K139</f>
        <v>0</v>
      </c>
      <c r="L285" s="472">
        <f>'Berechnung - Lufttechnik'!L139</f>
        <v>0</v>
      </c>
      <c r="M285" s="472">
        <f>'Berechnung - Lufttechnik'!M139</f>
        <v>0</v>
      </c>
      <c r="N285" s="472">
        <f>'Berechnung - Lufttechnik'!N139</f>
        <v>0</v>
      </c>
      <c r="O285" s="472">
        <f>'Berechnung - Lufttechnik'!O139</f>
        <v>0</v>
      </c>
      <c r="P285" s="472">
        <f>'Berechnung - Lufttechnik'!P139</f>
        <v>0</v>
      </c>
      <c r="Q285" s="96">
        <f t="shared" si="4"/>
        <v>0</v>
      </c>
    </row>
    <row r="286" spans="1:21" ht="15.95" customHeight="1" x14ac:dyDescent="0.25">
      <c r="A286" s="491"/>
      <c r="B286" s="153" t="str">
        <f>IF(Überblick!$H$53&gt;=6,"6:",0)</f>
        <v>6:</v>
      </c>
      <c r="C286" s="472">
        <f>'Berechnung - Lufttechnik'!C140</f>
        <v>0</v>
      </c>
      <c r="D286" s="472">
        <f>'Berechnung - Lufttechnik'!D140</f>
        <v>0</v>
      </c>
      <c r="E286" s="472">
        <f>'Berechnung - Lufttechnik'!E140</f>
        <v>0</v>
      </c>
      <c r="F286" s="472">
        <f>'Berechnung - Lufttechnik'!F140</f>
        <v>0</v>
      </c>
      <c r="G286" s="472">
        <f>'Berechnung - Lufttechnik'!G140</f>
        <v>0</v>
      </c>
      <c r="H286" s="472">
        <f>'Berechnung - Lufttechnik'!H140</f>
        <v>0</v>
      </c>
      <c r="I286" s="472">
        <f>'Berechnung - Lufttechnik'!I140</f>
        <v>0</v>
      </c>
      <c r="J286" s="472">
        <f>'Berechnung - Lufttechnik'!J140</f>
        <v>0</v>
      </c>
      <c r="K286" s="472">
        <f>'Berechnung - Lufttechnik'!K140</f>
        <v>0</v>
      </c>
      <c r="L286" s="472">
        <f>'Berechnung - Lufttechnik'!L140</f>
        <v>0</v>
      </c>
      <c r="M286" s="472">
        <f>'Berechnung - Lufttechnik'!M140</f>
        <v>0</v>
      </c>
      <c r="N286" s="472">
        <f>'Berechnung - Lufttechnik'!N140</f>
        <v>0</v>
      </c>
      <c r="O286" s="472">
        <f>'Berechnung - Lufttechnik'!O140</f>
        <v>0</v>
      </c>
      <c r="P286" s="472">
        <f>'Berechnung - Lufttechnik'!P140</f>
        <v>0</v>
      </c>
      <c r="Q286" s="96">
        <f t="shared" si="4"/>
        <v>0</v>
      </c>
    </row>
    <row r="287" spans="1:21" x14ac:dyDescent="0.25">
      <c r="A287" s="491"/>
      <c r="B287" s="153">
        <f>IF(Überblick!$H$53&gt;=7,"7:",0)</f>
        <v>0</v>
      </c>
      <c r="C287" s="472">
        <f>'Berechnung - Lufttechnik'!C141</f>
        <v>0</v>
      </c>
      <c r="D287" s="472">
        <f>'Berechnung - Lufttechnik'!D141</f>
        <v>0</v>
      </c>
      <c r="E287" s="472">
        <f>'Berechnung - Lufttechnik'!E141</f>
        <v>0</v>
      </c>
      <c r="F287" s="472">
        <f>'Berechnung - Lufttechnik'!F141</f>
        <v>0</v>
      </c>
      <c r="G287" s="472">
        <f>'Berechnung - Lufttechnik'!G141</f>
        <v>0</v>
      </c>
      <c r="H287" s="472">
        <f>'Berechnung - Lufttechnik'!H141</f>
        <v>0</v>
      </c>
      <c r="I287" s="472">
        <f>'Berechnung - Lufttechnik'!I141</f>
        <v>0</v>
      </c>
      <c r="J287" s="472">
        <f>'Berechnung - Lufttechnik'!J141</f>
        <v>0</v>
      </c>
      <c r="K287" s="472">
        <f>'Berechnung - Lufttechnik'!K141</f>
        <v>0</v>
      </c>
      <c r="L287" s="472">
        <f>'Berechnung - Lufttechnik'!L141</f>
        <v>0</v>
      </c>
      <c r="M287" s="472">
        <f>'Berechnung - Lufttechnik'!M141</f>
        <v>0</v>
      </c>
      <c r="N287" s="472">
        <f>'Berechnung - Lufttechnik'!N141</f>
        <v>0</v>
      </c>
      <c r="O287" s="472">
        <f>'Berechnung - Lufttechnik'!O141</f>
        <v>0</v>
      </c>
      <c r="P287" s="472">
        <f>'Berechnung - Lufttechnik'!P141</f>
        <v>0</v>
      </c>
      <c r="Q287" s="96">
        <f t="shared" si="4"/>
        <v>0</v>
      </c>
    </row>
    <row r="288" spans="1:21" ht="15" customHeight="1" x14ac:dyDescent="0.25">
      <c r="A288" s="491"/>
      <c r="B288" s="153">
        <f>IF(Überblick!$H$53&gt;=8,"8:",0)</f>
        <v>0</v>
      </c>
      <c r="C288" s="472">
        <f>'Berechnung - Lufttechnik'!C142</f>
        <v>0</v>
      </c>
      <c r="D288" s="472">
        <f>'Berechnung - Lufttechnik'!D142</f>
        <v>0</v>
      </c>
      <c r="E288" s="472">
        <f>'Berechnung - Lufttechnik'!E142</f>
        <v>0</v>
      </c>
      <c r="F288" s="472">
        <f>'Berechnung - Lufttechnik'!F142</f>
        <v>0</v>
      </c>
      <c r="G288" s="472">
        <f>'Berechnung - Lufttechnik'!G142</f>
        <v>0</v>
      </c>
      <c r="H288" s="472">
        <f>'Berechnung - Lufttechnik'!H142</f>
        <v>0</v>
      </c>
      <c r="I288" s="472">
        <f>'Berechnung - Lufttechnik'!I142</f>
        <v>0</v>
      </c>
      <c r="J288" s="472">
        <f>'Berechnung - Lufttechnik'!J142</f>
        <v>0</v>
      </c>
      <c r="K288" s="472">
        <f>'Berechnung - Lufttechnik'!K142</f>
        <v>0</v>
      </c>
      <c r="L288" s="472">
        <f>'Berechnung - Lufttechnik'!L142</f>
        <v>0</v>
      </c>
      <c r="M288" s="472">
        <f>'Berechnung - Lufttechnik'!M142</f>
        <v>0</v>
      </c>
      <c r="N288" s="472">
        <f>'Berechnung - Lufttechnik'!N142</f>
        <v>0</v>
      </c>
      <c r="O288" s="472">
        <f>'Berechnung - Lufttechnik'!O142</f>
        <v>0</v>
      </c>
      <c r="P288" s="472">
        <f>'Berechnung - Lufttechnik'!P142</f>
        <v>0</v>
      </c>
      <c r="Q288" s="96">
        <f t="shared" si="4"/>
        <v>0</v>
      </c>
    </row>
    <row r="289" spans="2:16" x14ac:dyDescent="0.25">
      <c r="B289" s="140"/>
      <c r="C289" s="140"/>
      <c r="D289" s="140"/>
      <c r="E289" s="140"/>
      <c r="F289" s="140"/>
      <c r="G289" s="140"/>
      <c r="H289" s="140"/>
      <c r="I289" s="140"/>
      <c r="J289" s="140"/>
      <c r="K289" s="140"/>
      <c r="L289" s="140"/>
      <c r="M289" s="140"/>
      <c r="N289" s="140"/>
      <c r="O289" s="140"/>
      <c r="P289" s="140"/>
    </row>
    <row r="290" spans="2:16" x14ac:dyDescent="0.25">
      <c r="B290" s="140"/>
      <c r="C290" s="140"/>
      <c r="D290" s="140"/>
      <c r="E290" s="140"/>
      <c r="F290" s="140"/>
      <c r="G290" s="140"/>
      <c r="H290" s="140"/>
      <c r="I290" s="140"/>
      <c r="J290" s="140"/>
      <c r="K290" s="140"/>
      <c r="L290" s="140"/>
      <c r="M290" s="140"/>
      <c r="N290" s="140"/>
      <c r="O290" s="140"/>
      <c r="P290" s="140"/>
    </row>
    <row r="291" spans="2:16" x14ac:dyDescent="0.25">
      <c r="B291" s="140"/>
      <c r="C291" s="140"/>
      <c r="D291" s="140"/>
      <c r="E291" s="140"/>
      <c r="F291" s="140"/>
      <c r="G291" s="140"/>
      <c r="H291" s="140"/>
      <c r="I291" s="140"/>
      <c r="J291" s="140"/>
      <c r="K291" s="140"/>
      <c r="L291" s="140"/>
      <c r="M291" s="140"/>
      <c r="N291" s="140"/>
      <c r="O291" s="140"/>
      <c r="P291" s="140"/>
    </row>
    <row r="292" spans="2:16" x14ac:dyDescent="0.25">
      <c r="B292" s="140"/>
      <c r="C292" s="140"/>
      <c r="D292" s="140"/>
      <c r="E292" s="140"/>
      <c r="F292" s="140"/>
      <c r="G292" s="140"/>
      <c r="H292" s="140"/>
      <c r="I292" s="140"/>
      <c r="J292" s="140"/>
      <c r="K292" s="140"/>
      <c r="L292" s="140"/>
      <c r="M292" s="140"/>
      <c r="N292" s="140"/>
      <c r="O292" s="140"/>
      <c r="P292" s="140"/>
    </row>
    <row r="293" spans="2:16" x14ac:dyDescent="0.25">
      <c r="B293" s="140"/>
      <c r="C293" s="140"/>
      <c r="D293" s="140"/>
      <c r="E293" s="140"/>
      <c r="F293" s="140"/>
      <c r="G293" s="140"/>
      <c r="H293" s="140"/>
      <c r="I293" s="140"/>
      <c r="J293" s="140"/>
      <c r="K293" s="140"/>
      <c r="L293" s="140"/>
      <c r="M293" s="140"/>
      <c r="N293" s="140"/>
      <c r="O293" s="140"/>
      <c r="P293" s="140"/>
    </row>
    <row r="294" spans="2:16" x14ac:dyDescent="0.25">
      <c r="B294" s="140"/>
      <c r="C294" s="140"/>
      <c r="D294" s="140"/>
      <c r="E294" s="140"/>
      <c r="F294" s="140"/>
      <c r="G294" s="140"/>
      <c r="H294" s="140"/>
      <c r="I294" s="140"/>
      <c r="J294" s="140"/>
      <c r="K294" s="140"/>
      <c r="L294" s="140"/>
      <c r="M294" s="140"/>
      <c r="N294" s="140"/>
      <c r="O294" s="140"/>
      <c r="P294" s="140"/>
    </row>
    <row r="295" spans="2:16" x14ac:dyDescent="0.25">
      <c r="B295" s="140"/>
      <c r="C295" s="140"/>
      <c r="D295" s="140"/>
      <c r="E295" s="140"/>
      <c r="F295" s="140"/>
      <c r="G295" s="140"/>
      <c r="H295" s="140"/>
      <c r="I295" s="140"/>
      <c r="J295" s="140"/>
      <c r="K295" s="140"/>
      <c r="L295" s="140"/>
      <c r="M295" s="140"/>
      <c r="N295" s="140"/>
      <c r="O295" s="140"/>
      <c r="P295" s="140"/>
    </row>
    <row r="296" spans="2:16" x14ac:dyDescent="0.25">
      <c r="B296" s="140"/>
      <c r="C296" s="140"/>
      <c r="D296" s="140"/>
      <c r="E296" s="140"/>
      <c r="F296" s="140"/>
      <c r="G296" s="140"/>
      <c r="H296" s="140"/>
      <c r="I296" s="140"/>
      <c r="J296" s="140"/>
      <c r="K296" s="140"/>
      <c r="L296" s="140"/>
      <c r="M296" s="140"/>
      <c r="N296" s="140"/>
      <c r="O296" s="140"/>
      <c r="P296" s="140"/>
    </row>
  </sheetData>
  <sheetProtection algorithmName="SHA-512" hashValue="wP3/i3Mz0E2hkUczv1wdBVRZSR45lpeYHdDkOMkaBVB1K8lYiHTgZEPNknezB2Ewvt3+NWjM9otlQ1b82h/ipA==" saltValue="RG0zv0y+aviMi4/VQ/lXJg==" spinCount="100000" sheet="1" objects="1" scenarios="1"/>
  <mergeCells count="474">
    <mergeCell ref="S2:U2"/>
    <mergeCell ref="S3:U3"/>
    <mergeCell ref="S4:U4"/>
    <mergeCell ref="T1:U1"/>
    <mergeCell ref="L212:P217"/>
    <mergeCell ref="L218:P226"/>
    <mergeCell ref="L230:P234"/>
    <mergeCell ref="F9:I11"/>
    <mergeCell ref="J9:M11"/>
    <mergeCell ref="N9:Q11"/>
    <mergeCell ref="F5:I5"/>
    <mergeCell ref="J5:M5"/>
    <mergeCell ref="N5:Q5"/>
    <mergeCell ref="F6:G6"/>
    <mergeCell ref="H6:I6"/>
    <mergeCell ref="J6:K6"/>
    <mergeCell ref="L6:M6"/>
    <mergeCell ref="N6:O6"/>
    <mergeCell ref="P6:Q6"/>
    <mergeCell ref="P7:Q7"/>
    <mergeCell ref="F19:I19"/>
    <mergeCell ref="J19:M19"/>
    <mergeCell ref="N19:Q19"/>
    <mergeCell ref="L35:P37"/>
    <mergeCell ref="L38:P38"/>
    <mergeCell ref="Q35:Q37"/>
    <mergeCell ref="L53:P53"/>
    <mergeCell ref="J39:K53"/>
    <mergeCell ref="L39:P43"/>
    <mergeCell ref="B35:G37"/>
    <mergeCell ref="H35:H37"/>
    <mergeCell ref="L47:P48"/>
    <mergeCell ref="L49:P49"/>
    <mergeCell ref="L50:P50"/>
    <mergeCell ref="L51:P52"/>
    <mergeCell ref="L44:P46"/>
    <mergeCell ref="B45:G53"/>
    <mergeCell ref="B7:E7"/>
    <mergeCell ref="F7:G7"/>
    <mergeCell ref="H7:I7"/>
    <mergeCell ref="J7:K7"/>
    <mergeCell ref="L7:M7"/>
    <mergeCell ref="N7:O7"/>
    <mergeCell ref="B23:E23"/>
    <mergeCell ref="F23:Q23"/>
    <mergeCell ref="B15:E15"/>
    <mergeCell ref="F15:Q15"/>
    <mergeCell ref="B16:E16"/>
    <mergeCell ref="F16:Q16"/>
    <mergeCell ref="F17:I18"/>
    <mergeCell ref="J17:M18"/>
    <mergeCell ref="N17:Q18"/>
    <mergeCell ref="B8:E8"/>
    <mergeCell ref="F8:G8"/>
    <mergeCell ref="H8:I8"/>
    <mergeCell ref="J8:K8"/>
    <mergeCell ref="L8:M8"/>
    <mergeCell ref="N8:O8"/>
    <mergeCell ref="P8:Q8"/>
    <mergeCell ref="A32:A126"/>
    <mergeCell ref="B32:G34"/>
    <mergeCell ref="H32:H34"/>
    <mergeCell ref="I32:I34"/>
    <mergeCell ref="J32:K34"/>
    <mergeCell ref="I35:K37"/>
    <mergeCell ref="B39:G41"/>
    <mergeCell ref="H39:H41"/>
    <mergeCell ref="I39:I53"/>
    <mergeCell ref="B54:G54"/>
    <mergeCell ref="I54:K54"/>
    <mergeCell ref="B101:G106"/>
    <mergeCell ref="H101:H106"/>
    <mergeCell ref="B118:G118"/>
    <mergeCell ref="I118:K118"/>
    <mergeCell ref="B55:G56"/>
    <mergeCell ref="B42:G44"/>
    <mergeCell ref="H42:H44"/>
    <mergeCell ref="H45:H53"/>
    <mergeCell ref="B57:G64"/>
    <mergeCell ref="H57:H64"/>
    <mergeCell ref="B38:G38"/>
    <mergeCell ref="I38:K38"/>
    <mergeCell ref="L58:P60"/>
    <mergeCell ref="L61:P63"/>
    <mergeCell ref="L64:P66"/>
    <mergeCell ref="L54:P54"/>
    <mergeCell ref="H55:H56"/>
    <mergeCell ref="I55:I77"/>
    <mergeCell ref="J55:K77"/>
    <mergeCell ref="L55:P57"/>
    <mergeCell ref="B76:G77"/>
    <mergeCell ref="H76:H77"/>
    <mergeCell ref="L76:P77"/>
    <mergeCell ref="B65:G66"/>
    <mergeCell ref="H65:H66"/>
    <mergeCell ref="B67:G70"/>
    <mergeCell ref="H67:H70"/>
    <mergeCell ref="L67:P69"/>
    <mergeCell ref="L98:P100"/>
    <mergeCell ref="I78:K80"/>
    <mergeCell ref="B71:G73"/>
    <mergeCell ref="H71:H73"/>
    <mergeCell ref="L73:P75"/>
    <mergeCell ref="B74:G75"/>
    <mergeCell ref="H74:H75"/>
    <mergeCell ref="J82:K114"/>
    <mergeCell ref="L82:P84"/>
    <mergeCell ref="B107:G108"/>
    <mergeCell ref="H107:H108"/>
    <mergeCell ref="L107:P109"/>
    <mergeCell ref="L94:P97"/>
    <mergeCell ref="B78:G80"/>
    <mergeCell ref="H78:H80"/>
    <mergeCell ref="L70:P72"/>
    <mergeCell ref="T78:T80"/>
    <mergeCell ref="B81:G81"/>
    <mergeCell ref="I81:K81"/>
    <mergeCell ref="L81:P81"/>
    <mergeCell ref="L78:P80"/>
    <mergeCell ref="Q78:Q80"/>
    <mergeCell ref="R78:S80"/>
    <mergeCell ref="B109:G110"/>
    <mergeCell ref="H109:H110"/>
    <mergeCell ref="L110:P112"/>
    <mergeCell ref="B111:G112"/>
    <mergeCell ref="H111:H112"/>
    <mergeCell ref="L101:P103"/>
    <mergeCell ref="L104:P106"/>
    <mergeCell ref="T82:T114"/>
    <mergeCell ref="L85:P87"/>
    <mergeCell ref="B87:G87"/>
    <mergeCell ref="B88:G100"/>
    <mergeCell ref="H88:H100"/>
    <mergeCell ref="L88:P90"/>
    <mergeCell ref="L91:P93"/>
    <mergeCell ref="B82:G86"/>
    <mergeCell ref="H82:H86"/>
    <mergeCell ref="I82:I114"/>
    <mergeCell ref="L118:P118"/>
    <mergeCell ref="B113:G114"/>
    <mergeCell ref="H113:H114"/>
    <mergeCell ref="L113:P114"/>
    <mergeCell ref="I115:K117"/>
    <mergeCell ref="R113:S114"/>
    <mergeCell ref="L115:P117"/>
    <mergeCell ref="Q115:Q117"/>
    <mergeCell ref="R115:S117"/>
    <mergeCell ref="B115:G117"/>
    <mergeCell ref="H115:H117"/>
    <mergeCell ref="L122:P124"/>
    <mergeCell ref="B124:G126"/>
    <mergeCell ref="H124:H126"/>
    <mergeCell ref="L125:P126"/>
    <mergeCell ref="B119:G123"/>
    <mergeCell ref="H119:H123"/>
    <mergeCell ref="I119:I126"/>
    <mergeCell ref="J119:K126"/>
    <mergeCell ref="L119:P121"/>
    <mergeCell ref="B127:G127"/>
    <mergeCell ref="I127:K127"/>
    <mergeCell ref="L127:P127"/>
    <mergeCell ref="A128:A132"/>
    <mergeCell ref="B128:G132"/>
    <mergeCell ref="H128:H132"/>
    <mergeCell ref="I128:I132"/>
    <mergeCell ref="J128:K132"/>
    <mergeCell ref="R127:S127"/>
    <mergeCell ref="B143:G143"/>
    <mergeCell ref="J143:K143"/>
    <mergeCell ref="L143:P143"/>
    <mergeCell ref="T128:T132"/>
    <mergeCell ref="L128:P130"/>
    <mergeCell ref="Q128:Q130"/>
    <mergeCell ref="R128:S130"/>
    <mergeCell ref="R143:S143"/>
    <mergeCell ref="A133:A142"/>
    <mergeCell ref="B133:G142"/>
    <mergeCell ref="H133:H142"/>
    <mergeCell ref="I133:I142"/>
    <mergeCell ref="J133:K142"/>
    <mergeCell ref="B144:G144"/>
    <mergeCell ref="J144:K144"/>
    <mergeCell ref="L144:P144"/>
    <mergeCell ref="A145:A149"/>
    <mergeCell ref="B145:G149"/>
    <mergeCell ref="H145:H149"/>
    <mergeCell ref="I145:I149"/>
    <mergeCell ref="J145:K149"/>
    <mergeCell ref="R144:S144"/>
    <mergeCell ref="A150:A152"/>
    <mergeCell ref="B150:G152"/>
    <mergeCell ref="H150:H152"/>
    <mergeCell ref="I150:I152"/>
    <mergeCell ref="J150:K152"/>
    <mergeCell ref="L150:P152"/>
    <mergeCell ref="L145:P147"/>
    <mergeCell ref="Q145:Q147"/>
    <mergeCell ref="R145:S147"/>
    <mergeCell ref="R150:S152"/>
    <mergeCell ref="A153:A244"/>
    <mergeCell ref="B153:G153"/>
    <mergeCell ref="I153:K153"/>
    <mergeCell ref="L153:P153"/>
    <mergeCell ref="B154:G156"/>
    <mergeCell ref="H154:H156"/>
    <mergeCell ref="I154:I177"/>
    <mergeCell ref="L154:P156"/>
    <mergeCell ref="B178:G178"/>
    <mergeCell ref="L178:P178"/>
    <mergeCell ref="B179:G179"/>
    <mergeCell ref="I179:I192"/>
    <mergeCell ref="J179:K192"/>
    <mergeCell ref="L179:P181"/>
    <mergeCell ref="H186:H188"/>
    <mergeCell ref="L188:P190"/>
    <mergeCell ref="B189:G190"/>
    <mergeCell ref="H189:H190"/>
    <mergeCell ref="B157:G167"/>
    <mergeCell ref="H157:H167"/>
    <mergeCell ref="L157:P166"/>
    <mergeCell ref="L167:P169"/>
    <mergeCell ref="B191:G192"/>
    <mergeCell ref="H191:H192"/>
    <mergeCell ref="B174:G176"/>
    <mergeCell ref="H174:H176"/>
    <mergeCell ref="L174:P176"/>
    <mergeCell ref="B177:G177"/>
    <mergeCell ref="L177:P177"/>
    <mergeCell ref="B168:G170"/>
    <mergeCell ref="H168:H170"/>
    <mergeCell ref="L170:P173"/>
    <mergeCell ref="B171:G173"/>
    <mergeCell ref="H171:H173"/>
    <mergeCell ref="J154:K177"/>
    <mergeCell ref="L191:P192"/>
    <mergeCell ref="T179:T192"/>
    <mergeCell ref="B180:G184"/>
    <mergeCell ref="H180:H184"/>
    <mergeCell ref="L182:P184"/>
    <mergeCell ref="B185:G185"/>
    <mergeCell ref="L185:P187"/>
    <mergeCell ref="B186:G188"/>
    <mergeCell ref="R193:S193"/>
    <mergeCell ref="R188:S190"/>
    <mergeCell ref="Q191:Q192"/>
    <mergeCell ref="R191:S192"/>
    <mergeCell ref="L194:P203"/>
    <mergeCell ref="B193:G193"/>
    <mergeCell ref="L193:P193"/>
    <mergeCell ref="B194:G200"/>
    <mergeCell ref="H194:H200"/>
    <mergeCell ref="I194:I234"/>
    <mergeCell ref="J194:K234"/>
    <mergeCell ref="B201:G201"/>
    <mergeCell ref="B202:G203"/>
    <mergeCell ref="H202:H203"/>
    <mergeCell ref="B204:G204"/>
    <mergeCell ref="B205:G207"/>
    <mergeCell ref="H205:H207"/>
    <mergeCell ref="L206:P208"/>
    <mergeCell ref="B208:G208"/>
    <mergeCell ref="B209:G212"/>
    <mergeCell ref="H209:H212"/>
    <mergeCell ref="L209:P211"/>
    <mergeCell ref="B213:G216"/>
    <mergeCell ref="H213:H216"/>
    <mergeCell ref="B217:G217"/>
    <mergeCell ref="B218:G218"/>
    <mergeCell ref="L204:P205"/>
    <mergeCell ref="B219:G222"/>
    <mergeCell ref="H219:H222"/>
    <mergeCell ref="B223:G223"/>
    <mergeCell ref="B230:G231"/>
    <mergeCell ref="H230:H231"/>
    <mergeCell ref="B232:G234"/>
    <mergeCell ref="H232:H234"/>
    <mergeCell ref="B224:G227"/>
    <mergeCell ref="H224:H227"/>
    <mergeCell ref="L227:P229"/>
    <mergeCell ref="B228:G229"/>
    <mergeCell ref="H228:H229"/>
    <mergeCell ref="L239:P241"/>
    <mergeCell ref="B241:G243"/>
    <mergeCell ref="H241:H243"/>
    <mergeCell ref="L242:P244"/>
    <mergeCell ref="B244:G244"/>
    <mergeCell ref="B235:G235"/>
    <mergeCell ref="I235:K235"/>
    <mergeCell ref="L235:P235"/>
    <mergeCell ref="B236:G240"/>
    <mergeCell ref="H236:H240"/>
    <mergeCell ref="I236:I244"/>
    <mergeCell ref="J236:K244"/>
    <mergeCell ref="L236:P238"/>
    <mergeCell ref="G255:J255"/>
    <mergeCell ref="B256:F256"/>
    <mergeCell ref="H256:J256"/>
    <mergeCell ref="B258:F258"/>
    <mergeCell ref="H258:J258"/>
    <mergeCell ref="B260:F261"/>
    <mergeCell ref="H260:J261"/>
    <mergeCell ref="T245:T246"/>
    <mergeCell ref="B250:F250"/>
    <mergeCell ref="H250:J250"/>
    <mergeCell ref="B252:F252"/>
    <mergeCell ref="H252:J252"/>
    <mergeCell ref="B254:F254"/>
    <mergeCell ref="H254:J254"/>
    <mergeCell ref="B245:H246"/>
    <mergeCell ref="I245:I246"/>
    <mergeCell ref="J245:K246"/>
    <mergeCell ref="L245:P246"/>
    <mergeCell ref="Q245:Q246"/>
    <mergeCell ref="R245:S246"/>
    <mergeCell ref="G270:J270"/>
    <mergeCell ref="B271:F271"/>
    <mergeCell ref="H271:J271"/>
    <mergeCell ref="B273:F273"/>
    <mergeCell ref="H273:J273"/>
    <mergeCell ref="B275:F276"/>
    <mergeCell ref="H275:J276"/>
    <mergeCell ref="B265:F265"/>
    <mergeCell ref="H265:J265"/>
    <mergeCell ref="B267:F267"/>
    <mergeCell ref="H267:J267"/>
    <mergeCell ref="B269:F269"/>
    <mergeCell ref="H269:J269"/>
    <mergeCell ref="U35:U37"/>
    <mergeCell ref="R38:S38"/>
    <mergeCell ref="Q39:Q43"/>
    <mergeCell ref="R39:S43"/>
    <mergeCell ref="U39:U53"/>
    <mergeCell ref="Q44:Q46"/>
    <mergeCell ref="R44:S46"/>
    <mergeCell ref="Q47:Q48"/>
    <mergeCell ref="R47:S48"/>
    <mergeCell ref="R49:S49"/>
    <mergeCell ref="R50:S50"/>
    <mergeCell ref="Q51:Q52"/>
    <mergeCell ref="R51:S52"/>
    <mergeCell ref="R53:S53"/>
    <mergeCell ref="T39:T53"/>
    <mergeCell ref="T35:T37"/>
    <mergeCell ref="R35:S37"/>
    <mergeCell ref="R54:S54"/>
    <mergeCell ref="Q55:Q57"/>
    <mergeCell ref="R55:S57"/>
    <mergeCell ref="U55:U77"/>
    <mergeCell ref="Q58:Q60"/>
    <mergeCell ref="R58:S60"/>
    <mergeCell ref="Q61:Q63"/>
    <mergeCell ref="R61:S63"/>
    <mergeCell ref="Q64:Q66"/>
    <mergeCell ref="R64:S66"/>
    <mergeCell ref="Q67:Q69"/>
    <mergeCell ref="R67:S69"/>
    <mergeCell ref="Q70:Q72"/>
    <mergeCell ref="R70:S72"/>
    <mergeCell ref="Q73:Q75"/>
    <mergeCell ref="R73:S75"/>
    <mergeCell ref="Q76:Q77"/>
    <mergeCell ref="R76:S77"/>
    <mergeCell ref="T55:T77"/>
    <mergeCell ref="U78:U80"/>
    <mergeCell ref="R81:S81"/>
    <mergeCell ref="Q82:Q84"/>
    <mergeCell ref="R82:S84"/>
    <mergeCell ref="U82:U114"/>
    <mergeCell ref="Q85:Q87"/>
    <mergeCell ref="R85:S87"/>
    <mergeCell ref="Q88:Q90"/>
    <mergeCell ref="R88:S90"/>
    <mergeCell ref="Q91:Q93"/>
    <mergeCell ref="R91:S93"/>
    <mergeCell ref="Q94:Q97"/>
    <mergeCell ref="R94:S97"/>
    <mergeCell ref="Q98:Q100"/>
    <mergeCell ref="R98:S100"/>
    <mergeCell ref="Q101:Q103"/>
    <mergeCell ref="R101:S103"/>
    <mergeCell ref="Q104:Q106"/>
    <mergeCell ref="R104:S106"/>
    <mergeCell ref="Q107:Q109"/>
    <mergeCell ref="R107:S109"/>
    <mergeCell ref="Q110:Q112"/>
    <mergeCell ref="R110:S112"/>
    <mergeCell ref="Q113:Q114"/>
    <mergeCell ref="U115:U117"/>
    <mergeCell ref="R118:S118"/>
    <mergeCell ref="Q119:Q121"/>
    <mergeCell ref="R119:S121"/>
    <mergeCell ref="U119:U126"/>
    <mergeCell ref="Q122:Q124"/>
    <mergeCell ref="R122:S124"/>
    <mergeCell ref="Q125:Q126"/>
    <mergeCell ref="R125:S126"/>
    <mergeCell ref="T119:T126"/>
    <mergeCell ref="T115:T117"/>
    <mergeCell ref="T145:T149"/>
    <mergeCell ref="T150:T152"/>
    <mergeCell ref="U128:U132"/>
    <mergeCell ref="L131:P132"/>
    <mergeCell ref="Q131:Q132"/>
    <mergeCell ref="R131:S132"/>
    <mergeCell ref="L133:P135"/>
    <mergeCell ref="Q133:Q135"/>
    <mergeCell ref="R133:S135"/>
    <mergeCell ref="U133:U142"/>
    <mergeCell ref="L136:P138"/>
    <mergeCell ref="Q136:Q138"/>
    <mergeCell ref="R136:S138"/>
    <mergeCell ref="L139:P141"/>
    <mergeCell ref="Q139:Q141"/>
    <mergeCell ref="R139:S141"/>
    <mergeCell ref="L142:P142"/>
    <mergeCell ref="R142:S142"/>
    <mergeCell ref="T133:T142"/>
    <mergeCell ref="U145:U149"/>
    <mergeCell ref="L148:P149"/>
    <mergeCell ref="Q148:Q149"/>
    <mergeCell ref="R148:S149"/>
    <mergeCell ref="Q150:Q152"/>
    <mergeCell ref="U150:U152"/>
    <mergeCell ref="R153:S153"/>
    <mergeCell ref="Q154:Q156"/>
    <mergeCell ref="R154:S156"/>
    <mergeCell ref="U154:U177"/>
    <mergeCell ref="Q157:Q166"/>
    <mergeCell ref="R157:S166"/>
    <mergeCell ref="Q167:Q169"/>
    <mergeCell ref="R167:S169"/>
    <mergeCell ref="Q170:Q173"/>
    <mergeCell ref="R170:S173"/>
    <mergeCell ref="Q174:Q176"/>
    <mergeCell ref="R174:S176"/>
    <mergeCell ref="R177:S177"/>
    <mergeCell ref="T154:T177"/>
    <mergeCell ref="U245:U246"/>
    <mergeCell ref="Q227:Q229"/>
    <mergeCell ref="R227:S229"/>
    <mergeCell ref="R235:S235"/>
    <mergeCell ref="Q236:Q238"/>
    <mergeCell ref="R236:S238"/>
    <mergeCell ref="T236:T244"/>
    <mergeCell ref="T194:T234"/>
    <mergeCell ref="U194:U234"/>
    <mergeCell ref="U236:U244"/>
    <mergeCell ref="Q239:Q241"/>
    <mergeCell ref="R239:S241"/>
    <mergeCell ref="Q242:Q244"/>
    <mergeCell ref="R242:S244"/>
    <mergeCell ref="Q230:Q234"/>
    <mergeCell ref="R230:S234"/>
    <mergeCell ref="Q194:Q203"/>
    <mergeCell ref="Q204:Q205"/>
    <mergeCell ref="R194:S203"/>
    <mergeCell ref="R204:S205"/>
    <mergeCell ref="R212:S217"/>
    <mergeCell ref="Q212:Q217"/>
    <mergeCell ref="Q218:Q226"/>
    <mergeCell ref="R218:S226"/>
    <mergeCell ref="R178:S178"/>
    <mergeCell ref="Q179:Q181"/>
    <mergeCell ref="R179:S181"/>
    <mergeCell ref="Q206:Q208"/>
    <mergeCell ref="R206:S208"/>
    <mergeCell ref="Q209:Q211"/>
    <mergeCell ref="R209:S211"/>
    <mergeCell ref="U179:U192"/>
    <mergeCell ref="Q182:Q184"/>
    <mergeCell ref="R182:S184"/>
    <mergeCell ref="Q185:Q187"/>
    <mergeCell ref="R185:S187"/>
    <mergeCell ref="Q188:Q190"/>
  </mergeCells>
  <conditionalFormatting sqref="AA39">
    <cfRule type="containsText" dxfId="1278" priority="133" operator="containsText" text="Ja">
      <formula>NOT(ISERROR(SEARCH("Ja",AA39)))</formula>
    </cfRule>
  </conditionalFormatting>
  <conditionalFormatting sqref="AA233">
    <cfRule type="containsText" dxfId="1277" priority="125" operator="containsText" text="Ja">
      <formula>NOT(ISERROR(SEARCH("Ja",AA233)))</formula>
    </cfRule>
  </conditionalFormatting>
  <conditionalFormatting sqref="AA55">
    <cfRule type="containsText" dxfId="1276" priority="132" operator="containsText" text="Ja">
      <formula>NOT(ISERROR(SEARCH("Ja",AA55)))</formula>
    </cfRule>
  </conditionalFormatting>
  <conditionalFormatting sqref="AA79">
    <cfRule type="containsText" dxfId="1275" priority="131" operator="containsText" text="Ja">
      <formula>NOT(ISERROR(SEARCH("Ja",AA79)))</formula>
    </cfRule>
  </conditionalFormatting>
  <conditionalFormatting sqref="AA113">
    <cfRule type="containsText" dxfId="1274" priority="130" operator="containsText" text="Ja">
      <formula>NOT(ISERROR(SEARCH("Ja",AA113)))</formula>
    </cfRule>
  </conditionalFormatting>
  <conditionalFormatting sqref="AA125">
    <cfRule type="containsText" dxfId="1273" priority="129" operator="containsText" text="Ja">
      <formula>NOT(ISERROR(SEARCH("Ja",AA125)))</formula>
    </cfRule>
  </conditionalFormatting>
  <conditionalFormatting sqref="AA151">
    <cfRule type="containsText" dxfId="1272" priority="128" operator="containsText" text="Ja">
      <formula>NOT(ISERROR(SEARCH("Ja",AA151)))</formula>
    </cfRule>
  </conditionalFormatting>
  <conditionalFormatting sqref="AA176">
    <cfRule type="containsText" dxfId="1271" priority="127" operator="containsText" text="Ja">
      <formula>NOT(ISERROR(SEARCH("Ja",AA176)))</formula>
    </cfRule>
  </conditionalFormatting>
  <conditionalFormatting sqref="AA191">
    <cfRule type="containsText" dxfId="1270" priority="126" operator="containsText" text="Ja">
      <formula>NOT(ISERROR(SEARCH("Ja",AA191)))</formula>
    </cfRule>
  </conditionalFormatting>
  <conditionalFormatting sqref="B281:B288">
    <cfRule type="cellIs" dxfId="1269" priority="77" operator="greaterThan">
      <formula>0</formula>
    </cfRule>
  </conditionalFormatting>
  <conditionalFormatting sqref="C281:P288">
    <cfRule type="expression" dxfId="1268" priority="76">
      <formula>$B281&gt;=1</formula>
    </cfRule>
  </conditionalFormatting>
  <conditionalFormatting sqref="C282:P282">
    <cfRule type="expression" dxfId="1267" priority="75">
      <formula>$B282&gt;=1</formula>
    </cfRule>
  </conditionalFormatting>
  <conditionalFormatting sqref="C283:P283">
    <cfRule type="expression" dxfId="1266" priority="74">
      <formula>$B283&gt;=1</formula>
    </cfRule>
  </conditionalFormatting>
  <conditionalFormatting sqref="C284:P284">
    <cfRule type="expression" dxfId="1265" priority="73">
      <formula>$B284&gt;=1</formula>
    </cfRule>
  </conditionalFormatting>
  <conditionalFormatting sqref="C285:P285">
    <cfRule type="expression" dxfId="1264" priority="72">
      <formula>$B285&gt;=1</formula>
    </cfRule>
  </conditionalFormatting>
  <conditionalFormatting sqref="C286:P286">
    <cfRule type="expression" dxfId="1263" priority="71">
      <formula>$B286&gt;=1</formula>
    </cfRule>
  </conditionalFormatting>
  <conditionalFormatting sqref="C287:P287">
    <cfRule type="expression" dxfId="1262" priority="70">
      <formula>$B287&gt;=1</formula>
    </cfRule>
  </conditionalFormatting>
  <conditionalFormatting sqref="C288:P288">
    <cfRule type="expression" dxfId="1261" priority="69">
      <formula>$B288&gt;=1</formula>
    </cfRule>
  </conditionalFormatting>
  <conditionalFormatting sqref="C281:P288">
    <cfRule type="cellIs" dxfId="1260" priority="68" operator="greaterThan">
      <formula>0</formula>
    </cfRule>
  </conditionalFormatting>
  <conditionalFormatting sqref="F23">
    <cfRule type="expression" dxfId="1259" priority="67">
      <formula>$H$8+$L$8+$P$8&gt;0</formula>
    </cfRule>
  </conditionalFormatting>
  <conditionalFormatting sqref="T154:T177">
    <cfRule type="cellIs" dxfId="1258" priority="59" operator="equal">
      <formula>"ja"</formula>
    </cfRule>
  </conditionalFormatting>
  <conditionalFormatting sqref="R230">
    <cfRule type="expression" dxfId="1257" priority="11">
      <formula>Q230="ja"</formula>
    </cfRule>
  </conditionalFormatting>
  <conditionalFormatting sqref="R236">
    <cfRule type="expression" dxfId="1256" priority="9">
      <formula>Q236="ja"</formula>
    </cfRule>
  </conditionalFormatting>
  <conditionalFormatting sqref="R239">
    <cfRule type="expression" dxfId="1255" priority="8">
      <formula>Q239="ja"</formula>
    </cfRule>
  </conditionalFormatting>
  <conditionalFormatting sqref="R242">
    <cfRule type="expression" dxfId="1254" priority="7">
      <formula>Q242="ja"</formula>
    </cfRule>
  </conditionalFormatting>
  <conditionalFormatting sqref="R39">
    <cfRule type="expression" dxfId="1253" priority="58">
      <formula>Q39="ja"</formula>
    </cfRule>
  </conditionalFormatting>
  <conditionalFormatting sqref="R44">
    <cfRule type="expression" dxfId="1252" priority="57">
      <formula>Q44="ja"</formula>
    </cfRule>
  </conditionalFormatting>
  <conditionalFormatting sqref="R47">
    <cfRule type="expression" dxfId="1251" priority="56">
      <formula>Q47="ja"</formula>
    </cfRule>
  </conditionalFormatting>
  <conditionalFormatting sqref="R49 R51 R53">
    <cfRule type="expression" dxfId="1250" priority="55">
      <formula>Q49="ja"</formula>
    </cfRule>
  </conditionalFormatting>
  <conditionalFormatting sqref="R50">
    <cfRule type="expression" dxfId="1249" priority="54">
      <formula>Q50="ja"</formula>
    </cfRule>
  </conditionalFormatting>
  <conditionalFormatting sqref="R55">
    <cfRule type="expression" dxfId="1248" priority="53">
      <formula>Q55="ja"</formula>
    </cfRule>
  </conditionalFormatting>
  <conditionalFormatting sqref="R58 R61 R64 R67 R70 R73">
    <cfRule type="expression" dxfId="1247" priority="52">
      <formula>Q58="ja"</formula>
    </cfRule>
  </conditionalFormatting>
  <conditionalFormatting sqref="R76">
    <cfRule type="expression" dxfId="1246" priority="51">
      <formula>Q76="ja"</formula>
    </cfRule>
  </conditionalFormatting>
  <conditionalFormatting sqref="R82 R85 R88 R91 R94:R95 R98 R101 R104 R107 R110">
    <cfRule type="expression" dxfId="1245" priority="50">
      <formula>Q82="ja"</formula>
    </cfRule>
  </conditionalFormatting>
  <conditionalFormatting sqref="R113">
    <cfRule type="expression" dxfId="1244" priority="49">
      <formula>Q113="ja"</formula>
    </cfRule>
  </conditionalFormatting>
  <conditionalFormatting sqref="R125">
    <cfRule type="expression" dxfId="1243" priority="46">
      <formula>Q125="ja"</formula>
    </cfRule>
  </conditionalFormatting>
  <conditionalFormatting sqref="R119">
    <cfRule type="expression" dxfId="1242" priority="48">
      <formula>Q119="ja"</formula>
    </cfRule>
  </conditionalFormatting>
  <conditionalFormatting sqref="R122">
    <cfRule type="expression" dxfId="1241" priority="47">
      <formula>Q122="ja"</formula>
    </cfRule>
  </conditionalFormatting>
  <conditionalFormatting sqref="R128">
    <cfRule type="expression" dxfId="1240" priority="45">
      <formula>Q128="ja"</formula>
    </cfRule>
  </conditionalFormatting>
  <conditionalFormatting sqref="R131">
    <cfRule type="expression" dxfId="1239" priority="44">
      <formula>Q131="ja"</formula>
    </cfRule>
  </conditionalFormatting>
  <conditionalFormatting sqref="R133">
    <cfRule type="expression" dxfId="1238" priority="43">
      <formula>Q133="ja"</formula>
    </cfRule>
  </conditionalFormatting>
  <conditionalFormatting sqref="R136">
    <cfRule type="expression" dxfId="1237" priority="42">
      <formula>Q136="ja"</formula>
    </cfRule>
  </conditionalFormatting>
  <conditionalFormatting sqref="R139">
    <cfRule type="expression" dxfId="1236" priority="41">
      <formula>Q139="ja"</formula>
    </cfRule>
  </conditionalFormatting>
  <conditionalFormatting sqref="R142">
    <cfRule type="expression" dxfId="1235" priority="40">
      <formula>Q142="ja"</formula>
    </cfRule>
  </conditionalFormatting>
  <conditionalFormatting sqref="R143">
    <cfRule type="expression" dxfId="1234" priority="39">
      <formula>Q143="ja"</formula>
    </cfRule>
  </conditionalFormatting>
  <conditionalFormatting sqref="R144">
    <cfRule type="expression" dxfId="1233" priority="38">
      <formula>Q144="ja"</formula>
    </cfRule>
  </conditionalFormatting>
  <conditionalFormatting sqref="R145">
    <cfRule type="expression" dxfId="1232" priority="37">
      <formula>Q145="ja"</formula>
    </cfRule>
  </conditionalFormatting>
  <conditionalFormatting sqref="R148">
    <cfRule type="expression" dxfId="1231" priority="36">
      <formula>Q148="ja"</formula>
    </cfRule>
  </conditionalFormatting>
  <conditionalFormatting sqref="R150">
    <cfRule type="expression" dxfId="1230" priority="35">
      <formula>Q150="ja"</formula>
    </cfRule>
  </conditionalFormatting>
  <conditionalFormatting sqref="R154">
    <cfRule type="expression" dxfId="1229" priority="34">
      <formula>Q154="ja"</formula>
    </cfRule>
  </conditionalFormatting>
  <conditionalFormatting sqref="R157:R164">
    <cfRule type="expression" dxfId="1228" priority="33">
      <formula>Q157="ja"</formula>
    </cfRule>
  </conditionalFormatting>
  <conditionalFormatting sqref="R167">
    <cfRule type="expression" dxfId="1227" priority="32">
      <formula>Q167="ja"</formula>
    </cfRule>
  </conditionalFormatting>
  <conditionalFormatting sqref="R170">
    <cfRule type="expression" dxfId="1226" priority="31">
      <formula>Q170="ja"</formula>
    </cfRule>
  </conditionalFormatting>
  <conditionalFormatting sqref="R174">
    <cfRule type="expression" dxfId="1225" priority="30">
      <formula>Q174="ja"</formula>
    </cfRule>
  </conditionalFormatting>
  <conditionalFormatting sqref="R177">
    <cfRule type="expression" dxfId="1224" priority="29">
      <formula>Q177="ja"</formula>
    </cfRule>
  </conditionalFormatting>
  <conditionalFormatting sqref="R179">
    <cfRule type="expression" dxfId="1223" priority="28">
      <formula>Q179="ja"</formula>
    </cfRule>
  </conditionalFormatting>
  <conditionalFormatting sqref="R182">
    <cfRule type="expression" dxfId="1222" priority="27">
      <formula>Q182="ja"</formula>
    </cfRule>
  </conditionalFormatting>
  <conditionalFormatting sqref="R185">
    <cfRule type="expression" dxfId="1221" priority="26">
      <formula>Q185="ja"</formula>
    </cfRule>
  </conditionalFormatting>
  <conditionalFormatting sqref="R188">
    <cfRule type="expression" dxfId="1220" priority="25">
      <formula>Q188="ja"</formula>
    </cfRule>
  </conditionalFormatting>
  <conditionalFormatting sqref="R191">
    <cfRule type="expression" dxfId="1219" priority="24">
      <formula>Q191="ja"</formula>
    </cfRule>
  </conditionalFormatting>
  <conditionalFormatting sqref="R227">
    <cfRule type="expression" dxfId="1218" priority="12">
      <formula>Q227="ja"</formula>
    </cfRule>
  </conditionalFormatting>
  <conditionalFormatting sqref="R194">
    <cfRule type="expression" dxfId="1217" priority="23">
      <formula>Q194="ja"</formula>
    </cfRule>
  </conditionalFormatting>
  <conditionalFormatting sqref="R206">
    <cfRule type="expression" dxfId="1216" priority="19">
      <formula>Q206="ja"</formula>
    </cfRule>
  </conditionalFormatting>
  <conditionalFormatting sqref="R209">
    <cfRule type="expression" dxfId="1215" priority="18">
      <formula>Q209="ja"</formula>
    </cfRule>
  </conditionalFormatting>
  <conditionalFormatting sqref="R212">
    <cfRule type="expression" dxfId="1214" priority="17">
      <formula>Q212="ja"</formula>
    </cfRule>
  </conditionalFormatting>
  <conditionalFormatting sqref="R218">
    <cfRule type="expression" dxfId="1213" priority="15">
      <formula>Q218="ja"</formula>
    </cfRule>
  </conditionalFormatting>
  <conditionalFormatting sqref="T39:T53 T55:T77 T82:T114">
    <cfRule type="cellIs" dxfId="1212" priority="5" operator="equal">
      <formula>"ja"</formula>
    </cfRule>
  </conditionalFormatting>
  <conditionalFormatting sqref="T119:T126">
    <cfRule type="cellIs" dxfId="1211" priority="4" operator="equal">
      <formula>"ja"</formula>
    </cfRule>
  </conditionalFormatting>
  <conditionalFormatting sqref="T128:T152">
    <cfRule type="cellIs" dxfId="1210" priority="3" operator="equal">
      <formula>"ja"</formula>
    </cfRule>
  </conditionalFormatting>
  <conditionalFormatting sqref="T179:T192 T194:T234 T236:T244">
    <cfRule type="cellIs" dxfId="1209" priority="2" operator="equal">
      <formula>"ja"</formula>
    </cfRule>
  </conditionalFormatting>
  <conditionalFormatting sqref="R204">
    <cfRule type="expression" dxfId="1208" priority="1">
      <formula>Q204="ja"</formula>
    </cfRule>
  </conditionalFormatting>
  <dataValidations count="2">
    <dataValidation type="list" allowBlank="1" showInputMessage="1" showErrorMessage="1" sqref="Q39:Q53 H154:H177 H128:H152 H119:H126 H236:H244 H82:H114 H55:H77 H194:H234 H179:H192 H39:H53 Q128:Q152 Q119:Q126 Q82:Q114 Q55:Q77 Q236:Q244 Q179:Q192 Q154:Q177 Q194 Q204 Q206:Q212 Q218 Q227:Q230" xr:uid="{C585551A-F017-4507-B77F-F14348161BFF}">
      <formula1>$T$32:$T$33</formula1>
    </dataValidation>
    <dataValidation type="list" allowBlank="1" showInputMessage="1" showErrorMessage="1" sqref="F15:Q15" xr:uid="{493FA6F4-A4A9-490E-9E03-164AF0A20D6D}">
      <formula1>$V$15:$V$17</formula1>
    </dataValidation>
  </dataValidations>
  <pageMargins left="0.23622047244094491" right="0.23622047244094491" top="0.74803149606299213" bottom="0.74803149606299213" header="0.31496062992125984" footer="0.31496062992125984"/>
  <pageSetup paperSize="9" scale="50" fitToHeight="9" orientation="portrait" r:id="rId1"/>
  <rowBreaks count="2" manualBreakCount="2">
    <brk id="87" max="16383" man="1"/>
    <brk id="277" max="16383" man="1"/>
  </rowBreaks>
  <ignoredErrors>
    <ignoredError sqref="F8 N8 J8"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5EF7906-B8B1-46D2-87D7-DEE92199FAB8}">
          <x14:formula1>
            <xm:f>'Berechnung - Hochbau'!$B$109:$B$112</xm:f>
          </x14:formula1>
          <xm:sqref>R5:S6 W5:X6</xm:sqref>
        </x14:dataValidation>
        <x14:dataValidation type="list" allowBlank="1" showInputMessage="1" showErrorMessage="1" xr:uid="{3FCF4DE3-3BB8-485B-AFCD-D76C4B048242}">
          <x14:formula1>
            <xm:f>'Berechnung - Hochbau'!$H$52:$H$56</xm:f>
          </x14:formula1>
          <xm:sqref>F16</xm:sqref>
        </x14:dataValidation>
        <x14:dataValidation type="list" allowBlank="1" showInputMessage="1" showErrorMessage="1" xr:uid="{A0DFC605-4F3C-4B97-B0BA-471D72F277ED}">
          <x14:formula1>
            <xm:f>'Berechnung - Abwasser'!$B$138:$B$147</xm:f>
          </x14:formula1>
          <xm:sqref>U39:U114 U119:U126 U128:U152 U154:U177 U179:U234 U236:U244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bteilung xmlns="9023b41e-3f6c-4963-8963-28ca722c988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4C8E5D5A6C164A8E448796E40FD173" ma:contentTypeVersion="3" ma:contentTypeDescription="Ein neues Dokument erstellen." ma:contentTypeScope="" ma:versionID="cb0184942c7a23cf2d0d080e2f4fed83">
  <xsd:schema xmlns:xsd="http://www.w3.org/2001/XMLSchema" xmlns:xs="http://www.w3.org/2001/XMLSchema" xmlns:p="http://schemas.microsoft.com/office/2006/metadata/properties" xmlns:ns2="9023b41e-3f6c-4963-8963-28ca722c988c" targetNamespace="http://schemas.microsoft.com/office/2006/metadata/properties" ma:root="true" ma:fieldsID="5cf1b78ccb7b1e1fce7e567d24e0c71e" ns2:_="">
    <xsd:import namespace="9023b41e-3f6c-4963-8963-28ca722c988c"/>
    <xsd:element name="properties">
      <xsd:complexType>
        <xsd:sequence>
          <xsd:element name="documentManagement">
            <xsd:complexType>
              <xsd:all>
                <xsd:element ref="ns2:MediaServiceMetadata" minOccurs="0"/>
                <xsd:element ref="ns2:MediaServiceFastMetadata" minOccurs="0"/>
                <xsd:element ref="ns2:Abteilu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23b41e-3f6c-4963-8963-28ca722c98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Abteilung" ma:index="10" nillable="true" ma:displayName="Abteilung" ma:format="Dropdown" ma:internalName="Abteilung">
      <xsd:simpleType>
        <xsd:restriction base="dms:Choice">
          <xsd:enumeration value="Bauleistungen"/>
          <xsd:enumeration value="Liefer- und Dienstleistungen"/>
          <xsd:enumeration value="Operativer Einkau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2D2A3C-ABBB-4A8C-B8AE-67EE8572C7D9}">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9023b41e-3f6c-4963-8963-28ca722c988c"/>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DB813E-D8CA-46AA-BA09-AD57DFCE2C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23b41e-3f6c-4963-8963-28ca722c98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A70EB4-840A-4F3C-BFC8-24ACC9C4F0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41</vt:i4>
      </vt:variant>
      <vt:variant>
        <vt:lpstr>Benannte Bereiche</vt:lpstr>
      </vt:variant>
      <vt:variant>
        <vt:i4>31</vt:i4>
      </vt:variant>
    </vt:vector>
  </HeadingPairs>
  <TitlesOfParts>
    <vt:vector size="72" baseType="lpstr">
      <vt:lpstr>Deckblatt</vt:lpstr>
      <vt:lpstr>Überblick</vt:lpstr>
      <vt:lpstr>Hochbauplanung </vt:lpstr>
      <vt:lpstr>Berechnung - Hochbau</vt:lpstr>
      <vt:lpstr>Abwasser-, Wasser-, Gasanlagen</vt:lpstr>
      <vt:lpstr>Berechnung - Abwasser</vt:lpstr>
      <vt:lpstr>Wärmeversorgung</vt:lpstr>
      <vt:lpstr>Berechnung - Wärme</vt:lpstr>
      <vt:lpstr>Lufttechnische Anlagen</vt:lpstr>
      <vt:lpstr>Berechnung - Lufttechnik</vt:lpstr>
      <vt:lpstr>Starkstrom</vt:lpstr>
      <vt:lpstr>Fernmeldeanlagen</vt:lpstr>
      <vt:lpstr>Berechnung - Fernmeldeanlagen</vt:lpstr>
      <vt:lpstr>Berechnung Starkstrom</vt:lpstr>
      <vt:lpstr>Förderanlagen</vt:lpstr>
      <vt:lpstr>Berechnung - Förderanlagen</vt:lpstr>
      <vt:lpstr>Nutzerspezifische Anlagen</vt:lpstr>
      <vt:lpstr>Berechnung - Nutzeranlagen</vt:lpstr>
      <vt:lpstr>Gebäudeautomation</vt:lpstr>
      <vt:lpstr>Berechnung - Gebäudeautomation</vt:lpstr>
      <vt:lpstr>Bauphysik - Wärmeschutz</vt:lpstr>
      <vt:lpstr>Berechnung - Wärmeschutz</vt:lpstr>
      <vt:lpstr>Bauphysik - Bauakustik</vt:lpstr>
      <vt:lpstr>Berechnung - Bauakustik</vt:lpstr>
      <vt:lpstr>Berechnung - Raumakustik</vt:lpstr>
      <vt:lpstr>Bauphysik - Raumakustik</vt:lpstr>
      <vt:lpstr>Tragwerksplanung</vt:lpstr>
      <vt:lpstr>Berechnung - Tragswerksplanung</vt:lpstr>
      <vt:lpstr>Freianlagen</vt:lpstr>
      <vt:lpstr>Berechnung - Freianlagen</vt:lpstr>
      <vt:lpstr>Bebauungsplan</vt:lpstr>
      <vt:lpstr>Berechnung - Bebauungsplan</vt:lpstr>
      <vt:lpstr>Technische Ausrüstung</vt:lpstr>
      <vt:lpstr>Berechnung - Tech. Ausrüstung</vt:lpstr>
      <vt:lpstr>weitere Besondere Leistungen</vt:lpstr>
      <vt:lpstr>Berechnung besondere Leistungen</vt:lpstr>
      <vt:lpstr>Besondere Leistungen GÜ-Berater</vt:lpstr>
      <vt:lpstr>Berechnung - GÜ-Berater</vt:lpstr>
      <vt:lpstr>Auftragsänderungen &amp; -ergänzung</vt:lpstr>
      <vt:lpstr>Angebotszusammenfassung</vt:lpstr>
      <vt:lpstr>Berechnung Auftragsänderung</vt:lpstr>
      <vt:lpstr>'Berechnung - Bauakustik'!ak</vt:lpstr>
      <vt:lpstr>'Berechnung - Freianlagen'!ak</vt:lpstr>
      <vt:lpstr>'Berechnung - Hochbau'!ak</vt:lpstr>
      <vt:lpstr>'Berechnung - Raumakustik'!ak</vt:lpstr>
      <vt:lpstr>'Berechnung - Tragswerksplanung'!ak</vt:lpstr>
      <vt:lpstr>'Berechnung - Wärmeschutz'!ak</vt:lpstr>
      <vt:lpstr>Brutto</vt:lpstr>
      <vt:lpstr>'Abwasser-, Wasser-, Gasanlagen'!Druckbereich</vt:lpstr>
      <vt:lpstr>'Auftragsänderungen &amp; -ergänzung'!Druckbereich</vt:lpstr>
      <vt:lpstr>'Bauphysik - Bauakustik'!Druckbereich</vt:lpstr>
      <vt:lpstr>'Bauphysik - Raumakustik'!Druckbereich</vt:lpstr>
      <vt:lpstr>'Bauphysik - Wärmeschutz'!Druckbereich</vt:lpstr>
      <vt:lpstr>'Besondere Leistungen GÜ-Berater'!Druckbereich</vt:lpstr>
      <vt:lpstr>Fernmeldeanlagen!Druckbereich</vt:lpstr>
      <vt:lpstr>Förderanlagen!Druckbereich</vt:lpstr>
      <vt:lpstr>Freianlagen!Druckbereich</vt:lpstr>
      <vt:lpstr>Gebäudeautomation!Druckbereich</vt:lpstr>
      <vt:lpstr>'Hochbauplanung '!Druckbereich</vt:lpstr>
      <vt:lpstr>'Lufttechnische Anlagen'!Druckbereich</vt:lpstr>
      <vt:lpstr>'Nutzerspezifische Anlagen'!Druckbereich</vt:lpstr>
      <vt:lpstr>Starkstrom!Druckbereich</vt:lpstr>
      <vt:lpstr>'Technische Ausrüstung'!Druckbereich</vt:lpstr>
      <vt:lpstr>Tragwerksplanung!Druckbereich</vt:lpstr>
      <vt:lpstr>Überblick!Druckbereich</vt:lpstr>
      <vt:lpstr>Wärmeversorgung!Druckbereich</vt:lpstr>
      <vt:lpstr>'weitere Besondere Leistungen'!Druckbereich</vt:lpstr>
      <vt:lpstr>Nachlass_Prozente</vt:lpstr>
      <vt:lpstr>Nachlass_Prozenze</vt:lpstr>
      <vt:lpstr>Netto</vt:lpstr>
      <vt:lpstr>Netto_Nachlass</vt:lpstr>
      <vt:lpstr>Ust</vt:lpstr>
    </vt:vector>
  </TitlesOfParts>
  <Manager/>
  <Company>BIM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Angebotseinholung_Honorarangebot Planungsleistungen_Architekt</dc:title>
  <dc:subject/>
  <dc:creator>Leif-Holden Dimitriadis</dc:creator>
  <cp:keywords>Angebotseinholung_Honorarangebot Planungsleistungen_Architekt</cp:keywords>
  <dc:description/>
  <cp:lastModifiedBy>Hannes Klinger</cp:lastModifiedBy>
  <cp:revision/>
  <dcterms:created xsi:type="dcterms:W3CDTF">2009-08-27T11:19:13Z</dcterms:created>
  <dcterms:modified xsi:type="dcterms:W3CDTF">2023-12-05T15:12:28Z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0x0101005C4C8E5D5A6C164A8E448796E40FD173</vt:lpwstr>
  </property>
  <property fmtid="{D5CDD505-2E9C-101B-9397-08002B2CF9AE}" pid="3" name="TaxKeyword">
    <vt:lpwstr>1986;#Angebotseinholung_Honorarangebot Planungsleistungen_Architekt|d4e81a75-1fad-4a33-87cc-ab7ad26dcacd</vt:lpwstr>
  </property>
  <property fmtid="{D5CDD505-2E9C-101B-9397-08002B2CF9AE}" pid="4" name="Prozessbeteiligte">
    <vt:lpwstr/>
  </property>
  <property fmtid="{D5CDD505-2E9C-101B-9397-08002B2CF9AE}" pid="5" name="sform">
    <vt:lpwstr>865;#Architekten- und Planerleistungen|1e066981-a561-49c2-ac23-abc41efb4920;#866;#VOF Ausschreibung und Vergabe|8e3b8df3-82c6-48b5-bee1-14df49de9883;#856;#sonstige Vorlagen VOF|6adad01f-f175-4c00-ace1-ae7446359d6c</vt:lpwstr>
  </property>
  <property fmtid="{D5CDD505-2E9C-101B-9397-08002B2CF9AE}" pid="6" name="Order">
    <vt:r8>19100</vt:r8>
  </property>
  <property fmtid="{D5CDD505-2E9C-101B-9397-08002B2CF9AE}" pid="7" name="xd_ProgID">
    <vt:lpwstr/>
  </property>
  <property fmtid="{D5CDD505-2E9C-101B-9397-08002B2CF9AE}" pid="8" name="TemplateUrl">
    <vt:lpwstr/>
  </property>
  <property fmtid="{D5CDD505-2E9C-101B-9397-08002B2CF9AE}" pid="9" name="TaxCatchAll">
    <vt:lpwstr>856;#;#866;#;#865;#;#1986;#</vt:lpwstr>
  </property>
</Properties>
</file>